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5360" windowHeight="7830" tabRatio="909" activeTab="5"/>
  </bookViews>
  <sheets>
    <sheet name="Instructions" sheetId="1" r:id="rId1"/>
    <sheet name="inputPrYr" sheetId="2" r:id="rId2"/>
    <sheet name="inputOth" sheetId="3" r:id="rId3"/>
    <sheet name="Pub Notice-Affidavit" sheetId="4" r:id="rId4"/>
    <sheet name="cert" sheetId="5" r:id="rId5"/>
    <sheet name="Signed Cert" sheetId="6" r:id="rId6"/>
    <sheet name="Resolution" sheetId="7" r:id="rId7"/>
    <sheet name="computation" sheetId="8" r:id="rId8"/>
    <sheet name="mvalloc" sheetId="9" r:id="rId9"/>
    <sheet name="transfers" sheetId="10" r:id="rId10"/>
    <sheet name="debt" sheetId="11" r:id="rId11"/>
    <sheet name="lpform" sheetId="12" r:id="rId12"/>
    <sheet name="010" sheetId="13" r:id="rId13"/>
    <sheet name="010-detail1" sheetId="14" r:id="rId14"/>
    <sheet name="010-detail2" sheetId="15" r:id="rId15"/>
    <sheet name="010-detail3" sheetId="16" r:id="rId16"/>
    <sheet name="010-detail4" sheetId="17" r:id="rId17"/>
    <sheet name="090" sheetId="18" r:id="rId18"/>
    <sheet name="020-040" sheetId="19" r:id="rId19"/>
    <sheet name="110" sheetId="20" r:id="rId20"/>
    <sheet name="140-190" sheetId="21" r:id="rId21"/>
    <sheet name="250-280" sheetId="22" r:id="rId22"/>
    <sheet name="360-370" sheetId="23" r:id="rId23"/>
    <sheet name="450-530" sheetId="24" r:id="rId24"/>
    <sheet name="550-560" sheetId="25" r:id="rId25"/>
    <sheet name="650-670" sheetId="26" r:id="rId26"/>
    <sheet name="700-720" sheetId="27" r:id="rId27"/>
    <sheet name="760-820" sheetId="28" r:id="rId28"/>
    <sheet name="920" sheetId="29" r:id="rId29"/>
    <sheet name="800" sheetId="30" r:id="rId30"/>
    <sheet name="900" sheetId="31" r:id="rId31"/>
    <sheet name="NonBudA" sheetId="32" r:id="rId32"/>
    <sheet name="NonBudB" sheetId="33" r:id="rId33"/>
    <sheet name="NonBudC" sheetId="34" r:id="rId34"/>
    <sheet name="NonBudD" sheetId="35" r:id="rId35"/>
    <sheet name="NonBudE" sheetId="36" r:id="rId36"/>
    <sheet name="summ" sheetId="37" r:id="rId37"/>
    <sheet name="nhood" sheetId="38" r:id="rId38"/>
    <sheet name="ordinance" sheetId="39" r:id="rId39"/>
    <sheet name="legend" sheetId="40" r:id="rId40"/>
  </sheets>
  <definedNames>
    <definedName name="_xlnm.Print_Area" localSheetId="12">'010'!$A$1:$E$118</definedName>
    <definedName name="_xlnm.Print_Area" localSheetId="13">'010-detail1'!$A$1:$D$67</definedName>
    <definedName name="_xlnm.Print_Area" localSheetId="14">'010-detail2'!$A$1:$D$67</definedName>
    <definedName name="_xlnm.Print_Area" localSheetId="15">'010-detail3'!$A$1:$D$67</definedName>
    <definedName name="_xlnm.Print_Area" localSheetId="16">'010-detail4'!$A$1:$D$67</definedName>
    <definedName name="_xlnm.Print_Area" localSheetId="18">'020-040'!$A$1:$E$74</definedName>
    <definedName name="_xlnm.Print_Area" localSheetId="17">'090'!$A$1:$E$74</definedName>
    <definedName name="_xlnm.Print_Area" localSheetId="19">'110'!$A$1:$E$76</definedName>
    <definedName name="_xlnm.Print_Area" localSheetId="20">'140-190'!$A$1:$E$74</definedName>
    <definedName name="_xlnm.Print_Area" localSheetId="21">'250-280'!$A$1:$E$74</definedName>
    <definedName name="_xlnm.Print_Area" localSheetId="22">'360-370'!$A$1:$E$74</definedName>
    <definedName name="_xlnm.Print_Area" localSheetId="23">'450-530'!$A$1:$E$74</definedName>
    <definedName name="_xlnm.Print_Area" localSheetId="24">'550-560'!$A$1:$E$74</definedName>
    <definedName name="_xlnm.Print_Area" localSheetId="25">'650-670'!$A$1:$E$74</definedName>
    <definedName name="_xlnm.Print_Area" localSheetId="26">'700-720'!$A$1:$E$74</definedName>
    <definedName name="_xlnm.Print_Area" localSheetId="27">'760-820'!$A$1:$E$74</definedName>
    <definedName name="_xlnm.Print_Area" localSheetId="29">'800'!$A$1:$E$74</definedName>
    <definedName name="_xlnm.Print_Area" localSheetId="30">'900'!$A$1:$E$74</definedName>
    <definedName name="_xlnm.Print_Area" localSheetId="28">'920'!$A$1:$E$74</definedName>
    <definedName name="_xlnm.Print_Area" localSheetId="1">'inputPrYr'!$A$1:$E$112</definedName>
    <definedName name="_xlnm.Print_Area" localSheetId="11">'lpform'!$A$1:$H$38</definedName>
    <definedName name="_xlnm.Print_Area" localSheetId="37">'nhood'!$A$1:$F$74</definedName>
    <definedName name="_xlnm.Print_Area" localSheetId="31">'NonBudA'!$A$1:$L$33</definedName>
    <definedName name="_xlnm.Print_Area" localSheetId="32">'NonBudB'!$A$1:$L$33</definedName>
    <definedName name="_xlnm.Print_Area" localSheetId="33">'NonBudC'!$A$1:$L$35</definedName>
    <definedName name="_xlnm.Print_Area" localSheetId="36">'summ'!$A$1:$H$67</definedName>
  </definedNames>
  <calcPr fullCalcOnLoad="1"/>
</workbook>
</file>

<file path=xl/comments10.xml><?xml version="1.0" encoding="utf-8"?>
<comments xmlns="http://schemas.openxmlformats.org/spreadsheetml/2006/main">
  <authors>
    <author>Stephanie Richardson</author>
  </authors>
  <commentList>
    <comment ref="D51" authorId="0">
      <text>
        <r>
          <rPr>
            <b/>
            <sz val="9"/>
            <rFont val="Tahoma"/>
            <family val="2"/>
          </rPr>
          <t>Stephanie Richardson:</t>
        </r>
        <r>
          <rPr>
            <sz val="9"/>
            <rFont val="Tahoma"/>
            <family val="2"/>
          </rPr>
          <t xml:space="preserve">
All transfers shown as expense from non-budgeted funds!!!  The non-budgeted current year and proposed budget year amounts are not included on the Budget Summary page; therefore they must be subtracted from this list to get to the actual budgeted funds transfer total.</t>
        </r>
      </text>
    </comment>
    <comment ref="E51" authorId="0">
      <text>
        <r>
          <rPr>
            <b/>
            <sz val="9"/>
            <rFont val="Tahoma"/>
            <family val="2"/>
          </rPr>
          <t>Stephanie Richardson:</t>
        </r>
        <r>
          <rPr>
            <sz val="9"/>
            <rFont val="Tahoma"/>
            <family val="2"/>
          </rPr>
          <t xml:space="preserve">
All transfers shown as expense from non-budgeted funds!!!  The non-budgeted current year and proposed budget year amounts are not included on the Budget Summary page; therefore they must be subtracted from this list to get to the actual budgeted funds transfer total.</t>
        </r>
      </text>
    </comment>
  </commentList>
</comments>
</file>

<file path=xl/comments13.xml><?xml version="1.0" encoding="utf-8"?>
<comments xmlns="http://schemas.openxmlformats.org/spreadsheetml/2006/main">
  <authors>
    <author>srichardson</author>
  </authors>
  <commentList>
    <comment ref="E44" authorId="0">
      <text>
        <r>
          <rPr>
            <b/>
            <sz val="8"/>
            <rFont val="Tahoma"/>
            <family val="2"/>
          </rPr>
          <t>srichardson:</t>
        </r>
        <r>
          <rPr>
            <sz val="8"/>
            <rFont val="Tahoma"/>
            <family val="2"/>
          </rPr>
          <t xml:space="preserve">
Rounding $+3</t>
        </r>
      </text>
    </comment>
    <comment ref="C44" authorId="0">
      <text>
        <r>
          <rPr>
            <b/>
            <sz val="8"/>
            <rFont val="Tahoma"/>
            <family val="2"/>
          </rPr>
          <t>srichardson:</t>
        </r>
        <r>
          <rPr>
            <sz val="8"/>
            <rFont val="Tahoma"/>
            <family val="2"/>
          </rPr>
          <t xml:space="preserve">
Rounding $-2</t>
        </r>
      </text>
    </comment>
  </commentList>
</comments>
</file>

<file path=xl/sharedStrings.xml><?xml version="1.0" encoding="utf-8"?>
<sst xmlns="http://schemas.openxmlformats.org/spreadsheetml/2006/main" count="1879" uniqueCount="706">
  <si>
    <r>
      <t xml:space="preserve">10.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</si>
  <si>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</si>
  <si>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</si>
  <si>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</si>
  <si>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</si>
  <si>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The County Clerk may still require hard copies of the budget forms, even if they allow for electronic submission.  At a minimum for electronic submission, the County Clerk will need two (2) hard copy forms of the following documents: the Certificate Page (signed by the governing body), the newspaper publication of the 'Notice of Budget Hearing', the affidavit of publication (if the publication does not contain a publication date), and the newspaper publication of the ordinance to exceed the computed levy limit (if needed). </t>
  </si>
  <si>
    <t>GO Temporary Notes</t>
  </si>
  <si>
    <t>Boom Mower</t>
  </si>
  <si>
    <t>3 Yrs</t>
  </si>
  <si>
    <t>Street Sweeper</t>
  </si>
  <si>
    <t>Code Enforcement</t>
  </si>
  <si>
    <t xml:space="preserve">  Transfer - Sales Tax Bond Surplus</t>
  </si>
  <si>
    <t>Cost of Issuance</t>
  </si>
  <si>
    <t>Rental - Land</t>
  </si>
  <si>
    <t>Sale of Bonds</t>
  </si>
  <si>
    <t>Wireless Service Calls</t>
  </si>
  <si>
    <t>Interlocal Agmt Pmts</t>
  </si>
  <si>
    <t>Non-Budgeted (E):</t>
  </si>
  <si>
    <t xml:space="preserve">Stormwater Depr/Repl </t>
  </si>
  <si>
    <t>Transfer-SW Utility</t>
  </si>
  <si>
    <t>NON-BUDGETED FUNDS (E)</t>
  </si>
  <si>
    <t>Non-Budgeted Funds-E</t>
  </si>
  <si>
    <t>Veterans Memorial Depr/Repl</t>
  </si>
  <si>
    <t>Sale of Property/Scrap/Equipment</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</si>
  <si>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Do not use the copy and move functions on this page.   Do not add or delete lines on this page</t>
    </r>
    <r>
      <rPr>
        <sz val="12"/>
        <rFont val="Times New Roman"/>
        <family val="1"/>
      </rPr>
      <t>.</t>
    </r>
  </si>
  <si>
    <r>
      <t xml:space="preserve">Budgets are required to be sent to the County Clerk </t>
    </r>
    <r>
      <rPr>
        <b/>
        <sz val="12"/>
        <rFont val="Times New Roman"/>
        <family val="1"/>
      </rPr>
      <t>by August 25</t>
    </r>
    <r>
      <rPr>
        <sz val="12"/>
        <rFont val="Times New Roman"/>
        <family val="1"/>
      </rPr>
      <t xml:space="preserve"> of each year. </t>
    </r>
  </si>
  <si>
    <r>
      <t xml:space="preserve">Paper submission of the budget, you will need to send two (2) copies of the completed budgets to your County Clerk Office. The County Clerk may also accept budgets in an electronic format, please contact your County Clerk directly for specific instructions and requirements.  Municipal Services will accept electric budgets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t>
    </r>
  </si>
  <si>
    <t>5.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</si>
  <si>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Bond Payment - Interest</t>
  </si>
  <si>
    <t>Bond Payment - Principal</t>
  </si>
  <si>
    <t>Transfer - Gen Fund (Admin)-Water Utility</t>
  </si>
  <si>
    <t>Transfer - Gen Fund (Admin)-Wastewater Utility</t>
  </si>
  <si>
    <t>Water/Wastewater Utility  (Water)</t>
  </si>
  <si>
    <t>Water/Wastewater Utility (Wastewater)</t>
  </si>
  <si>
    <t>SB417 Funds</t>
  </si>
  <si>
    <t>Transfer -Capital Improv.</t>
  </si>
  <si>
    <r>
      <t xml:space="preserve">6a. Transfers total are at the bottom of the schedule which are linked to the Budget Summary page. Adjustments are needed to reduce the expenditures when the expenditure transfer </t>
    </r>
    <r>
      <rPr>
        <b/>
        <sz val="12"/>
        <rFont val="Times New Roman"/>
        <family val="1"/>
      </rPr>
      <t>does</t>
    </r>
    <r>
      <rPr>
        <sz val="12"/>
        <rFont val="Times New Roman"/>
        <family val="1"/>
      </rPr>
      <t xml:space="preserve"> not appear in the total for the Budget Summary.</t>
    </r>
  </si>
  <si>
    <t>Enter City Name (City of)</t>
  </si>
  <si>
    <t>Enter County Name followed by "County"</t>
  </si>
  <si>
    <t xml:space="preserve">Water/Wastewater Utility </t>
  </si>
  <si>
    <t>Sales Tax Bond Debt Svc</t>
  </si>
  <si>
    <t>USD #445 Sales Tax</t>
  </si>
  <si>
    <t xml:space="preserve">Electric Surplus  </t>
  </si>
  <si>
    <t>Wtr/WW Depr/Repl</t>
  </si>
  <si>
    <t>Stormwater Depr/Repl</t>
  </si>
  <si>
    <t>Wtr/WW Debt Svc</t>
  </si>
  <si>
    <t>Electric Depr/Repl</t>
  </si>
  <si>
    <t>Electric Surplus</t>
  </si>
  <si>
    <t>Electric Debt Svc</t>
  </si>
  <si>
    <t>Transfer - Electric Utility</t>
  </si>
  <si>
    <t>Sale of Electricity</t>
  </si>
  <si>
    <t>Pole Rental</t>
  </si>
  <si>
    <t xml:space="preserve">Transfer - Electric Depr/Repl </t>
  </si>
  <si>
    <t>Transfer - General Fund (Admin)</t>
  </si>
  <si>
    <t>Transfer - General Fund (Franchise)</t>
  </si>
  <si>
    <t>Transfer - Electric Debt Service</t>
  </si>
  <si>
    <t>Wholesale Capacity &amp; Energy</t>
  </si>
  <si>
    <t>Transfer - Local Alcohol Liquor</t>
  </si>
  <si>
    <r>
      <t xml:space="preserve">11a.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</si>
  <si>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11b. The second green shaded area, you will to provide the location where the budget information will be available for review.</t>
  </si>
  <si>
    <t>11c. The third green shaded area, provide the title of person that will be signing the form.</t>
  </si>
  <si>
    <t>11d. The fourth green shaded area, enter the page number.</t>
  </si>
  <si>
    <t xml:space="preserve">11e. Before printing, review the form to ensure all the information is provided and the figures are correct. Print the page, have official sign it, and take to the local newspaper for printing. </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</si>
  <si>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</si>
  <si>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12.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</si>
  <si>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Cash Balance Jan 1</t>
  </si>
  <si>
    <t>***If you are merely leasing/renting with no intent to purchase, do not list--such transactions are not lease-purchases.</t>
  </si>
  <si>
    <t>Employee Benefits</t>
  </si>
  <si>
    <t>21. Added four single no levy fund pages and 4 non-budgeted pages.</t>
  </si>
  <si>
    <t>22. Added question on Certificate page about the ordinance.</t>
  </si>
  <si>
    <t>23. Added note to the non-budgeted fund pages to ensure the amounts agree.</t>
  </si>
  <si>
    <t>Capital Development</t>
  </si>
  <si>
    <t>Budgeted Payments</t>
  </si>
  <si>
    <t>Benefits</t>
  </si>
  <si>
    <t>Maintenance</t>
  </si>
  <si>
    <t>Coffeyville Police Department</t>
  </si>
  <si>
    <t>Special Park &amp; Recreation - City</t>
  </si>
  <si>
    <t xml:space="preserve">Four County </t>
  </si>
  <si>
    <t>ADSAP</t>
  </si>
  <si>
    <t>Youth Activity Center</t>
  </si>
  <si>
    <t>Industrial Levy Fund</t>
  </si>
  <si>
    <t>Rent - Building</t>
  </si>
  <si>
    <t xml:space="preserve">Other </t>
  </si>
  <si>
    <t>Reimbursements</t>
  </si>
  <si>
    <t>Transfer - General Fund</t>
  </si>
  <si>
    <t xml:space="preserve">  Transfer - USD 445 Sales Tax Fund</t>
  </si>
  <si>
    <t xml:space="preserve">  Transfer - CRMC Sales Tax Fund</t>
  </si>
  <si>
    <t xml:space="preserve">  Transfer - Capital Equipment Fund</t>
  </si>
  <si>
    <t xml:space="preserve">  Transfer - Capital Improvements</t>
  </si>
  <si>
    <t xml:space="preserve">  Transfer - Aquatic Center</t>
  </si>
  <si>
    <t xml:space="preserve">  Transfer - Sales Tax Debt Service</t>
  </si>
  <si>
    <t>Personnel Services</t>
  </si>
  <si>
    <t>Contractual Services</t>
  </si>
  <si>
    <t>Contractual</t>
  </si>
  <si>
    <t>Commodities</t>
  </si>
  <si>
    <t>Capital Outlay</t>
  </si>
  <si>
    <t>Loan Principal</t>
  </si>
  <si>
    <t>Loan Interest</t>
  </si>
  <si>
    <t>Free Land Deposits</t>
  </si>
  <si>
    <t>Cash Forfeitures</t>
  </si>
  <si>
    <t xml:space="preserve">Contractual </t>
  </si>
  <si>
    <t>VIN Receipts</t>
  </si>
  <si>
    <t>Sales-Cemetery Lots</t>
  </si>
  <si>
    <t>FAA Grant Revenue</t>
  </si>
  <si>
    <t>Transfer-General Fund</t>
  </si>
  <si>
    <t>Reimb/Refunds</t>
  </si>
  <si>
    <t>Health Ins Premiums</t>
  </si>
  <si>
    <t>Life Ins Premiums</t>
  </si>
  <si>
    <t>Reinsurance/Premiums</t>
  </si>
  <si>
    <t>Rent - Building &amp; Land</t>
  </si>
  <si>
    <t>Sale of Equipment</t>
  </si>
  <si>
    <t>Annual Pass, Green Fees &amp; User Fees</t>
  </si>
  <si>
    <t>Driving Range</t>
  </si>
  <si>
    <t>Concessions/Pro Shop</t>
  </si>
  <si>
    <t>Cart Shed Rent</t>
  </si>
  <si>
    <t>Transfer - Electric Surplus</t>
  </si>
  <si>
    <t>Capital Improvements</t>
  </si>
  <si>
    <t>Liquor Control Enforcement</t>
  </si>
  <si>
    <t>Grants</t>
  </si>
  <si>
    <t>Admissions</t>
  </si>
  <si>
    <t>Concessions</t>
  </si>
  <si>
    <t>Reimbursements/Refunds</t>
  </si>
  <si>
    <t>911 Revenue</t>
  </si>
  <si>
    <t>Transfer-Elect. Surplus</t>
  </si>
  <si>
    <t>ED Loans</t>
  </si>
  <si>
    <t>Parking Fees</t>
  </si>
  <si>
    <t>Utility Sales</t>
  </si>
  <si>
    <t>Wireless Installs</t>
  </si>
  <si>
    <t>Transfer - Stormwater Depr/Repl</t>
  </si>
  <si>
    <t>Transfer - Wtr/WW Utility</t>
  </si>
  <si>
    <t>Transfer-Wtr Utility</t>
  </si>
  <si>
    <t>Transfer-WW Utility</t>
  </si>
  <si>
    <t>Water Sales</t>
  </si>
  <si>
    <t>Wastewater Revenues</t>
  </si>
  <si>
    <t>Sale of Equipment/Scrap</t>
  </si>
  <si>
    <t>Reimbursement/Refunds</t>
  </si>
  <si>
    <t>Operating Fees</t>
  </si>
  <si>
    <t>Late Payment Fees</t>
  </si>
  <si>
    <t>Turn On/Turn Off</t>
  </si>
  <si>
    <t xml:space="preserve">Transfer-Hillcrest Golf </t>
  </si>
  <si>
    <t>Water Protection Fees</t>
  </si>
  <si>
    <t>Tap &amp; Box Fees</t>
  </si>
  <si>
    <t>Turn On/Turn Off Fees</t>
  </si>
  <si>
    <t>Wastewater Disposal Fees</t>
  </si>
  <si>
    <t>Industrial Wastewater Permits</t>
  </si>
  <si>
    <t xml:space="preserve">Airport </t>
  </si>
  <si>
    <t>Charter</t>
  </si>
  <si>
    <t>Liquor Control Disbursement (1/3) - Spec. Parks &amp; Rec.</t>
  </si>
  <si>
    <t>Local Alcoholic Liquor (1/3)</t>
  </si>
  <si>
    <t>Liquor Control Disbursement (1/3) - Spec. Alcohol &amp; Drug:</t>
  </si>
  <si>
    <t xml:space="preserve">          - Four County (20%)</t>
  </si>
  <si>
    <t xml:space="preserve">          - ADSAP (20%)</t>
  </si>
  <si>
    <t>Lease Purchase Payments</t>
  </si>
  <si>
    <t>Temporary Notes Payment - Interest</t>
  </si>
  <si>
    <t>Temporary Notes Payment - Principal</t>
  </si>
  <si>
    <t>Transportation Revolving Loan Payment - Interest</t>
  </si>
  <si>
    <t>Transportation Revolving Loan Payment - Principal</t>
  </si>
  <si>
    <t>Economic Dev. &amp; Community Dev. Loan Principal</t>
  </si>
  <si>
    <t>Econonic Dev. &amp; Community Dev. Loan Interest</t>
  </si>
  <si>
    <t>Transfer - Gen Fund (Franchise)</t>
  </si>
  <si>
    <t>Transfer - Wat/WW Depr/Repl</t>
  </si>
  <si>
    <t>Transfer - Wat/WW Debt Service</t>
  </si>
  <si>
    <t>Finance Director</t>
  </si>
  <si>
    <t>PO Box 1629</t>
  </si>
  <si>
    <t>Coffeyville, KS 67337</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</si>
  <si>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</si>
  <si>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</si>
  <si>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</si>
  <si>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</si>
  <si>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</si>
  <si>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</si>
  <si>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</si>
  <si>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</si>
  <si>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</si>
  <si>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9a.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</si>
  <si>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</si>
  <si>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</si>
  <si>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</si>
  <si>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</si>
  <si>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</si>
  <si>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</si>
  <si>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</si>
  <si>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</si>
  <si>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</si>
  <si>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</si>
  <si>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Bond Interest</t>
  </si>
  <si>
    <t>Bond Principal</t>
  </si>
  <si>
    <t>Lease Purchase Interest</t>
  </si>
  <si>
    <r>
      <t xml:space="preserve">9b.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</si>
  <si>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9c.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</si>
  <si>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 xml:space="preserve">9d. The Bond &amp; Interest fund page (BondInt) can contain all debts owe by the city and the amounts should agree with the Statement of Indebtedness amounts.  Debts that </t>
    </r>
    <r>
      <rPr>
        <b/>
        <u val="single"/>
        <sz val="12"/>
        <rFont val="Times New Roman"/>
        <family val="1"/>
      </rPr>
      <t>are not from</t>
    </r>
    <r>
      <rPr>
        <sz val="12"/>
        <rFont val="Times New Roman"/>
        <family val="1"/>
      </rPr>
      <t xml:space="preserve"> a tax levy fund should have enough funds transferred into the Bond &amp; Interest fund to cover the bond principle and interest for these debts.</t>
    </r>
  </si>
  <si>
    <t xml:space="preserve">9e. The 4 single on levy pages (SinNoLevy18 to SinNoLevy21) are for a fund that has numerous lines for receipts or expenditures that does not fit on one of the other no levy pages.  Additional lines may be added as needed. </t>
  </si>
  <si>
    <t>9g. The non-budgeted pages in the last column, the last two boxes should have the same figures as the last box take totals from the right side with the next to last box takes totals from the bottom.</t>
  </si>
  <si>
    <t>Library</t>
  </si>
  <si>
    <t>Montgomery</t>
  </si>
  <si>
    <t>Local Alcohol Liquor</t>
  </si>
  <si>
    <t>Community Development</t>
  </si>
  <si>
    <t>Police VIN</t>
  </si>
  <si>
    <t>Memorial Hall Building</t>
  </si>
  <si>
    <t>Airport</t>
  </si>
  <si>
    <t>Hillcrest Golf Course</t>
  </si>
  <si>
    <t>Aquatic Center</t>
  </si>
  <si>
    <t>City Commission</t>
  </si>
  <si>
    <t>City Manager</t>
  </si>
  <si>
    <t>Legal</t>
  </si>
  <si>
    <t>Finance</t>
  </si>
  <si>
    <t>City Treasurer</t>
  </si>
  <si>
    <t>Collections</t>
  </si>
  <si>
    <t>Personnel</t>
  </si>
  <si>
    <t>Police</t>
  </si>
  <si>
    <t>Richard Gonzales, Commissioner</t>
  </si>
  <si>
    <t>Sales Tax - Series 2008</t>
  </si>
  <si>
    <t>3.0 - 3.75%</t>
  </si>
  <si>
    <t>KDOT Transportation Rev. Loan</t>
  </si>
  <si>
    <t>8/1</t>
  </si>
  <si>
    <t>Revolving Loan Funds</t>
  </si>
  <si>
    <t>Trail Fee, Cart Fees &amp; Pull Fees</t>
  </si>
  <si>
    <t>Tournament Fees</t>
  </si>
  <si>
    <t>Set Up Fees</t>
  </si>
  <si>
    <t>Animal Control</t>
  </si>
  <si>
    <t>Fire</t>
  </si>
  <si>
    <t>Engineering</t>
  </si>
  <si>
    <t>City Hall</t>
  </si>
  <si>
    <t>Other City Buildings</t>
  </si>
  <si>
    <t>Non-Departmental</t>
  </si>
  <si>
    <t>P &amp; Z Commission</t>
  </si>
  <si>
    <t>Sr Citizens Building</t>
  </si>
  <si>
    <t>City Recreation Building</t>
  </si>
  <si>
    <t>Public Service - Administration</t>
  </si>
  <si>
    <t>Public Service - Streets &amp; Alleys</t>
  </si>
  <si>
    <t>Capital Improvement</t>
  </si>
  <si>
    <t>Capital Equipment</t>
  </si>
  <si>
    <t>Economic Development</t>
  </si>
  <si>
    <t>7c</t>
  </si>
  <si>
    <t>7d</t>
  </si>
  <si>
    <t>7e</t>
  </si>
  <si>
    <t>Sales Tax Bond Debt Service</t>
  </si>
  <si>
    <t xml:space="preserve">USD 445 Sales Tax </t>
  </si>
  <si>
    <t>CRMC Sales Tax</t>
  </si>
  <si>
    <t>Electric Debt Service</t>
  </si>
  <si>
    <t>Water/Wastewater Debt Service</t>
  </si>
  <si>
    <t>Refuse Utility</t>
  </si>
  <si>
    <t>Internet Utility</t>
  </si>
  <si>
    <t>Stormwater Utility</t>
  </si>
  <si>
    <t>Electric Utility</t>
  </si>
  <si>
    <t>Water/Wastewater Utility</t>
  </si>
  <si>
    <t>Drug Forfeitures</t>
  </si>
  <si>
    <t>Perpetual Care</t>
  </si>
  <si>
    <t>Airport Special Projects</t>
  </si>
  <si>
    <t>Risk Management</t>
  </si>
  <si>
    <t>Aquatic Center Depr/Repl</t>
  </si>
  <si>
    <t>Hillcrest Golf Course Depr/Repl</t>
  </si>
  <si>
    <t>Miscellaneous Projects</t>
  </si>
  <si>
    <t>Law Enforcement Projects</t>
  </si>
  <si>
    <t>Emergency 911 System</t>
  </si>
  <si>
    <t>Sales Tax Bond Reserve</t>
  </si>
  <si>
    <t>BDTC Depr/Repl</t>
  </si>
  <si>
    <t>VMS Depr/Repl</t>
  </si>
  <si>
    <t>Veterans Memorial Stadium (VMS)</t>
  </si>
  <si>
    <t>Business Dev. Training Center (BDTC)</t>
  </si>
  <si>
    <t>Refuse Utility Depr/Repl</t>
  </si>
  <si>
    <t>Electric Utility Depr/Repl</t>
  </si>
  <si>
    <t xml:space="preserve">Electric Utility Surplus </t>
  </si>
  <si>
    <t>Electric Utility Bond Reserve</t>
  </si>
  <si>
    <t>Electric Bond Projects</t>
  </si>
  <si>
    <t>Water/Wastewater Depr/Repl</t>
  </si>
  <si>
    <t>Detailed budget information is available through the City Clerk's Office</t>
  </si>
  <si>
    <t>City of Coffeyville</t>
  </si>
  <si>
    <t>6/1, 12/1</t>
  </si>
  <si>
    <t xml:space="preserve">Electric Refunding Bonds - </t>
  </si>
  <si>
    <t xml:space="preserve">                 Series 2004-B</t>
  </si>
  <si>
    <t>2.7 - 4.7%</t>
  </si>
  <si>
    <t>5/1, 11/1</t>
  </si>
  <si>
    <t>KPWSLF Loan 2026</t>
  </si>
  <si>
    <t>KPWSLF Loan 2250</t>
  </si>
  <si>
    <t>KPWSLF Loan 2267</t>
  </si>
  <si>
    <t>3/1, 9/1</t>
  </si>
  <si>
    <t>2/1, 8/1</t>
  </si>
  <si>
    <t>KWPCRLF Loan C20-1471-01</t>
  </si>
  <si>
    <t>KWPCRLF Loan C20-1252-01</t>
  </si>
  <si>
    <t>KWPCRLF Loan C20-1252-02</t>
  </si>
  <si>
    <t xml:space="preserve">2 Blackstart Generators for </t>
  </si>
  <si>
    <t xml:space="preserve">     Electric Utility</t>
  </si>
  <si>
    <t>20 Yrs</t>
  </si>
  <si>
    <t>Vehicle Rental Excise Tax</t>
  </si>
  <si>
    <t>Nuisance Tax (Weed Lots/Demo)</t>
  </si>
  <si>
    <t>City Sales Tax</t>
  </si>
  <si>
    <t>Cemetery Lots</t>
  </si>
  <si>
    <t>Transfer - Water In Lieu of Franchise</t>
  </si>
  <si>
    <t>Franchise - Gas</t>
  </si>
  <si>
    <t>Franchise - Telephone</t>
  </si>
  <si>
    <t>Franchise - Cable TV</t>
  </si>
  <si>
    <t>Transfer - Elec In Lieu of Franchise</t>
  </si>
  <si>
    <t>Grave Openings</t>
  </si>
  <si>
    <t>Transfer - Wastewater (Admin Reimb)</t>
  </si>
  <si>
    <t>Transfer - Electric (Admin Reimb)</t>
  </si>
  <si>
    <t>Transfer - Water (Admin Reimb)</t>
  </si>
  <si>
    <t>Admin Fees - Investments</t>
  </si>
  <si>
    <t>Admin Fees - Econ Dev Loans</t>
  </si>
  <si>
    <t>Gasoline Tax</t>
  </si>
  <si>
    <t>Highway Connecting Links</t>
  </si>
  <si>
    <t>Highway Aid Through County</t>
  </si>
  <si>
    <t>Transfer - Police VIN</t>
  </si>
  <si>
    <t>Building/Facility Rent</t>
  </si>
  <si>
    <t>Licenses/Permits/Fees/Fines</t>
  </si>
  <si>
    <t>Land Rental</t>
  </si>
  <si>
    <t>Donations</t>
  </si>
  <si>
    <t>Sale of Property, Scrap &amp; Equipment</t>
  </si>
  <si>
    <t xml:space="preserve">  Personnel Services</t>
  </si>
  <si>
    <t>General Fund - Detail Expend</t>
  </si>
  <si>
    <r>
      <t xml:space="preserve">9h.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 figure.</t>
    </r>
  </si>
  <si>
    <t>Flood/FEMA  Reimb</t>
  </si>
  <si>
    <t>Emergency 911  System</t>
  </si>
  <si>
    <t>Alcohol &amp; Safety</t>
  </si>
  <si>
    <t>Bond &amp; Interest Fund</t>
  </si>
  <si>
    <t>79-2958</t>
  </si>
  <si>
    <t>KPWSLF Loan 2583 - ARRA</t>
  </si>
  <si>
    <t>Transfer - Alcohol &amp; Drug Safety Fund</t>
  </si>
  <si>
    <t>Transfer - Miscellaneous Projects Fund</t>
  </si>
  <si>
    <t>Information Technology</t>
  </si>
  <si>
    <t xml:space="preserve">  Transfer - Airport Spec. Proj. </t>
  </si>
  <si>
    <t xml:space="preserve">  Transfer - Airport  </t>
  </si>
  <si>
    <t>Transfer - Water/Wastewater Utility</t>
  </si>
  <si>
    <t>Infrastructure Refinancing Bonds</t>
  </si>
  <si>
    <t>Debt Not Issued Yet</t>
  </si>
  <si>
    <t xml:space="preserve">          - MG County Big Brothers/Big Sisters (20%)</t>
  </si>
  <si>
    <t xml:space="preserve">          - Police Department (40%)</t>
  </si>
  <si>
    <t>MG County Big Brothers/Big Sisters</t>
  </si>
  <si>
    <t>MG Co BB/BS totals not in spreadsheets when</t>
  </si>
  <si>
    <t>budget was published…therefore adjusted to total</t>
  </si>
  <si>
    <t>Insurance Claim Receipt</t>
  </si>
  <si>
    <t>Insurance Claim Receipts</t>
  </si>
  <si>
    <t>Transfer - Bond &amp; Interest</t>
  </si>
  <si>
    <t>Transfer-Elect Depr/Repl</t>
  </si>
  <si>
    <t>Transfer-Emerg 911</t>
  </si>
  <si>
    <t>Transfer-Misc Projects</t>
  </si>
  <si>
    <t>Transfer-Elect Bond Projects</t>
  </si>
  <si>
    <t>Sale of Buildings</t>
  </si>
  <si>
    <t>Land Rental (Correction)</t>
  </si>
  <si>
    <t>Refunds</t>
  </si>
  <si>
    <t>Transfer-Elect Surplus</t>
  </si>
  <si>
    <t>Sale of Property</t>
  </si>
  <si>
    <t>Transfer-Law Enforcement Projects</t>
  </si>
  <si>
    <t>KDOT-KLINK Projects</t>
  </si>
  <si>
    <t>published in CV Journal - Deducted from PD Totals</t>
  </si>
  <si>
    <t>79-2934</t>
  </si>
  <si>
    <t>Pam Jones, Mayor</t>
  </si>
  <si>
    <t>David L. George, Vice Mayor</t>
  </si>
  <si>
    <t>Don Edwards, Commissioner</t>
  </si>
  <si>
    <t>Virgil O. Horn, Commissioner</t>
  </si>
  <si>
    <r>
      <t>9i.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that had taking place even if a violation occurs. </t>
    </r>
  </si>
  <si>
    <t>The following were changed to this spreadsheet on 7/01/08</t>
  </si>
  <si>
    <t>4. Changed foot note to reflect the changes maded on 7/1/08 to the above tabs.</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</si>
  <si>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</si>
  <si>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</si>
  <si>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</si>
  <si>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r>
      <t>9f. The 2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</si>
  <si>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</si>
  <si>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</si>
  <si>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</si>
  <si>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</si>
  <si>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</si>
  <si>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</si>
  <si>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</si>
  <si>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</si>
  <si>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</si>
  <si>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</si>
  <si>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</si>
  <si>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</si>
  <si>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</si>
  <si>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</si>
  <si>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</si>
  <si>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</si>
  <si>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</si>
  <si>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</si>
  <si>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</si>
  <si>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</si>
  <si>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</si>
  <si>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</si>
  <si>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</si>
  <si>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</si>
  <si>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</si>
  <si>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State Use Only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</si>
  <si>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</si>
  <si>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</si>
  <si>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</si>
  <si>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</si>
  <si>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</si>
  <si>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</si>
  <si>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</si>
  <si>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</si>
  <si>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</si>
  <si>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</si>
  <si>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</si>
  <si>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</si>
  <si>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</si>
  <si>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</si>
  <si>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</si>
  <si>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</si>
  <si>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</si>
  <si>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</si>
  <si>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</si>
  <si>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</si>
  <si>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</si>
  <si>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</si>
  <si>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Non-Appropriated Balance</t>
  </si>
  <si>
    <t>Tax Required</t>
  </si>
  <si>
    <t>%</t>
  </si>
  <si>
    <t>Page No.</t>
  </si>
  <si>
    <t>Page Total</t>
  </si>
  <si>
    <t xml:space="preserve">The governing body of </t>
  </si>
  <si>
    <t>and will be available at this hearing.</t>
  </si>
  <si>
    <t>Prior Year Actual</t>
  </si>
  <si>
    <t>Actual</t>
  </si>
  <si>
    <t xml:space="preserve">     FUND</t>
  </si>
  <si>
    <t xml:space="preserve"> Expenditures</t>
  </si>
  <si>
    <t>Tax Rate *</t>
  </si>
  <si>
    <t>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</si>
  <si>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</si>
  <si>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</si>
  <si>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</si>
  <si>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</si>
  <si>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</si>
  <si>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</si>
  <si>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</si>
  <si>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</si>
  <si>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</si>
  <si>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</si>
  <si>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</si>
  <si>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</si>
  <si>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</si>
  <si>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</si>
  <si>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</si>
  <si>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</si>
  <si>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</si>
  <si>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</si>
  <si>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</si>
  <si>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</si>
  <si>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</si>
  <si>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</si>
  <si>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</si>
  <si>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</si>
  <si>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</si>
  <si>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</si>
  <si>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</si>
  <si>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</si>
  <si>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</si>
  <si>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</si>
  <si>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</si>
  <si>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</si>
  <si>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</si>
  <si>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</si>
  <si>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</si>
  <si>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</si>
  <si>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</si>
  <si>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</si>
  <si>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We, the undersigned,  officers of</t>
  </si>
  <si>
    <t>Received_______________</t>
  </si>
  <si>
    <t>Reviewed by___________</t>
  </si>
  <si>
    <t>Follow-up:  Yes___No___</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</si>
  <si>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</si>
  <si>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</si>
  <si>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</si>
  <si>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</si>
  <si>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</si>
  <si>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</si>
  <si>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</si>
  <si>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OPTIONAL DETAIL PAGE FOR ANY FUND</t>
  </si>
  <si>
    <t>STATEMENT OF INDEBTEDNESS</t>
  </si>
  <si>
    <t>16/20M Veh</t>
  </si>
  <si>
    <t>MVT</t>
  </si>
  <si>
    <t>RVT</t>
  </si>
  <si>
    <t>County Treasurers 16/20M Vehicle Estimate</t>
  </si>
  <si>
    <t>16/20M Vehicle Factor</t>
  </si>
  <si>
    <t>hearing and answering objections of taxpayers relating  to the proposed use of all funds and the amount of ad valorem tax.</t>
  </si>
  <si>
    <t>Amount of Levy</t>
  </si>
  <si>
    <t xml:space="preserve"> 1.</t>
  </si>
  <si>
    <t>+</t>
  </si>
  <si>
    <t>$</t>
  </si>
  <si>
    <t xml:space="preserve"> 2.</t>
  </si>
  <si>
    <t>-</t>
  </si>
  <si>
    <t xml:space="preserve"> 4.</t>
  </si>
  <si>
    <t xml:space="preserve"> 5.</t>
  </si>
  <si>
    <t>5a.</t>
  </si>
  <si>
    <t>12-825d</t>
  </si>
  <si>
    <t>12-1,118</t>
  </si>
  <si>
    <t>12-1-118</t>
  </si>
  <si>
    <t>12-1,117</t>
  </si>
  <si>
    <t>12-197</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</si>
  <si>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</si>
  <si>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</si>
  <si>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</si>
  <si>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</si>
  <si>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</si>
  <si>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</si>
  <si>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</si>
  <si>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</si>
  <si>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</si>
  <si>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</si>
  <si>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</si>
  <si>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</si>
  <si>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</si>
  <si>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</si>
  <si>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</si>
  <si>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</si>
  <si>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</si>
  <si>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</si>
  <si>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</si>
  <si>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</si>
  <si>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</si>
  <si>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</si>
  <si>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</si>
  <si>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</si>
  <si>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</si>
  <si>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</si>
  <si>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</si>
  <si>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</si>
  <si>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</si>
  <si>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</si>
  <si>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</si>
  <si>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</si>
  <si>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</si>
  <si>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</si>
  <si>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</si>
  <si>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</si>
  <si>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</si>
  <si>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</si>
  <si>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</si>
  <si>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</si>
  <si>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</si>
  <si>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</si>
  <si>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</si>
  <si>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</si>
  <si>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</si>
  <si>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</si>
  <si>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</si>
  <si>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</si>
  <si>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</si>
  <si>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</si>
  <si>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</si>
  <si>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</si>
  <si>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</si>
  <si>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</si>
  <si>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</si>
  <si>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</si>
  <si>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</si>
  <si>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</si>
  <si>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</si>
  <si>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</si>
  <si>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 xml:space="preserve">Fund </t>
  </si>
  <si>
    <t>Current</t>
  </si>
  <si>
    <t>Proposed</t>
  </si>
  <si>
    <t>The General fund has a detail page (general-detail) which can be used to disclose more insight of the expenditures by a department.  The expenditures categories can be changed or additional lines can be added if needed.  If used, ensure the amounts agree with the General fund page amounts.</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</si>
  <si>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</si>
  <si>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</si>
  <si>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</si>
  <si>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</si>
  <si>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</si>
  <si>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</si>
  <si>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</si>
  <si>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</si>
  <si>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</si>
  <si>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</si>
  <si>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</si>
  <si>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</si>
  <si>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</si>
  <si>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</si>
  <si>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</si>
  <si>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</si>
  <si>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</si>
  <si>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</si>
  <si>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Bond &amp; Interest</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</si>
  <si>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</si>
  <si>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</si>
  <si>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</si>
  <si>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</si>
  <si>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</si>
  <si>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</si>
  <si>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</si>
  <si>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</si>
  <si>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</si>
  <si>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</si>
  <si>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</si>
  <si>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</si>
  <si>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</si>
  <si>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</si>
  <si>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 xml:space="preserve">Prior Year Actual </t>
  </si>
  <si>
    <t>County Transfers Gas</t>
  </si>
  <si>
    <t>Ad Valorem</t>
  </si>
  <si>
    <t>Tax</t>
  </si>
  <si>
    <t>Beginning Amount</t>
  </si>
  <si>
    <t xml:space="preserve">of </t>
  </si>
  <si>
    <t>Outstanding</t>
  </si>
  <si>
    <t>Retirement</t>
  </si>
  <si>
    <t xml:space="preserve">Total Other </t>
  </si>
  <si>
    <t>Transfers</t>
  </si>
  <si>
    <t xml:space="preserve">Transferred </t>
  </si>
  <si>
    <t>Transferred</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</si>
  <si>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</si>
  <si>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</si>
  <si>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</si>
  <si>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</si>
  <si>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</si>
  <si>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</si>
  <si>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</si>
  <si>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</si>
  <si>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</si>
  <si>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</si>
  <si>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</si>
  <si>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</si>
  <si>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</si>
  <si>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</si>
  <si>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</si>
  <si>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Tax Levy Amount</t>
  </si>
  <si>
    <t>Estimate</t>
  </si>
  <si>
    <t xml:space="preserve"> Delinquency Computation % Rate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</si>
  <si>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</si>
  <si>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</si>
  <si>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</si>
  <si>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</si>
  <si>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</si>
  <si>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</si>
  <si>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</si>
  <si>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</si>
  <si>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</si>
  <si>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</si>
  <si>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</si>
  <si>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</si>
  <si>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</si>
  <si>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</si>
  <si>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</si>
  <si>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</si>
  <si>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</si>
  <si>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</si>
  <si>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</si>
  <si>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</si>
  <si>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</si>
  <si>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</si>
  <si>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</si>
  <si>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</si>
  <si>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</si>
  <si>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</si>
  <si>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</si>
  <si>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3a.  If someone other than a municipal employee assists in preparing the budget, please enter the person's or firm's name and address in the area provided. </t>
  </si>
  <si>
    <t>4a. Print the Ordinance page (ordinance) if the max levy is exceeded.  Complete the printed ordinance and have it published.  Ensure the published ordinance is attached to the budget.</t>
  </si>
  <si>
    <t>City 2 spreadsheets has General Fund page (general), Bond &amp; Interest page (bondint), 10 tax levy pages (levy page9 to levy page13), Special Highway page (Sp Hiway), 11 no levy fund pages (nolevypage15 to nolevypage19 with one under the Sp Hiway tab), 4 single no levy pages (SinNoLevy18-SinNolevy21), and 20 non-budgeted fund pages (NonBudA to NonBudB).</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</si>
  <si>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</si>
  <si>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</si>
  <si>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</si>
  <si>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</si>
  <si>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</si>
  <si>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</si>
  <si>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</si>
  <si>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</si>
  <si>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</si>
  <si>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November 1st Total Assessed Valuation</t>
  </si>
  <si>
    <t>4. The information for the Computation to Determine Limit Page (computation) comes from data on the Input Pages (inputpryr and inputOth) and Bond &amp; Interest Page (BondInt). If there is incorrect information on the Computation Page, please correct the source of the information from either the Input Pages or Bond &amp; Interest Page. If you can not correct the error, please call us for assistance.</t>
  </si>
  <si>
    <t>3b.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</si>
  <si>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6. The Schedule of Transfers (transfers) is completed from the individual completed fund pages. Be sure to provide the statute that authorizes the transfer. Before submitting the budget, suggest printing off the Schedule of Transfers page and tracing entries to each fund page.</t>
  </si>
  <si>
    <r>
      <t xml:space="preserve">7.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</si>
  <si>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t>**</t>
  </si>
  <si>
    <t>**Note: The two bold yellow figures should agree.</t>
  </si>
  <si>
    <t>**Note: These two block figures should agree.</t>
  </si>
  <si>
    <t>Transfer-Electric Utility</t>
  </si>
  <si>
    <t>Transfer-Capital Imrov</t>
  </si>
  <si>
    <t>Transfer-VMS Depr/Repl</t>
  </si>
  <si>
    <t>Transfer-Youth Activity</t>
  </si>
  <si>
    <t>Transfer-Aquatic Center</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</si>
  <si>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</si>
  <si>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</si>
  <si>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</si>
  <si>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</si>
  <si>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</si>
  <si>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</si>
  <si>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 xml:space="preserve">8.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</si>
  <si>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9.  The spreadsheet has individual fund sheets for General Fund (general), Bond &amp; Interest (BondInt),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</si>
  <si>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Outstanding Indebtedness, January 1:</t>
  </si>
  <si>
    <t>If any of the numbers are wrong, change them on this input sheet.</t>
  </si>
  <si>
    <t>Enter the following information from the sources shown.  This information                                              will be entered on the budget forms in the appropriate locations.</t>
  </si>
  <si>
    <t>will meet on the 10th day of August, 2010, at 6:30 p.m. at City Hall, 7th &amp; Walnut in the Commission Room for the purpose of</t>
  </si>
  <si>
    <t>Police VIN Receipts</t>
  </si>
  <si>
    <t xml:space="preserve">Reimbursements </t>
  </si>
  <si>
    <t>Special Park &amp; Recreation - Contractual</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</si>
  <si>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</si>
  <si>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</si>
  <si>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</si>
  <si>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</si>
  <si>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</si>
  <si>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</si>
  <si>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</si>
  <si>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</si>
  <si>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Total Expenditures/Non-Appropriated Bal</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</si>
  <si>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</si>
  <si>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</si>
  <si>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</si>
  <si>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</si>
  <si>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</si>
  <si>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r>
      <t xml:space="preserve">Note: Adjustments are only required if the transfer expenditure </t>
    </r>
    <r>
      <rPr>
        <u val="single"/>
        <sz val="12"/>
        <rFont val="Times New Roman"/>
        <family val="1"/>
      </rPr>
      <t>is not shown</t>
    </r>
    <r>
      <rPr>
        <sz val="12"/>
        <rFont val="Times New Roman"/>
        <family val="1"/>
      </rPr>
      <t xml:space="preserve"> in the Budget Summary total.</t>
    </r>
  </si>
  <si>
    <t>FUND PAGE</t>
  </si>
  <si>
    <t>Net Valuation Factor:</t>
  </si>
  <si>
    <t>Neighborhood Revitalization Subj to Rebate</t>
  </si>
  <si>
    <t>Neighborhood Revitalization factor</t>
  </si>
  <si>
    <t>Neighborhood Revitalization Rebate</t>
  </si>
  <si>
    <t>Miscellaneous</t>
  </si>
  <si>
    <t>Does miscellaneous exceed 10% of Total Expenditures</t>
  </si>
  <si>
    <t>Does miscellaneous exceed 10% of Total Receipts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</si>
</sst>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0.000"/>
  </numFmts>
  <fonts count="58">
    <font>
      <sz val="12"/>
      <name val="Courier"/>
      <family val="0"/>
    </font>
    <font>
      <sz val="11"/>
      <color indexed="8"/>
      <name val="Calibri"/>
      <family val="2"/>
    </font>
    <font>
      <b/>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0"/>
      <name val="Times New Roman"/>
      <family val="1"/>
    </font>
    <font>
      <sz val="11"/>
      <name val="Times New Roman"/>
      <family val="1"/>
    </font>
    <font>
      <sz val="9"/>
      <name val="Times New Roman"/>
      <family val="1"/>
    </font>
    <font>
      <sz val="8"/>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8"/>
      <color indexed="10"/>
      <name val="Times New Roman"/>
      <family val="1"/>
    </font>
    <font>
      <sz val="8"/>
      <name val="Tahoma"/>
      <family val="2"/>
    </font>
    <font>
      <b/>
      <sz val="8"/>
      <name val="Tahoma"/>
      <family val="2"/>
    </font>
    <font>
      <b/>
      <sz val="9"/>
      <name val="Tahoma"/>
      <family val="2"/>
    </font>
    <font>
      <sz val="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ourier"/>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top style="thin"/>
      <bottom/>
    </border>
    <border>
      <left/>
      <right/>
      <top/>
      <bottom style="double"/>
    </border>
    <border>
      <left style="thin"/>
      <right style="thin"/>
      <top style="thin"/>
      <bottom style="double"/>
    </border>
    <border>
      <left/>
      <right style="thin"/>
      <top style="thin"/>
      <bottom/>
    </border>
    <border>
      <left style="thin"/>
      <right/>
      <top style="thin"/>
      <bottom/>
    </border>
    <border>
      <left/>
      <right style="thin"/>
      <top/>
      <bottom style="thin"/>
    </border>
    <border>
      <left style="thin"/>
      <right/>
      <top/>
      <bottom style="thin"/>
    </border>
    <border>
      <left/>
      <right/>
      <top style="thin"/>
      <bottom style="double"/>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83">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lignment horizontal="left"/>
    </xf>
    <xf numFmtId="0" fontId="4" fillId="0" borderId="0" xfId="0" applyFont="1" applyAlignment="1">
      <alignment wrapText="1"/>
    </xf>
    <xf numFmtId="0" fontId="4" fillId="0" borderId="0" xfId="0" applyFont="1" applyAlignment="1" applyProtection="1">
      <alignment wrapText="1"/>
      <protection/>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7" fontId="4" fillId="0" borderId="0" xfId="0" applyNumberFormat="1" applyFont="1" applyAlignment="1" applyProtection="1">
      <alignment/>
      <protection locked="0"/>
    </xf>
    <xf numFmtId="0" fontId="4" fillId="33" borderId="11" xfId="0" applyFont="1" applyFill="1" applyBorder="1" applyAlignment="1" applyProtection="1">
      <alignment/>
      <protection locked="0"/>
    </xf>
    <xf numFmtId="0" fontId="4" fillId="0" borderId="0" xfId="0" applyFont="1" applyAlignment="1">
      <alignment horizontal="centerContinuous"/>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0" xfId="0" applyFont="1" applyFill="1" applyAlignment="1" applyProtection="1">
      <alignment/>
      <protection locked="0"/>
    </xf>
    <xf numFmtId="3"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0" fontId="6" fillId="0" borderId="0" xfId="0" applyFont="1" applyAlignment="1">
      <alignment/>
    </xf>
    <xf numFmtId="0" fontId="4" fillId="34" borderId="11" xfId="0" applyFont="1" applyFill="1" applyBorder="1" applyAlignment="1" applyProtection="1">
      <alignment/>
      <protection/>
    </xf>
    <xf numFmtId="0" fontId="4" fillId="34" borderId="0" xfId="0" applyFont="1" applyFill="1" applyAlignment="1" applyProtection="1">
      <alignment/>
      <protection/>
    </xf>
    <xf numFmtId="37" fontId="3" fillId="34" borderId="0" xfId="0" applyNumberFormat="1" applyFont="1" applyFill="1" applyAlignment="1" applyProtection="1">
      <alignment horizontal="lef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1" xfId="0" applyNumberFormat="1" applyFont="1" applyFill="1" applyBorder="1" applyAlignment="1" applyProtection="1">
      <alignment horizontal="fill"/>
      <protection/>
    </xf>
    <xf numFmtId="37" fontId="4" fillId="34" borderId="15" xfId="0" applyNumberFormat="1" applyFont="1" applyFill="1" applyBorder="1" applyAlignment="1" applyProtection="1">
      <alignment horizontal="left"/>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center"/>
      <protection/>
    </xf>
    <xf numFmtId="37" fontId="3" fillId="34" borderId="11" xfId="0" applyNumberFormat="1" applyFont="1" applyFill="1" applyBorder="1" applyAlignment="1" applyProtection="1">
      <alignment horizontal="left"/>
      <protection/>
    </xf>
    <xf numFmtId="37" fontId="4" fillId="34" borderId="17" xfId="0" applyNumberFormat="1" applyFont="1" applyFill="1" applyBorder="1" applyAlignment="1" applyProtection="1">
      <alignment horizontal="center"/>
      <protection/>
    </xf>
    <xf numFmtId="37" fontId="4" fillId="34" borderId="12" xfId="0" applyNumberFormat="1"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6" xfId="0" applyFont="1" applyFill="1" applyBorder="1" applyAlignment="1" applyProtection="1">
      <alignment/>
      <protection/>
    </xf>
    <xf numFmtId="0" fontId="4" fillId="34" borderId="10" xfId="0" applyFont="1" applyFill="1" applyBorder="1" applyAlignment="1" applyProtection="1">
      <alignment/>
      <protection/>
    </xf>
    <xf numFmtId="0" fontId="4" fillId="34" borderId="17" xfId="0" applyFont="1" applyFill="1" applyBorder="1" applyAlignment="1" applyProtection="1">
      <alignmen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fill"/>
      <protection/>
    </xf>
    <xf numFmtId="0" fontId="4" fillId="34" borderId="18" xfId="0" applyFont="1" applyFill="1" applyBorder="1" applyAlignment="1" applyProtection="1">
      <alignment/>
      <protection/>
    </xf>
    <xf numFmtId="37" fontId="4" fillId="34" borderId="16" xfId="0" applyNumberFormat="1" applyFont="1" applyFill="1" applyBorder="1" applyAlignment="1" applyProtection="1">
      <alignment horizontal="left"/>
      <protection/>
    </xf>
    <xf numFmtId="37" fontId="4" fillId="34" borderId="17" xfId="0" applyNumberFormat="1" applyFont="1" applyFill="1" applyBorder="1" applyAlignment="1" applyProtection="1">
      <alignment horizontal="left"/>
      <protection/>
    </xf>
    <xf numFmtId="37" fontId="4" fillId="34" borderId="0" xfId="0" applyNumberFormat="1" applyFont="1" applyFill="1" applyAlignment="1" applyProtection="1">
      <alignment horizontal="center"/>
      <protection/>
    </xf>
    <xf numFmtId="0" fontId="4" fillId="34" borderId="0" xfId="0" applyFont="1" applyFill="1" applyAlignment="1">
      <alignment/>
    </xf>
    <xf numFmtId="37" fontId="4" fillId="34" borderId="0" xfId="0" applyNumberFormat="1" applyFont="1" applyFill="1" applyAlignment="1">
      <alignment/>
    </xf>
    <xf numFmtId="0" fontId="3" fillId="34" borderId="0" xfId="0" applyFont="1" applyFill="1" applyAlignment="1">
      <alignment horizontal="center"/>
    </xf>
    <xf numFmtId="0" fontId="3" fillId="34" borderId="0" xfId="0" applyFont="1" applyFill="1" applyAlignment="1">
      <alignment horizontal="center" wrapText="1"/>
    </xf>
    <xf numFmtId="0" fontId="4" fillId="34" borderId="0" xfId="0" applyFont="1" applyFill="1" applyAlignment="1" quotePrefix="1">
      <alignment horizontal="right"/>
    </xf>
    <xf numFmtId="3" fontId="4" fillId="34" borderId="0" xfId="0" applyNumberFormat="1" applyFont="1" applyFill="1" applyAlignment="1">
      <alignment/>
    </xf>
    <xf numFmtId="3" fontId="4" fillId="34" borderId="0" xfId="0" applyNumberFormat="1" applyFont="1" applyFill="1" applyAlignment="1" quotePrefix="1">
      <alignment/>
    </xf>
    <xf numFmtId="3" fontId="4" fillId="34" borderId="11" xfId="0" applyNumberFormat="1" applyFont="1" applyFill="1" applyBorder="1" applyAlignment="1">
      <alignment/>
    </xf>
    <xf numFmtId="0" fontId="3" fillId="34" borderId="0" xfId="0" applyFont="1" applyFill="1" applyAlignment="1">
      <alignment/>
    </xf>
    <xf numFmtId="3" fontId="4" fillId="34" borderId="13" xfId="0" applyNumberFormat="1" applyFont="1" applyFill="1" applyBorder="1" applyAlignment="1">
      <alignment/>
    </xf>
    <xf numFmtId="3" fontId="4" fillId="34" borderId="11" xfId="0" applyNumberFormat="1" applyFont="1" applyFill="1" applyBorder="1" applyAlignment="1" applyProtection="1">
      <alignment/>
      <protection/>
    </xf>
    <xf numFmtId="3" fontId="4" fillId="34" borderId="0" xfId="0" applyNumberFormat="1" applyFont="1" applyFill="1" applyBorder="1" applyAlignment="1">
      <alignment/>
    </xf>
    <xf numFmtId="0" fontId="4" fillId="34" borderId="0" xfId="0" applyFont="1" applyFill="1" applyAlignment="1" quotePrefix="1">
      <alignment/>
    </xf>
    <xf numFmtId="0" fontId="4" fillId="34" borderId="0" xfId="0" applyFont="1" applyFill="1" applyAlignment="1">
      <alignment horizontal="right"/>
    </xf>
    <xf numFmtId="3" fontId="4" fillId="34" borderId="13" xfId="0" applyNumberFormat="1" applyFont="1" applyFill="1" applyBorder="1" applyAlignment="1" applyProtection="1">
      <alignment/>
      <protection/>
    </xf>
    <xf numFmtId="3" fontId="4" fillId="34" borderId="0" xfId="0" applyNumberFormat="1" applyFont="1" applyFill="1" applyAlignment="1" applyProtection="1">
      <alignment/>
      <protection/>
    </xf>
    <xf numFmtId="3" fontId="4" fillId="34" borderId="19" xfId="0" applyNumberFormat="1" applyFont="1" applyFill="1" applyBorder="1" applyAlignment="1">
      <alignment/>
    </xf>
    <xf numFmtId="0" fontId="4" fillId="34" borderId="19" xfId="0" applyFont="1" applyFill="1" applyBorder="1" applyAlignment="1">
      <alignment/>
    </xf>
    <xf numFmtId="0" fontId="4" fillId="34" borderId="0" xfId="0" applyFont="1" applyFill="1" applyBorder="1" applyAlignment="1">
      <alignment/>
    </xf>
    <xf numFmtId="167" fontId="4" fillId="34" borderId="11" xfId="0" applyNumberFormat="1" applyFont="1" applyFill="1" applyBorder="1" applyAlignment="1">
      <alignment/>
    </xf>
    <xf numFmtId="0" fontId="4" fillId="34" borderId="0" xfId="0" applyFont="1" applyFill="1" applyBorder="1" applyAlignment="1" quotePrefix="1">
      <alignment/>
    </xf>
    <xf numFmtId="3" fontId="4" fillId="34" borderId="20" xfId="0" applyNumberFormat="1" applyFont="1" applyFill="1" applyBorder="1" applyAlignment="1">
      <alignment/>
    </xf>
    <xf numFmtId="37" fontId="4" fillId="34" borderId="0" xfId="0" applyNumberFormat="1" applyFont="1" applyFill="1" applyAlignment="1" applyProtection="1">
      <alignment/>
      <protection/>
    </xf>
    <xf numFmtId="37" fontId="4" fillId="34" borderId="21" xfId="0" applyNumberFormat="1" applyFont="1" applyFill="1" applyBorder="1" applyAlignment="1" applyProtection="1">
      <alignment/>
      <protection/>
    </xf>
    <xf numFmtId="37" fontId="4" fillId="34" borderId="11" xfId="0" applyNumberFormat="1" applyFont="1" applyFill="1" applyBorder="1" applyAlignment="1" applyProtection="1">
      <alignment/>
      <protection/>
    </xf>
    <xf numFmtId="0" fontId="3" fillId="34" borderId="0" xfId="56" applyFont="1" applyFill="1" applyAlignment="1" applyProtection="1">
      <alignment horizontal="centerContinuous"/>
      <protection/>
    </xf>
    <xf numFmtId="0" fontId="4" fillId="34" borderId="15" xfId="0" applyFont="1" applyFill="1" applyBorder="1" applyAlignment="1" applyProtection="1">
      <alignment horizontal="center"/>
      <protection/>
    </xf>
    <xf numFmtId="0" fontId="4" fillId="34" borderId="22"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6"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14" fontId="4" fillId="34" borderId="17" xfId="0" applyNumberFormat="1" applyFont="1" applyFill="1" applyBorder="1" applyAlignment="1" applyProtection="1" quotePrefix="1">
      <alignment horizontal="center"/>
      <protection/>
    </xf>
    <xf numFmtId="0" fontId="4" fillId="34" borderId="10" xfId="0" applyFont="1" applyFill="1" applyBorder="1" applyAlignment="1" applyProtection="1">
      <alignment horizontal="center"/>
      <protection/>
    </xf>
    <xf numFmtId="0" fontId="4" fillId="34" borderId="10" xfId="0" applyFont="1" applyFill="1" applyBorder="1" applyAlignment="1" applyProtection="1">
      <alignment horizontal="left"/>
      <protection/>
    </xf>
    <xf numFmtId="2" fontId="4" fillId="34" borderId="10" xfId="0" applyNumberFormat="1" applyFont="1" applyFill="1" applyBorder="1" applyAlignment="1" applyProtection="1">
      <alignment/>
      <protection/>
    </xf>
    <xf numFmtId="3" fontId="4" fillId="34" borderId="10" xfId="0" applyNumberFormat="1" applyFont="1" applyFill="1" applyBorder="1" applyAlignment="1" applyProtection="1">
      <alignment/>
      <protection/>
    </xf>
    <xf numFmtId="0" fontId="3" fillId="34" borderId="10" xfId="0" applyFont="1" applyFill="1" applyBorder="1" applyAlignment="1" applyProtection="1">
      <alignment horizontal="left"/>
      <protection/>
    </xf>
    <xf numFmtId="0" fontId="4" fillId="34" borderId="11" xfId="0" applyFont="1" applyFill="1" applyBorder="1" applyAlignment="1" applyProtection="1">
      <alignment horizontal="fill"/>
      <protection/>
    </xf>
    <xf numFmtId="0" fontId="4" fillId="34" borderId="11" xfId="0" applyFont="1" applyFill="1" applyBorder="1" applyAlignment="1" applyProtection="1">
      <alignment horizontal="left"/>
      <protection/>
    </xf>
    <xf numFmtId="0" fontId="3" fillId="34" borderId="0" xfId="0" applyFont="1" applyFill="1" applyAlignment="1" applyProtection="1">
      <alignment horizontal="left"/>
      <protection/>
    </xf>
    <xf numFmtId="0" fontId="3" fillId="34" borderId="0" xfId="0" applyFont="1" applyFill="1" applyAlignment="1" applyProtection="1">
      <alignment/>
      <protection/>
    </xf>
    <xf numFmtId="0" fontId="4" fillId="34" borderId="0" xfId="0" applyFont="1" applyFill="1" applyBorder="1" applyAlignment="1" applyProtection="1">
      <alignment horizontal="fill"/>
      <protection/>
    </xf>
    <xf numFmtId="0" fontId="4" fillId="34" borderId="0" xfId="0" applyFont="1" applyFill="1" applyAlignment="1" applyProtection="1">
      <alignment horizontal="left"/>
      <protection/>
    </xf>
    <xf numFmtId="1" fontId="4" fillId="34" borderId="15" xfId="0" applyNumberFormat="1" applyFont="1" applyFill="1" applyBorder="1" applyAlignment="1" applyProtection="1">
      <alignment horizontal="center"/>
      <protection/>
    </xf>
    <xf numFmtId="166" fontId="4" fillId="34" borderId="0" xfId="0" applyNumberFormat="1" applyFont="1" applyFill="1" applyAlignment="1" applyProtection="1">
      <alignment/>
      <protection/>
    </xf>
    <xf numFmtId="1"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fill"/>
      <protection/>
    </xf>
    <xf numFmtId="3" fontId="4" fillId="34" borderId="10" xfId="0" applyNumberFormat="1" applyFont="1" applyFill="1" applyBorder="1" applyAlignment="1" applyProtection="1">
      <alignment horizontal="fill"/>
      <protection/>
    </xf>
    <xf numFmtId="0" fontId="4" fillId="34" borderId="0" xfId="0" applyFont="1" applyFill="1" applyAlignment="1" applyProtection="1">
      <alignment horizontal="fill"/>
      <protection/>
    </xf>
    <xf numFmtId="37" fontId="4" fillId="33" borderId="0" xfId="0" applyNumberFormat="1" applyFont="1" applyFill="1" applyAlignment="1" applyProtection="1">
      <alignment horizontal="left"/>
      <protection locked="0"/>
    </xf>
    <xf numFmtId="0" fontId="4" fillId="33" borderId="0" xfId="0" applyFont="1" applyFill="1" applyAlignment="1" applyProtection="1">
      <alignment horizontal="left"/>
      <protection locked="0"/>
    </xf>
    <xf numFmtId="0" fontId="4" fillId="33" borderId="10" xfId="0" applyFont="1" applyFill="1" applyBorder="1" applyAlignment="1" applyProtection="1">
      <alignment horizontal="left"/>
      <protection locked="0"/>
    </xf>
    <xf numFmtId="3" fontId="4" fillId="34" borderId="11" xfId="0" applyNumberFormat="1" applyFont="1" applyFill="1" applyBorder="1" applyAlignment="1" applyProtection="1">
      <alignment horizontal="fill"/>
      <protection/>
    </xf>
    <xf numFmtId="37" fontId="3" fillId="34" borderId="0" xfId="0" applyNumberFormat="1" applyFont="1" applyFill="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4" fillId="34" borderId="0" xfId="0" applyFont="1" applyFill="1" applyBorder="1" applyAlignment="1" applyProtection="1">
      <alignment/>
      <protection/>
    </xf>
    <xf numFmtId="1" fontId="5" fillId="34" borderId="0" xfId="0" applyNumberFormat="1" applyFont="1" applyFill="1" applyAlignment="1" applyProtection="1">
      <alignment horizontal="center"/>
      <protection/>
    </xf>
    <xf numFmtId="0" fontId="4" fillId="33" borderId="0" xfId="0" applyFont="1" applyFill="1" applyAlignment="1">
      <alignment/>
    </xf>
    <xf numFmtId="0" fontId="4" fillId="34" borderId="0" xfId="0" applyFont="1" applyFill="1" applyAlignment="1">
      <alignment wrapText="1"/>
    </xf>
    <xf numFmtId="37" fontId="3" fillId="34" borderId="0" xfId="0" applyNumberFormat="1" applyFont="1" applyFill="1" applyAlignment="1" applyProtection="1">
      <alignment horizontal="centerContinuous" vertical="justify"/>
      <protection/>
    </xf>
    <xf numFmtId="37" fontId="4" fillId="34" borderId="11" xfId="0" applyNumberFormat="1" applyFont="1" applyFill="1" applyBorder="1" applyAlignment="1" applyProtection="1">
      <alignment horizontal="left"/>
      <protection/>
    </xf>
    <xf numFmtId="37" fontId="4" fillId="34" borderId="13" xfId="0" applyNumberFormat="1" applyFont="1" applyFill="1" applyBorder="1" applyAlignment="1" applyProtection="1">
      <alignment horizontal="left"/>
      <protection/>
    </xf>
    <xf numFmtId="37" fontId="3" fillId="34" borderId="13" xfId="0" applyNumberFormat="1" applyFont="1" applyFill="1" applyBorder="1" applyAlignment="1" applyProtection="1">
      <alignment horizontal="left"/>
      <protection/>
    </xf>
    <xf numFmtId="0" fontId="0" fillId="34" borderId="0" xfId="0" applyFill="1" applyAlignment="1" applyProtection="1">
      <alignment/>
      <protection/>
    </xf>
    <xf numFmtId="0" fontId="4" fillId="34" borderId="13" xfId="0" applyFont="1" applyFill="1" applyBorder="1" applyAlignment="1" applyProtection="1">
      <alignment/>
      <protection/>
    </xf>
    <xf numFmtId="0" fontId="4" fillId="34" borderId="0" xfId="0" applyFont="1" applyFill="1" applyAlignment="1" applyProtection="1">
      <alignment horizontal="centerContinuous" vertical="justify"/>
      <protection/>
    </xf>
    <xf numFmtId="0" fontId="4" fillId="34" borderId="24" xfId="0" applyFont="1" applyFill="1" applyBorder="1" applyAlignment="1" applyProtection="1">
      <alignment/>
      <protection/>
    </xf>
    <xf numFmtId="3" fontId="4" fillId="34" borderId="24" xfId="0" applyNumberFormat="1" applyFont="1" applyFill="1" applyBorder="1" applyAlignment="1" applyProtection="1">
      <alignment/>
      <protection/>
    </xf>
    <xf numFmtId="3" fontId="4" fillId="34" borderId="14" xfId="0" applyNumberFormat="1" applyFont="1" applyFill="1" applyBorder="1" applyAlignment="1" applyProtection="1">
      <alignment/>
      <protection/>
    </xf>
    <xf numFmtId="37" fontId="4" fillId="34" borderId="17" xfId="0" applyNumberFormat="1" applyFont="1" applyFill="1" applyBorder="1" applyAlignment="1" applyProtection="1">
      <alignment/>
      <protection/>
    </xf>
    <xf numFmtId="37" fontId="4" fillId="34" borderId="17" xfId="0" applyNumberFormat="1" applyFont="1" applyFill="1" applyBorder="1" applyAlignment="1" applyProtection="1">
      <alignment horizontal="fill"/>
      <protection/>
    </xf>
    <xf numFmtId="0" fontId="4" fillId="33" borderId="10" xfId="0" applyFont="1" applyFill="1" applyBorder="1" applyAlignment="1" applyProtection="1">
      <alignment/>
      <protection locked="0"/>
    </xf>
    <xf numFmtId="37" fontId="3" fillId="35" borderId="0" xfId="0" applyNumberFormat="1" applyFont="1" applyFill="1" applyAlignment="1" applyProtection="1">
      <alignment horizontal="left"/>
      <protection/>
    </xf>
    <xf numFmtId="0" fontId="4" fillId="35" borderId="0" xfId="0" applyFont="1" applyFill="1" applyAlignment="1" applyProtection="1">
      <alignment/>
      <protection/>
    </xf>
    <xf numFmtId="37" fontId="3" fillId="36" borderId="0" xfId="0" applyNumberFormat="1" applyFont="1" applyFill="1" applyAlignment="1" applyProtection="1">
      <alignment horizontal="left"/>
      <protection/>
    </xf>
    <xf numFmtId="0" fontId="4" fillId="36" borderId="0" xfId="0" applyFont="1" applyFill="1" applyAlignment="1" applyProtection="1">
      <alignment/>
      <protection/>
    </xf>
    <xf numFmtId="3" fontId="4" fillId="36" borderId="0" xfId="0" applyNumberFormat="1" applyFont="1" applyFill="1" applyAlignment="1" applyProtection="1">
      <alignment/>
      <protection/>
    </xf>
    <xf numFmtId="0" fontId="8" fillId="34" borderId="17" xfId="0" applyFont="1" applyFill="1" applyBorder="1" applyAlignment="1" applyProtection="1">
      <alignment horizontal="center"/>
      <protection/>
    </xf>
    <xf numFmtId="0" fontId="4" fillId="34" borderId="11" xfId="0" applyFont="1" applyFill="1" applyBorder="1" applyAlignment="1" applyProtection="1">
      <alignment horizontal="centerContinuous"/>
      <protection/>
    </xf>
    <xf numFmtId="37" fontId="4" fillId="34" borderId="0" xfId="0" applyNumberFormat="1" applyFont="1" applyFill="1" applyBorder="1" applyAlignment="1" applyProtection="1">
      <alignment horizontal="left"/>
      <protection/>
    </xf>
    <xf numFmtId="171" fontId="4" fillId="34" borderId="10" xfId="0"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0" fontId="4" fillId="34" borderId="0" xfId="0" applyFont="1" applyFill="1" applyAlignment="1" applyProtection="1">
      <alignment horizontal="center"/>
      <protection/>
    </xf>
    <xf numFmtId="0" fontId="3" fillId="34" borderId="11"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0" fontId="4" fillId="34" borderId="0" xfId="0" applyFont="1" applyFill="1" applyAlignment="1" applyProtection="1">
      <alignment/>
      <protection locked="0"/>
    </xf>
    <xf numFmtId="37" fontId="4" fillId="34" borderId="0" xfId="0" applyNumberFormat="1" applyFont="1" applyFill="1" applyBorder="1" applyAlignment="1" applyProtection="1">
      <alignment/>
      <protection/>
    </xf>
    <xf numFmtId="0" fontId="4" fillId="34" borderId="0" xfId="0" applyNumberFormat="1" applyFont="1" applyFill="1" applyAlignment="1" applyProtection="1">
      <alignment horizontal="right"/>
      <protection/>
    </xf>
    <xf numFmtId="37" fontId="4" fillId="34" borderId="10" xfId="0" applyNumberFormat="1" applyFont="1" applyFill="1" applyBorder="1" applyAlignment="1" applyProtection="1">
      <alignment horizontal="center"/>
      <protection/>
    </xf>
    <xf numFmtId="37" fontId="4" fillId="34" borderId="11" xfId="0" applyNumberFormat="1" applyFont="1" applyFill="1" applyBorder="1" applyAlignment="1" applyProtection="1">
      <alignment horizontal="fill"/>
      <protection locked="0"/>
    </xf>
    <xf numFmtId="3" fontId="4" fillId="34" borderId="10" xfId="0" applyNumberFormat="1" applyFont="1" applyFill="1" applyBorder="1" applyAlignment="1" applyProtection="1">
      <alignment/>
      <protection locked="0"/>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0" fontId="4" fillId="34" borderId="17"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3" borderId="10" xfId="0" applyNumberFormat="1" applyFont="1" applyFill="1" applyBorder="1" applyAlignment="1" applyProtection="1">
      <alignment horizontal="right"/>
      <protection locked="0"/>
    </xf>
    <xf numFmtId="37" fontId="3" fillId="34" borderId="12" xfId="0" applyNumberFormat="1" applyFont="1" applyFill="1" applyBorder="1" applyAlignment="1" applyProtection="1">
      <alignment horizontal="left"/>
      <protection/>
    </xf>
    <xf numFmtId="0" fontId="4" fillId="34" borderId="0" xfId="0" applyFont="1" applyFill="1" applyAlignment="1">
      <alignment horizontal="center"/>
    </xf>
    <xf numFmtId="0" fontId="4" fillId="34" borderId="11" xfId="0" applyFont="1" applyFill="1" applyBorder="1" applyAlignment="1">
      <alignment/>
    </xf>
    <xf numFmtId="0" fontId="11" fillId="34" borderId="15" xfId="0" applyFont="1" applyFill="1" applyBorder="1" applyAlignment="1">
      <alignment/>
    </xf>
    <xf numFmtId="0" fontId="11" fillId="34" borderId="14" xfId="0" applyFont="1" applyFill="1" applyBorder="1" applyAlignment="1">
      <alignment horizontal="center"/>
    </xf>
    <xf numFmtId="0" fontId="11" fillId="34" borderId="22" xfId="0" applyFont="1" applyFill="1" applyBorder="1" applyAlignment="1">
      <alignment/>
    </xf>
    <xf numFmtId="0" fontId="11" fillId="34" borderId="10" xfId="0" applyFont="1" applyFill="1" applyBorder="1" applyAlignment="1">
      <alignment horizontal="center"/>
    </xf>
    <xf numFmtId="0" fontId="4" fillId="34" borderId="14" xfId="0" applyFont="1" applyFill="1" applyBorder="1" applyAlignment="1">
      <alignment horizontal="center"/>
    </xf>
    <xf numFmtId="0" fontId="4" fillId="34" borderId="14" xfId="0" applyFont="1" applyFill="1" applyBorder="1" applyAlignment="1">
      <alignment/>
    </xf>
    <xf numFmtId="0" fontId="4" fillId="34" borderId="10" xfId="0" applyFont="1" applyFill="1" applyBorder="1" applyAlignment="1">
      <alignment horizontal="center"/>
    </xf>
    <xf numFmtId="0" fontId="11" fillId="34" borderId="25" xfId="0" applyFont="1" applyFill="1" applyBorder="1" applyAlignment="1">
      <alignment/>
    </xf>
    <xf numFmtId="0" fontId="11" fillId="34" borderId="11" xfId="0" applyFont="1" applyFill="1" applyBorder="1" applyAlignment="1">
      <alignment/>
    </xf>
    <xf numFmtId="0" fontId="11" fillId="34" borderId="0" xfId="0" applyFont="1" applyFill="1" applyAlignment="1">
      <alignment/>
    </xf>
    <xf numFmtId="3" fontId="11" fillId="34" borderId="0" xfId="0" applyNumberFormat="1" applyFont="1" applyFill="1" applyAlignment="1">
      <alignment horizontal="center"/>
    </xf>
    <xf numFmtId="0" fontId="11" fillId="34" borderId="0" xfId="0" applyFont="1" applyFill="1" applyAlignment="1">
      <alignment horizontal="center"/>
    </xf>
    <xf numFmtId="3" fontId="4" fillId="0" borderId="0" xfId="0" applyNumberFormat="1" applyFont="1" applyAlignment="1">
      <alignment/>
    </xf>
    <xf numFmtId="37" fontId="0" fillId="34" borderId="0" xfId="0" applyNumberFormat="1" applyFill="1" applyAlignment="1">
      <alignment/>
    </xf>
    <xf numFmtId="0" fontId="0" fillId="34" borderId="0" xfId="0" applyFill="1" applyAlignment="1">
      <alignment/>
    </xf>
    <xf numFmtId="3" fontId="4" fillId="34" borderId="0" xfId="0" applyNumberFormat="1" applyFont="1" applyFill="1" applyBorder="1" applyAlignment="1" applyProtection="1">
      <alignment/>
      <protection locked="0"/>
    </xf>
    <xf numFmtId="0" fontId="12" fillId="34" borderId="0" xfId="0" applyFont="1" applyFill="1" applyBorder="1" applyAlignment="1" applyProtection="1">
      <alignment horizontal="center"/>
      <protection/>
    </xf>
    <xf numFmtId="0" fontId="0" fillId="34" borderId="0" xfId="0" applyFill="1" applyBorder="1" applyAlignment="1" applyProtection="1">
      <alignment/>
      <protection/>
    </xf>
    <xf numFmtId="0" fontId="0" fillId="34" borderId="11" xfId="0" applyFill="1" applyBorder="1" applyAlignment="1" applyProtection="1">
      <alignment/>
      <protection/>
    </xf>
    <xf numFmtId="0" fontId="3" fillId="36" borderId="0" xfId="0" applyFont="1" applyFill="1" applyAlignment="1">
      <alignment/>
    </xf>
    <xf numFmtId="0" fontId="2" fillId="36" borderId="0" xfId="0" applyFont="1" applyFill="1" applyAlignment="1">
      <alignment/>
    </xf>
    <xf numFmtId="0" fontId="0" fillId="36" borderId="0" xfId="0" applyFill="1" applyAlignment="1" applyProtection="1">
      <alignment/>
      <protection locked="0"/>
    </xf>
    <xf numFmtId="0" fontId="0" fillId="34" borderId="11" xfId="0" applyFill="1" applyBorder="1" applyAlignment="1">
      <alignment/>
    </xf>
    <xf numFmtId="0" fontId="0" fillId="34" borderId="24" xfId="0" applyFill="1" applyBorder="1" applyAlignment="1">
      <alignment/>
    </xf>
    <xf numFmtId="0" fontId="4" fillId="34" borderId="13"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7" borderId="0" xfId="0" applyFill="1" applyAlignment="1">
      <alignment/>
    </xf>
    <xf numFmtId="37" fontId="4" fillId="34" borderId="0" xfId="0" applyNumberFormat="1" applyFont="1" applyFill="1" applyBorder="1" applyAlignment="1" applyProtection="1">
      <alignment horizontal="left"/>
      <protection locked="0"/>
    </xf>
    <xf numFmtId="0" fontId="3" fillId="36" borderId="0" xfId="0" applyFont="1" applyFill="1" applyAlignment="1" applyProtection="1">
      <alignment/>
      <protection/>
    </xf>
    <xf numFmtId="37" fontId="7" fillId="36" borderId="0" xfId="0" applyNumberFormat="1" applyFont="1" applyFill="1" applyAlignment="1" applyProtection="1">
      <alignment horizontal="center"/>
      <protection/>
    </xf>
    <xf numFmtId="0" fontId="7" fillId="36" borderId="11" xfId="0" applyFont="1" applyFill="1" applyBorder="1" applyAlignment="1">
      <alignment horizontal="center"/>
    </xf>
    <xf numFmtId="0" fontId="5" fillId="34" borderId="0" xfId="0" applyFont="1" applyFill="1" applyAlignment="1" applyProtection="1">
      <alignment horizontal="center"/>
      <protection/>
    </xf>
    <xf numFmtId="0" fontId="4" fillId="34" borderId="11" xfId="0" applyFont="1" applyFill="1" applyBorder="1" applyAlignment="1" applyProtection="1">
      <alignment horizontal="center"/>
      <protection/>
    </xf>
    <xf numFmtId="0" fontId="4" fillId="34" borderId="11" xfId="0" applyFont="1" applyFill="1" applyBorder="1" applyAlignment="1" applyProtection="1">
      <alignment horizontal="center"/>
      <protection locked="0"/>
    </xf>
    <xf numFmtId="0" fontId="4" fillId="34" borderId="24" xfId="0" applyFont="1" applyFill="1" applyBorder="1" applyAlignment="1" applyProtection="1">
      <alignment/>
      <protection locked="0"/>
    </xf>
    <xf numFmtId="0" fontId="4" fillId="34" borderId="14" xfId="0" applyFont="1" applyFill="1" applyBorder="1" applyAlignment="1" applyProtection="1">
      <alignment/>
      <protection locked="0"/>
    </xf>
    <xf numFmtId="164" fontId="4" fillId="34" borderId="10" xfId="0" applyNumberFormat="1" applyFont="1" applyFill="1" applyBorder="1" applyAlignment="1" applyProtection="1">
      <alignment/>
      <protection locked="0"/>
    </xf>
    <xf numFmtId="0" fontId="4" fillId="34" borderId="17" xfId="0" applyFont="1" applyFill="1" applyBorder="1" applyAlignment="1">
      <alignment horizontal="center"/>
    </xf>
    <xf numFmtId="3" fontId="4" fillId="34" borderId="11" xfId="0" applyNumberFormat="1" applyFont="1" applyFill="1" applyBorder="1" applyAlignment="1" applyProtection="1">
      <alignment horizontal="center"/>
      <protection/>
    </xf>
    <xf numFmtId="3" fontId="4" fillId="34" borderId="13" xfId="0" applyNumberFormat="1" applyFont="1" applyFill="1" applyBorder="1" applyAlignment="1" applyProtection="1">
      <alignment horizontal="center"/>
      <protection/>
    </xf>
    <xf numFmtId="3" fontId="4" fillId="34" borderId="26" xfId="0" applyNumberFormat="1" applyFont="1" applyFill="1" applyBorder="1" applyAlignment="1" applyProtection="1">
      <alignment horizontal="center"/>
      <protection/>
    </xf>
    <xf numFmtId="166" fontId="4" fillId="34" borderId="11" xfId="0" applyNumberFormat="1" applyFont="1" applyFill="1" applyBorder="1" applyAlignment="1" applyProtection="1">
      <alignment/>
      <protection/>
    </xf>
    <xf numFmtId="37" fontId="4" fillId="34" borderId="11" xfId="0" applyNumberFormat="1" applyFont="1" applyFill="1" applyBorder="1" applyAlignment="1" applyProtection="1" quotePrefix="1">
      <alignment horizontal="right"/>
      <protection/>
    </xf>
    <xf numFmtId="0" fontId="4" fillId="34" borderId="16" xfId="0" applyFont="1" applyFill="1" applyBorder="1" applyAlignment="1">
      <alignment horizontal="center"/>
    </xf>
    <xf numFmtId="1" fontId="4" fillId="34" borderId="25" xfId="0" applyNumberFormat="1" applyFont="1" applyFill="1" applyBorder="1" applyAlignment="1" applyProtection="1">
      <alignment horizontal="center"/>
      <protection/>
    </xf>
    <xf numFmtId="0" fontId="4" fillId="0" borderId="0" xfId="0" applyFont="1" applyAlignment="1" applyProtection="1">
      <alignment horizontal="left"/>
      <protection locked="0"/>
    </xf>
    <xf numFmtId="0" fontId="3" fillId="34" borderId="16"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37" fontId="3" fillId="34" borderId="10" xfId="0" applyNumberFormat="1" applyFont="1" applyFill="1" applyBorder="1" applyAlignment="1" applyProtection="1">
      <alignment horizontal="center"/>
      <protection/>
    </xf>
    <xf numFmtId="37" fontId="4" fillId="34" borderId="22" xfId="0" applyNumberFormat="1" applyFont="1" applyFill="1" applyBorder="1" applyAlignment="1" applyProtection="1">
      <alignment horizontal="center"/>
      <protection/>
    </xf>
    <xf numFmtId="3" fontId="4" fillId="34" borderId="13" xfId="0" applyNumberFormat="1" applyFont="1" applyFill="1" applyBorder="1" applyAlignment="1" applyProtection="1">
      <alignment horizontal="right"/>
      <protection/>
    </xf>
    <xf numFmtId="3" fontId="4" fillId="34" borderId="11" xfId="42" applyNumberFormat="1" applyFont="1" applyFill="1" applyBorder="1" applyAlignment="1" applyProtection="1">
      <alignment/>
      <protection/>
    </xf>
    <xf numFmtId="0" fontId="4" fillId="34" borderId="19" xfId="0" applyFont="1" applyFill="1" applyBorder="1" applyAlignment="1" applyProtection="1">
      <alignment/>
      <protection/>
    </xf>
    <xf numFmtId="0" fontId="4" fillId="33" borderId="10" xfId="0" applyFont="1" applyFill="1" applyBorder="1" applyAlignment="1" applyProtection="1">
      <alignment horizontal="center"/>
      <protection locked="0"/>
    </xf>
    <xf numFmtId="3" fontId="4" fillId="34" borderId="10" xfId="0" applyNumberFormat="1" applyFont="1" applyFill="1" applyBorder="1" applyAlignment="1" applyProtection="1">
      <alignment horizontal="center"/>
      <protection/>
    </xf>
    <xf numFmtId="0" fontId="4" fillId="34" borderId="0" xfId="0" applyFont="1" applyFill="1" applyAlignment="1" applyProtection="1">
      <alignment horizontal="center"/>
      <protection locked="0"/>
    </xf>
    <xf numFmtId="168" fontId="4" fillId="33" borderId="10" xfId="0" applyNumberFormat="1" applyFont="1" applyFill="1" applyBorder="1" applyAlignment="1" applyProtection="1">
      <alignment horizontal="center"/>
      <protection locked="0"/>
    </xf>
    <xf numFmtId="2" fontId="4" fillId="33" borderId="10" xfId="0" applyNumberFormat="1" applyFont="1" applyFill="1" applyBorder="1" applyAlignment="1" applyProtection="1">
      <alignment horizontal="center"/>
      <protection locked="0"/>
    </xf>
    <xf numFmtId="3" fontId="4" fillId="33" borderId="10" xfId="0" applyNumberFormat="1" applyFont="1" applyFill="1" applyBorder="1" applyAlignment="1" applyProtection="1">
      <alignment horizontal="center"/>
      <protection locked="0"/>
    </xf>
    <xf numFmtId="37" fontId="4" fillId="33" borderId="10" xfId="0" applyNumberFormat="1" applyFont="1" applyFill="1" applyBorder="1" applyAlignment="1" applyProtection="1">
      <alignment horizontal="center"/>
      <protection locked="0"/>
    </xf>
    <xf numFmtId="169" fontId="4" fillId="33" borderId="10" xfId="0" applyNumberFormat="1" applyFont="1" applyFill="1" applyBorder="1" applyAlignment="1" applyProtection="1">
      <alignment horizontal="center"/>
      <protection locked="0"/>
    </xf>
    <xf numFmtId="168" fontId="3" fillId="34" borderId="10" xfId="0" applyNumberFormat="1" applyFont="1" applyFill="1" applyBorder="1" applyAlignment="1" applyProtection="1">
      <alignment horizontal="center"/>
      <protection/>
    </xf>
    <xf numFmtId="2" fontId="3" fillId="34" borderId="10" xfId="0" applyNumberFormat="1" applyFont="1" applyFill="1" applyBorder="1" applyAlignment="1" applyProtection="1">
      <alignment horizontal="center"/>
      <protection/>
    </xf>
    <xf numFmtId="3" fontId="3" fillId="34" borderId="10" xfId="0" applyNumberFormat="1" applyFont="1" applyFill="1" applyBorder="1" applyAlignment="1" applyProtection="1">
      <alignment horizontal="center"/>
      <protection/>
    </xf>
    <xf numFmtId="169" fontId="3" fillId="34" borderId="10" xfId="0" applyNumberFormat="1" applyFont="1" applyFill="1" applyBorder="1" applyAlignment="1" applyProtection="1">
      <alignment horizontal="center"/>
      <protection/>
    </xf>
    <xf numFmtId="168" fontId="4" fillId="34" borderId="10" xfId="0" applyNumberFormat="1" applyFont="1" applyFill="1" applyBorder="1" applyAlignment="1" applyProtection="1">
      <alignment horizontal="center"/>
      <protection/>
    </xf>
    <xf numFmtId="2" fontId="4" fillId="34" borderId="10" xfId="0" applyNumberFormat="1" applyFont="1" applyFill="1" applyBorder="1" applyAlignment="1" applyProtection="1">
      <alignment horizontal="center"/>
      <protection/>
    </xf>
    <xf numFmtId="169" fontId="4" fillId="34" borderId="10" xfId="0" applyNumberFormat="1" applyFont="1" applyFill="1" applyBorder="1" applyAlignment="1" applyProtection="1">
      <alignment horizontal="center"/>
      <protection/>
    </xf>
    <xf numFmtId="1" fontId="3" fillId="34" borderId="10" xfId="0" applyNumberFormat="1" applyFont="1" applyFill="1" applyBorder="1" applyAlignment="1" applyProtection="1">
      <alignment horizontal="center"/>
      <protection/>
    </xf>
    <xf numFmtId="1" fontId="4" fillId="34" borderId="10" xfId="0" applyNumberFormat="1" applyFont="1" applyFill="1" applyBorder="1" applyAlignment="1" applyProtection="1">
      <alignment horizontal="center"/>
      <protection/>
    </xf>
    <xf numFmtId="1" fontId="4" fillId="33" borderId="10" xfId="0" applyNumberFormat="1" applyFont="1" applyFill="1" applyBorder="1" applyAlignment="1" applyProtection="1">
      <alignment horizontal="center"/>
      <protection locked="0"/>
    </xf>
    <xf numFmtId="0" fontId="9" fillId="38" borderId="0" xfId="0" applyFont="1" applyFill="1" applyAlignment="1" applyProtection="1">
      <alignment shrinkToFit="1"/>
      <protection/>
    </xf>
    <xf numFmtId="10" fontId="4" fillId="34" borderId="0" xfId="0" applyNumberFormat="1" applyFont="1" applyFill="1" applyAlignment="1" applyProtection="1">
      <alignment horizontal="center"/>
      <protection locked="0"/>
    </xf>
    <xf numFmtId="173" fontId="4" fillId="34" borderId="0" xfId="0" applyNumberFormat="1" applyFont="1" applyFill="1" applyAlignment="1" applyProtection="1">
      <alignment horizontal="center"/>
      <protection locked="0"/>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7" fontId="12" fillId="36" borderId="0" xfId="0" applyNumberFormat="1" applyFont="1" applyFill="1" applyAlignment="1" applyProtection="1">
      <alignment horizontal="left"/>
      <protection/>
    </xf>
    <xf numFmtId="37" fontId="4" fillId="38" borderId="11" xfId="0" applyNumberFormat="1" applyFont="1" applyFill="1" applyBorder="1" applyAlignment="1" applyProtection="1">
      <alignment horizontal="left"/>
      <protection/>
    </xf>
    <xf numFmtId="0" fontId="4" fillId="38" borderId="11" xfId="0" applyFont="1" applyFill="1" applyBorder="1" applyAlignment="1" applyProtection="1">
      <alignment/>
      <protection/>
    </xf>
    <xf numFmtId="37" fontId="4" fillId="38" borderId="13" xfId="0" applyNumberFormat="1" applyFont="1" applyFill="1" applyBorder="1" applyAlignment="1" applyProtection="1">
      <alignment horizontal="left"/>
      <protection/>
    </xf>
    <xf numFmtId="0" fontId="4" fillId="38" borderId="13" xfId="0" applyFont="1" applyFill="1" applyBorder="1" applyAlignment="1" applyProtection="1">
      <alignment/>
      <protection/>
    </xf>
    <xf numFmtId="37" fontId="4" fillId="38" borderId="15" xfId="0" applyNumberFormat="1" applyFont="1" applyFill="1" applyBorder="1" applyAlignment="1" applyProtection="1">
      <alignment horizontal="center"/>
      <protection/>
    </xf>
    <xf numFmtId="37" fontId="4" fillId="38" borderId="17" xfId="0" applyNumberFormat="1" applyFont="1" applyFill="1" applyBorder="1" applyAlignment="1" applyProtection="1">
      <alignment horizontal="center"/>
      <protection/>
    </xf>
    <xf numFmtId="0" fontId="4" fillId="0" borderId="0" xfId="0" applyFont="1" applyFill="1" applyAlignment="1">
      <alignment/>
    </xf>
    <xf numFmtId="0" fontId="4" fillId="0" borderId="0" xfId="0" applyFont="1" applyFill="1" applyAlignment="1">
      <alignment wrapText="1"/>
    </xf>
    <xf numFmtId="0" fontId="4" fillId="38" borderId="0" xfId="0" applyFont="1" applyFill="1" applyAlignment="1">
      <alignment wrapText="1"/>
    </xf>
    <xf numFmtId="37" fontId="4" fillId="0" borderId="0" xfId="0" applyNumberFormat="1" applyFont="1" applyFill="1" applyAlignment="1" applyProtection="1">
      <alignment horizontal="left" wrapText="1"/>
      <protection/>
    </xf>
    <xf numFmtId="0" fontId="4" fillId="0" borderId="0" xfId="0" applyFont="1" applyAlignment="1" applyProtection="1">
      <alignment wrapText="1"/>
      <protection locked="0"/>
    </xf>
    <xf numFmtId="0" fontId="4" fillId="33" borderId="13" xfId="0" applyFont="1" applyFill="1" applyBorder="1" applyAlignment="1" applyProtection="1">
      <alignment/>
      <protection locked="0"/>
    </xf>
    <xf numFmtId="0" fontId="4" fillId="34" borderId="18" xfId="0" applyFont="1" applyFill="1" applyBorder="1" applyAlignment="1" applyProtection="1">
      <alignment horizontal="right"/>
      <protection/>
    </xf>
    <xf numFmtId="37" fontId="4" fillId="39" borderId="10" xfId="0" applyNumberFormat="1" applyFont="1" applyFill="1" applyBorder="1" applyAlignment="1" applyProtection="1">
      <alignment horizontal="left"/>
      <protection/>
    </xf>
    <xf numFmtId="0" fontId="4" fillId="39" borderId="10" xfId="0" applyFont="1" applyFill="1" applyBorder="1" applyAlignment="1" applyProtection="1">
      <alignment/>
      <protection/>
    </xf>
    <xf numFmtId="37" fontId="4" fillId="39" borderId="10" xfId="0" applyNumberFormat="1" applyFont="1" applyFill="1" applyBorder="1" applyAlignment="1" applyProtection="1">
      <alignment/>
      <protection/>
    </xf>
    <xf numFmtId="0" fontId="15" fillId="39" borderId="14" xfId="0" applyFont="1" applyFill="1" applyBorder="1" applyAlignment="1" applyProtection="1">
      <alignment horizontal="center"/>
      <protection/>
    </xf>
    <xf numFmtId="0" fontId="0" fillId="39" borderId="10" xfId="0" applyFill="1" applyBorder="1" applyAlignment="1" applyProtection="1">
      <alignment/>
      <protection/>
    </xf>
    <xf numFmtId="0" fontId="16" fillId="0" borderId="0" xfId="0" applyFont="1" applyAlignment="1">
      <alignment wrapText="1"/>
    </xf>
    <xf numFmtId="0" fontId="3" fillId="33" borderId="10" xfId="0" applyFont="1" applyFill="1" applyBorder="1" applyAlignment="1" applyProtection="1">
      <alignment horizontal="center"/>
      <protection locked="0"/>
    </xf>
    <xf numFmtId="37" fontId="4" fillId="33" borderId="11" xfId="0" applyNumberFormat="1" applyFont="1" applyFill="1" applyBorder="1" applyAlignment="1" applyProtection="1">
      <alignment horizontal="left"/>
      <protection locked="0"/>
    </xf>
    <xf numFmtId="0" fontId="4" fillId="33" borderId="11" xfId="0" applyFont="1" applyFill="1" applyBorder="1" applyAlignment="1" applyProtection="1">
      <alignment/>
      <protection/>
    </xf>
    <xf numFmtId="37" fontId="4" fillId="33" borderId="13" xfId="0" applyNumberFormat="1" applyFont="1" applyFill="1" applyBorder="1" applyAlignment="1" applyProtection="1">
      <alignment horizontal="left"/>
      <protection locked="0"/>
    </xf>
    <xf numFmtId="0" fontId="4" fillId="33" borderId="13" xfId="0" applyFont="1" applyFill="1" applyBorder="1" applyAlignment="1" applyProtection="1">
      <alignment/>
      <protection/>
    </xf>
    <xf numFmtId="37" fontId="4" fillId="40" borderId="10" xfId="0" applyNumberFormat="1" applyFont="1" applyFill="1" applyBorder="1" applyAlignment="1" applyProtection="1">
      <alignment/>
      <protection/>
    </xf>
    <xf numFmtId="164" fontId="4" fillId="40" borderId="10" xfId="0" applyNumberFormat="1" applyFont="1" applyFill="1" applyBorder="1" applyAlignment="1" applyProtection="1">
      <alignment/>
      <protection/>
    </xf>
    <xf numFmtId="37" fontId="3" fillId="40" borderId="10" xfId="0" applyNumberFormat="1" applyFont="1" applyFill="1" applyBorder="1" applyAlignment="1" applyProtection="1">
      <alignment/>
      <protection/>
    </xf>
    <xf numFmtId="37" fontId="3" fillId="40" borderId="21"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3" fillId="40" borderId="10" xfId="0" applyNumberFormat="1" applyFont="1" applyFill="1" applyBorder="1" applyAlignment="1" applyProtection="1">
      <alignment/>
      <protection/>
    </xf>
    <xf numFmtId="3" fontId="4" fillId="40" borderId="21" xfId="0" applyNumberFormat="1" applyFont="1" applyFill="1" applyBorder="1" applyAlignment="1" applyProtection="1">
      <alignment/>
      <protection/>
    </xf>
    <xf numFmtId="3" fontId="11" fillId="40" borderId="10" xfId="0" applyNumberFormat="1" applyFont="1" applyFill="1" applyBorder="1" applyAlignment="1">
      <alignment horizontal="center"/>
    </xf>
    <xf numFmtId="0" fontId="11" fillId="40" borderId="10" xfId="0" applyFont="1" applyFill="1" applyBorder="1" applyAlignment="1">
      <alignment horizontal="center"/>
    </xf>
    <xf numFmtId="0" fontId="11" fillId="40" borderId="17" xfId="0" applyFont="1" applyFill="1" applyBorder="1" applyAlignment="1">
      <alignment horizontal="center"/>
    </xf>
    <xf numFmtId="3" fontId="17" fillId="39" borderId="10" xfId="0" applyNumberFormat="1" applyFont="1" applyFill="1" applyBorder="1" applyAlignment="1">
      <alignment horizontal="center"/>
    </xf>
    <xf numFmtId="0" fontId="4" fillId="40" borderId="0" xfId="0" applyFont="1" applyFill="1" applyAlignment="1">
      <alignment/>
    </xf>
    <xf numFmtId="3" fontId="4" fillId="40" borderId="10" xfId="0" applyNumberFormat="1" applyFont="1" applyFill="1" applyBorder="1" applyAlignment="1" applyProtection="1">
      <alignment horizontal="center"/>
      <protection/>
    </xf>
    <xf numFmtId="37" fontId="4" fillId="40" borderId="21" xfId="0" applyNumberFormat="1" applyFont="1" applyFill="1" applyBorder="1" applyAlignment="1" applyProtection="1">
      <alignment horizontal="center"/>
      <protection/>
    </xf>
    <xf numFmtId="165" fontId="4" fillId="40" borderId="11" xfId="0" applyNumberFormat="1" applyFont="1" applyFill="1" applyBorder="1" applyAlignment="1" applyProtection="1">
      <alignment/>
      <protection/>
    </xf>
    <xf numFmtId="37" fontId="3" fillId="40" borderId="10" xfId="0" applyNumberFormat="1" applyFont="1" applyFill="1" applyBorder="1" applyAlignment="1" applyProtection="1">
      <alignment horizontal="center"/>
      <protection/>
    </xf>
    <xf numFmtId="3" fontId="3" fillId="40" borderId="10" xfId="0" applyNumberFormat="1" applyFont="1" applyFill="1" applyBorder="1" applyAlignment="1" applyProtection="1">
      <alignment horizontal="center"/>
      <protection/>
    </xf>
    <xf numFmtId="3" fontId="3" fillId="40" borderId="21" xfId="0" applyNumberFormat="1" applyFont="1" applyFill="1" applyBorder="1" applyAlignment="1" applyProtection="1">
      <alignment horizontal="center"/>
      <protection/>
    </xf>
    <xf numFmtId="3" fontId="3" fillId="40" borderId="10" xfId="0" applyNumberFormat="1" applyFont="1" applyFill="1" applyBorder="1" applyAlignment="1" applyProtection="1">
      <alignment horizontal="right"/>
      <protection/>
    </xf>
    <xf numFmtId="3" fontId="3" fillId="40" borderId="24" xfId="0" applyNumberFormat="1" applyFont="1" applyFill="1" applyBorder="1" applyAlignment="1" applyProtection="1">
      <alignment horizontal="right"/>
      <protection/>
    </xf>
    <xf numFmtId="3" fontId="3" fillId="40" borderId="17" xfId="0" applyNumberFormat="1" applyFont="1" applyFill="1" applyBorder="1" applyAlignment="1" applyProtection="1">
      <alignment horizontal="right"/>
      <protection/>
    </xf>
    <xf numFmtId="3" fontId="3" fillId="40" borderId="14" xfId="0" applyNumberFormat="1" applyFont="1" applyFill="1" applyBorder="1" applyAlignment="1" applyProtection="1">
      <alignment horizontal="right"/>
      <protection/>
    </xf>
    <xf numFmtId="3" fontId="4" fillId="40" borderId="14" xfId="0" applyNumberFormat="1" applyFont="1" applyFill="1" applyBorder="1" applyAlignment="1" applyProtection="1">
      <alignment horizontal="right"/>
      <protection/>
    </xf>
    <xf numFmtId="0" fontId="11" fillId="33" borderId="10" xfId="0" applyFont="1" applyFill="1" applyBorder="1" applyAlignment="1" applyProtection="1">
      <alignment/>
      <protection locked="0"/>
    </xf>
    <xf numFmtId="3" fontId="11" fillId="33" borderId="10" xfId="0" applyNumberFormat="1" applyFont="1" applyFill="1" applyBorder="1" applyAlignment="1" applyProtection="1">
      <alignment horizontal="center"/>
      <protection locked="0"/>
    </xf>
    <xf numFmtId="0" fontId="11" fillId="33" borderId="10" xfId="0" applyFont="1" applyFill="1" applyBorder="1" applyAlignment="1" applyProtection="1">
      <alignment horizontal="center"/>
      <protection locked="0"/>
    </xf>
    <xf numFmtId="0" fontId="11" fillId="33" borderId="22" xfId="0" applyFont="1" applyFill="1" applyBorder="1" applyAlignment="1" applyProtection="1">
      <alignment/>
      <protection locked="0"/>
    </xf>
    <xf numFmtId="0" fontId="11" fillId="33" borderId="0" xfId="0" applyFont="1" applyFill="1" applyAlignment="1" applyProtection="1">
      <alignment/>
      <protection locked="0"/>
    </xf>
    <xf numFmtId="0" fontId="11" fillId="33" borderId="14" xfId="0" applyFont="1" applyFill="1" applyBorder="1" applyAlignment="1" applyProtection="1">
      <alignment/>
      <protection locked="0"/>
    </xf>
    <xf numFmtId="0" fontId="11" fillId="33" borderId="17" xfId="0" applyFont="1" applyFill="1" applyBorder="1" applyAlignment="1" applyProtection="1">
      <alignment/>
      <protection locked="0"/>
    </xf>
    <xf numFmtId="0" fontId="11" fillId="33" borderId="27" xfId="0" applyFont="1" applyFill="1" applyBorder="1" applyAlignment="1" applyProtection="1">
      <alignment/>
      <protection locked="0"/>
    </xf>
    <xf numFmtId="173" fontId="4" fillId="33" borderId="10" xfId="0" applyNumberFormat="1" applyFont="1" applyFill="1" applyBorder="1" applyAlignment="1" applyProtection="1">
      <alignment/>
      <protection locked="0"/>
    </xf>
    <xf numFmtId="0" fontId="5" fillId="38" borderId="0" xfId="0" applyFont="1" applyFill="1" applyAlignment="1" applyProtection="1">
      <alignment/>
      <protection/>
    </xf>
    <xf numFmtId="0" fontId="4" fillId="36" borderId="11" xfId="0" applyFont="1" applyFill="1" applyBorder="1" applyAlignment="1" applyProtection="1">
      <alignment/>
      <protection/>
    </xf>
    <xf numFmtId="0" fontId="4" fillId="36" borderId="13" xfId="0" applyFont="1" applyFill="1" applyBorder="1" applyAlignment="1" applyProtection="1">
      <alignment/>
      <protection/>
    </xf>
    <xf numFmtId="171" fontId="4" fillId="33" borderId="11" xfId="0" applyNumberFormat="1" applyFont="1" applyFill="1" applyBorder="1" applyAlignment="1" applyProtection="1">
      <alignment/>
      <protection locked="0"/>
    </xf>
    <xf numFmtId="171" fontId="4" fillId="33" borderId="13" xfId="0" applyNumberFormat="1" applyFont="1" applyFill="1" applyBorder="1" applyAlignment="1" applyProtection="1">
      <alignment/>
      <protection locked="0"/>
    </xf>
    <xf numFmtId="171" fontId="4" fillId="33" borderId="19" xfId="0" applyNumberFormat="1" applyFont="1" applyFill="1" applyBorder="1" applyAlignment="1" applyProtection="1">
      <alignment/>
      <protection locked="0"/>
    </xf>
    <xf numFmtId="0" fontId="15" fillId="0" borderId="0" xfId="0" applyFont="1" applyAlignment="1" applyProtection="1">
      <alignment/>
      <protection/>
    </xf>
    <xf numFmtId="0" fontId="4" fillId="34" borderId="0" xfId="0" applyFont="1" applyFill="1" applyBorder="1" applyAlignment="1" applyProtection="1">
      <alignment horizontal="right"/>
      <protection/>
    </xf>
    <xf numFmtId="37" fontId="12" fillId="34" borderId="12" xfId="0" applyNumberFormat="1" applyFont="1" applyFill="1" applyBorder="1" applyAlignment="1" applyProtection="1">
      <alignment horizontal="left"/>
      <protection/>
    </xf>
    <xf numFmtId="37" fontId="12" fillId="34" borderId="14" xfId="0" applyNumberFormat="1" applyFont="1" applyFill="1" applyBorder="1" applyAlignment="1" applyProtection="1">
      <alignment horizontal="center"/>
      <protection/>
    </xf>
    <xf numFmtId="14" fontId="4" fillId="33" borderId="10" xfId="0" applyNumberFormat="1" applyFont="1" applyFill="1" applyBorder="1" applyAlignment="1" applyProtection="1">
      <alignment horizontal="center"/>
      <protection locked="0"/>
    </xf>
    <xf numFmtId="0" fontId="4" fillId="33" borderId="12" xfId="0" applyFont="1" applyFill="1" applyBorder="1" applyAlignment="1" applyProtection="1">
      <alignment/>
      <protection locked="0"/>
    </xf>
    <xf numFmtId="0" fontId="4" fillId="33" borderId="12" xfId="0" applyFont="1" applyFill="1" applyBorder="1" applyAlignment="1" applyProtection="1">
      <alignment/>
      <protection locked="0"/>
    </xf>
    <xf numFmtId="37" fontId="4" fillId="33" borderId="12" xfId="0" applyNumberFormat="1" applyFont="1" applyFill="1" applyBorder="1" applyAlignment="1" applyProtection="1">
      <alignment horizontal="left"/>
      <protection locked="0"/>
    </xf>
    <xf numFmtId="37" fontId="4" fillId="33" borderId="14" xfId="0" applyNumberFormat="1" applyFont="1" applyFill="1" applyBorder="1" applyAlignment="1" applyProtection="1">
      <alignment/>
      <protection locked="0"/>
    </xf>
    <xf numFmtId="37" fontId="4" fillId="34" borderId="14" xfId="0" applyNumberFormat="1" applyFont="1" applyFill="1" applyBorder="1" applyAlignment="1" applyProtection="1">
      <alignment/>
      <protection/>
    </xf>
    <xf numFmtId="37" fontId="4" fillId="33" borderId="14" xfId="0" applyNumberFormat="1" applyFont="1" applyFill="1" applyBorder="1" applyAlignment="1" applyProtection="1">
      <alignment/>
      <protection locked="0"/>
    </xf>
    <xf numFmtId="37" fontId="3" fillId="40" borderId="14" xfId="0" applyNumberFormat="1" applyFont="1" applyFill="1" applyBorder="1" applyAlignment="1" applyProtection="1">
      <alignment/>
      <protection/>
    </xf>
    <xf numFmtId="37" fontId="4" fillId="34" borderId="25" xfId="0" applyNumberFormat="1" applyFont="1" applyFill="1" applyBorder="1" applyAlignment="1" applyProtection="1">
      <alignment horizontal="left"/>
      <protection/>
    </xf>
    <xf numFmtId="37" fontId="4" fillId="34" borderId="14" xfId="0" applyNumberFormat="1" applyFont="1" applyFill="1" applyBorder="1" applyAlignment="1" applyProtection="1">
      <alignment horizontal="left"/>
      <protection/>
    </xf>
    <xf numFmtId="37" fontId="4" fillId="33" borderId="14" xfId="0" applyNumberFormat="1" applyFont="1" applyFill="1" applyBorder="1" applyAlignment="1" applyProtection="1">
      <alignment horizontal="left"/>
      <protection/>
    </xf>
    <xf numFmtId="0" fontId="4" fillId="34" borderId="12" xfId="0" applyFont="1" applyFill="1" applyBorder="1" applyAlignment="1" applyProtection="1">
      <alignment horizontal="left"/>
      <protection/>
    </xf>
    <xf numFmtId="0" fontId="4" fillId="33" borderId="12" xfId="0" applyFont="1" applyFill="1" applyBorder="1" applyAlignment="1" applyProtection="1">
      <alignment horizontal="left"/>
      <protection locked="0"/>
    </xf>
    <xf numFmtId="3" fontId="4" fillId="33" borderId="14" xfId="0" applyNumberFormat="1" applyFont="1" applyFill="1" applyBorder="1" applyAlignment="1" applyProtection="1">
      <alignment/>
      <protection locked="0"/>
    </xf>
    <xf numFmtId="3" fontId="3" fillId="40" borderId="14" xfId="0" applyNumberFormat="1" applyFont="1" applyFill="1" applyBorder="1" applyAlignment="1" applyProtection="1">
      <alignment/>
      <protection/>
    </xf>
    <xf numFmtId="3" fontId="4" fillId="40" borderId="14" xfId="0" applyNumberFormat="1" applyFont="1" applyFill="1" applyBorder="1" applyAlignment="1" applyProtection="1">
      <alignment/>
      <protection/>
    </xf>
    <xf numFmtId="0" fontId="4" fillId="34" borderId="25" xfId="0" applyFont="1" applyFill="1" applyBorder="1" applyAlignment="1" applyProtection="1">
      <alignment horizontal="left"/>
      <protection/>
    </xf>
    <xf numFmtId="0" fontId="4" fillId="34" borderId="14"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4" fillId="34" borderId="12" xfId="0" applyFont="1" applyFill="1" applyBorder="1" applyAlignment="1" applyProtection="1">
      <alignment/>
      <protection/>
    </xf>
    <xf numFmtId="0" fontId="4" fillId="34" borderId="12" xfId="0" applyFont="1" applyFill="1" applyBorder="1" applyAlignment="1" applyProtection="1">
      <alignment/>
      <protection locked="0"/>
    </xf>
    <xf numFmtId="37" fontId="4" fillId="34" borderId="12" xfId="0" applyNumberFormat="1" applyFont="1" applyFill="1" applyBorder="1" applyAlignment="1" applyProtection="1">
      <alignment/>
      <protection/>
    </xf>
    <xf numFmtId="0" fontId="4" fillId="34" borderId="12" xfId="0" applyNumberFormat="1" applyFont="1" applyFill="1" applyBorder="1" applyAlignment="1" applyProtection="1">
      <alignment horizontal="left"/>
      <protection/>
    </xf>
    <xf numFmtId="0" fontId="4" fillId="33" borderId="12" xfId="0" applyNumberFormat="1" applyFont="1" applyFill="1" applyBorder="1" applyAlignment="1" applyProtection="1">
      <alignment horizontal="left"/>
      <protection locked="0"/>
    </xf>
    <xf numFmtId="0" fontId="4" fillId="33" borderId="23" xfId="0" applyNumberFormat="1" applyFont="1" applyFill="1" applyBorder="1" applyAlignment="1" applyProtection="1">
      <alignment horizontal="left"/>
      <protection locked="0"/>
    </xf>
    <xf numFmtId="3" fontId="4" fillId="33" borderId="14" xfId="0" applyNumberFormat="1" applyFont="1" applyFill="1" applyBorder="1" applyAlignment="1" applyProtection="1">
      <alignment horizontal="right"/>
      <protection locked="0"/>
    </xf>
    <xf numFmtId="3" fontId="4" fillId="34" borderId="14" xfId="0" applyNumberFormat="1" applyFont="1" applyFill="1" applyBorder="1" applyAlignment="1" applyProtection="1">
      <alignment horizontal="right"/>
      <protection/>
    </xf>
    <xf numFmtId="3" fontId="4" fillId="34" borderId="24" xfId="0" applyNumberFormat="1" applyFont="1" applyFill="1" applyBorder="1" applyAlignment="1" applyProtection="1">
      <alignment horizontal="right"/>
      <protection/>
    </xf>
    <xf numFmtId="37" fontId="4" fillId="33" borderId="12" xfId="0" applyNumberFormat="1" applyFont="1" applyFill="1" applyBorder="1" applyAlignment="1" applyProtection="1">
      <alignment/>
      <protection locked="0"/>
    </xf>
    <xf numFmtId="0" fontId="3" fillId="34" borderId="12" xfId="0" applyFont="1" applyFill="1" applyBorder="1" applyAlignment="1" applyProtection="1">
      <alignment horizontal="left"/>
      <protection/>
    </xf>
    <xf numFmtId="0" fontId="3" fillId="34" borderId="14" xfId="0" applyFont="1" applyFill="1" applyBorder="1" applyAlignment="1" applyProtection="1">
      <alignment horizontal="left"/>
      <protection/>
    </xf>
    <xf numFmtId="0" fontId="3" fillId="33" borderId="14" xfId="0" applyFont="1" applyFill="1" applyBorder="1" applyAlignment="1" applyProtection="1">
      <alignment horizontal="left"/>
      <protection/>
    </xf>
    <xf numFmtId="0" fontId="4" fillId="38" borderId="15" xfId="0" applyFont="1" applyFill="1" applyBorder="1" applyAlignment="1">
      <alignment horizontal="center"/>
    </xf>
    <xf numFmtId="0" fontId="4" fillId="38" borderId="17" xfId="0" applyFont="1" applyFill="1" applyBorder="1" applyAlignment="1">
      <alignment horizontal="center"/>
    </xf>
    <xf numFmtId="0" fontId="15" fillId="34" borderId="0" xfId="0" applyFont="1" applyFill="1" applyAlignment="1">
      <alignment/>
    </xf>
    <xf numFmtId="0" fontId="18" fillId="34" borderId="0" xfId="0" applyFont="1" applyFill="1" applyAlignment="1">
      <alignment/>
    </xf>
    <xf numFmtId="37" fontId="4" fillId="34" borderId="10" xfId="0" applyNumberFormat="1" applyFont="1" applyFill="1" applyBorder="1" applyAlignment="1">
      <alignment/>
    </xf>
    <xf numFmtId="0" fontId="18" fillId="34" borderId="0" xfId="0" applyFont="1" applyFill="1" applyAlignment="1">
      <alignment/>
    </xf>
    <xf numFmtId="3" fontId="4" fillId="34" borderId="0" xfId="0" applyNumberFormat="1" applyFont="1" applyFill="1" applyAlignment="1" applyProtection="1">
      <alignment horizontal="center"/>
      <protection/>
    </xf>
    <xf numFmtId="0" fontId="13"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0" fontId="4" fillId="34" borderId="22"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174" fontId="4" fillId="34" borderId="10" xfId="0" applyNumberFormat="1" applyFont="1" applyFill="1" applyBorder="1" applyAlignment="1" applyProtection="1">
      <alignment horizontal="center"/>
      <protection/>
    </xf>
    <xf numFmtId="3" fontId="4" fillId="34" borderId="21" xfId="0" applyNumberFormat="1" applyFont="1" applyFill="1" applyBorder="1" applyAlignment="1" applyProtection="1">
      <alignment horizontal="center"/>
      <protection/>
    </xf>
    <xf numFmtId="174" fontId="4" fillId="34" borderId="21" xfId="0" applyNumberFormat="1" applyFont="1" applyFill="1" applyBorder="1" applyAlignment="1" applyProtection="1">
      <alignment horizontal="center"/>
      <protection/>
    </xf>
    <xf numFmtId="174" fontId="4" fillId="34" borderId="11" xfId="0" applyNumberFormat="1" applyFont="1" applyFill="1" applyBorder="1" applyAlignment="1" applyProtection="1">
      <alignment horizontal="center"/>
      <protection/>
    </xf>
    <xf numFmtId="174" fontId="4" fillId="34" borderId="0" xfId="0" applyNumberFormat="1" applyFont="1" applyFill="1" applyBorder="1" applyAlignment="1" applyProtection="1">
      <alignment horizontal="center"/>
      <protection/>
    </xf>
    <xf numFmtId="3" fontId="4" fillId="34" borderId="11" xfId="0" applyNumberFormat="1" applyFont="1" applyFill="1" applyBorder="1" applyAlignment="1">
      <alignment horizontal="center"/>
    </xf>
    <xf numFmtId="0" fontId="0" fillId="34" borderId="0" xfId="0" applyFill="1" applyAlignment="1">
      <alignment horizontal="center"/>
    </xf>
    <xf numFmtId="171" fontId="4" fillId="34" borderId="0" xfId="0" applyNumberFormat="1" applyFont="1" applyFill="1" applyBorder="1" applyAlignment="1" applyProtection="1">
      <alignment/>
      <protection/>
    </xf>
    <xf numFmtId="0" fontId="4" fillId="34" borderId="24" xfId="0" applyFont="1" applyFill="1" applyBorder="1" applyAlignment="1" applyProtection="1">
      <alignment horizontal="left"/>
      <protection/>
    </xf>
    <xf numFmtId="0" fontId="4" fillId="34" borderId="22" xfId="0" applyFont="1" applyFill="1" applyBorder="1" applyAlignment="1" applyProtection="1">
      <alignment horizontal="left"/>
      <protection/>
    </xf>
    <xf numFmtId="0" fontId="4" fillId="34" borderId="23" xfId="0" applyFont="1" applyFill="1" applyBorder="1" applyAlignment="1" applyProtection="1">
      <alignment/>
      <protection/>
    </xf>
    <xf numFmtId="37" fontId="3" fillId="34" borderId="14" xfId="0" applyNumberFormat="1" applyFont="1" applyFill="1" applyBorder="1" applyAlignment="1" applyProtection="1">
      <alignment horizontal="left"/>
      <protection/>
    </xf>
    <xf numFmtId="37" fontId="15" fillId="39" borderId="14" xfId="0" applyNumberFormat="1" applyFont="1" applyFill="1" applyBorder="1" applyAlignment="1" applyProtection="1">
      <alignment horizontal="center"/>
      <protection/>
    </xf>
    <xf numFmtId="3" fontId="4" fillId="40" borderId="10" xfId="0" applyNumberFormat="1" applyFont="1" applyFill="1" applyBorder="1" applyAlignment="1" applyProtection="1">
      <alignment horizontal="right"/>
      <protection locked="0"/>
    </xf>
    <xf numFmtId="174" fontId="4" fillId="34" borderId="11" xfId="0" applyNumberFormat="1" applyFont="1" applyFill="1" applyBorder="1" applyAlignment="1">
      <alignment horizontal="center"/>
    </xf>
    <xf numFmtId="3" fontId="4" fillId="33" borderId="10" xfId="0" applyNumberFormat="1" applyFont="1" applyFill="1" applyBorder="1" applyAlignment="1" applyProtection="1">
      <alignment horizontal="center"/>
      <protection locked="0"/>
    </xf>
    <xf numFmtId="3" fontId="4" fillId="33" borderId="15" xfId="0" applyNumberFormat="1" applyFont="1" applyFill="1" applyBorder="1" applyAlignment="1" applyProtection="1">
      <alignment horizontal="center"/>
      <protection locked="0"/>
    </xf>
    <xf numFmtId="0" fontId="4" fillId="37" borderId="0" xfId="0" applyFont="1" applyFill="1" applyAlignment="1">
      <alignment/>
    </xf>
    <xf numFmtId="0" fontId="4" fillId="37" borderId="0" xfId="0" applyFont="1" applyFill="1" applyAlignment="1" applyProtection="1">
      <alignment/>
      <protection locked="0"/>
    </xf>
    <xf numFmtId="3" fontId="4" fillId="40" borderId="21" xfId="0" applyNumberFormat="1" applyFont="1" applyFill="1" applyBorder="1" applyAlignment="1" applyProtection="1">
      <alignment horizontal="center"/>
      <protection/>
    </xf>
    <xf numFmtId="0" fontId="4" fillId="34" borderId="15" xfId="0" applyFont="1" applyFill="1" applyBorder="1" applyAlignment="1" applyProtection="1">
      <alignment wrapText="1"/>
      <protection/>
    </xf>
    <xf numFmtId="0" fontId="4" fillId="37" borderId="0" xfId="55" applyFont="1" applyFill="1" applyProtection="1">
      <alignment/>
      <protection/>
    </xf>
    <xf numFmtId="0" fontId="4" fillId="37" borderId="0" xfId="0" applyFont="1" applyFill="1" applyAlignment="1" applyProtection="1">
      <alignment/>
      <protection/>
    </xf>
    <xf numFmtId="0" fontId="12" fillId="34" borderId="0" xfId="0" applyFont="1" applyFill="1" applyAlignment="1">
      <alignment horizontal="center"/>
    </xf>
    <xf numFmtId="0" fontId="19" fillId="34" borderId="0" xfId="0" applyFont="1" applyFill="1" applyAlignment="1">
      <alignment horizontal="center"/>
    </xf>
    <xf numFmtId="0" fontId="5" fillId="0" borderId="0" xfId="0" applyFont="1" applyAlignment="1">
      <alignment/>
    </xf>
    <xf numFmtId="3" fontId="20" fillId="39" borderId="0" xfId="0" applyNumberFormat="1" applyFont="1" applyFill="1" applyAlignment="1">
      <alignment horizontal="center"/>
    </xf>
    <xf numFmtId="14" fontId="4" fillId="33" borderId="10" xfId="0" applyNumberFormat="1" applyFont="1" applyFill="1" applyBorder="1" applyAlignment="1" applyProtection="1">
      <alignment horizontal="center"/>
      <protection locked="0"/>
    </xf>
    <xf numFmtId="10" fontId="4" fillId="33" borderId="10" xfId="59" applyNumberFormat="1" applyFont="1" applyFill="1" applyBorder="1" applyAlignment="1" applyProtection="1">
      <alignment horizontal="center"/>
      <protection locked="0"/>
    </xf>
    <xf numFmtId="0" fontId="4" fillId="33" borderId="24" xfId="0" applyFont="1" applyFill="1" applyBorder="1" applyAlignment="1" applyProtection="1">
      <alignment horizontal="left"/>
      <protection/>
    </xf>
    <xf numFmtId="173" fontId="4" fillId="33" borderId="17" xfId="0" applyNumberFormat="1" applyFont="1" applyFill="1" applyBorder="1" applyAlignment="1" applyProtection="1">
      <alignment/>
      <protection locked="0"/>
    </xf>
    <xf numFmtId="0" fontId="4" fillId="34" borderId="0" xfId="0" applyNumberFormat="1" applyFont="1" applyFill="1" applyBorder="1" applyAlignment="1" applyProtection="1">
      <alignment horizontal="right"/>
      <protection/>
    </xf>
    <xf numFmtId="37" fontId="4" fillId="34" borderId="23" xfId="0" applyNumberFormat="1" applyFont="1" applyFill="1" applyBorder="1" applyAlignment="1" applyProtection="1">
      <alignment horizontal="left"/>
      <protection/>
    </xf>
    <xf numFmtId="3" fontId="4" fillId="0" borderId="0" xfId="0" applyNumberFormat="1" applyFont="1" applyAlignment="1" applyProtection="1">
      <alignment/>
      <protection locked="0"/>
    </xf>
    <xf numFmtId="39" fontId="4" fillId="0" borderId="0" xfId="0" applyNumberFormat="1" applyFont="1" applyAlignment="1" applyProtection="1">
      <alignment/>
      <protection locked="0"/>
    </xf>
    <xf numFmtId="2" fontId="4" fillId="0" borderId="0" xfId="0" applyNumberFormat="1" applyFont="1" applyAlignment="1" applyProtection="1">
      <alignment/>
      <protection locked="0"/>
    </xf>
    <xf numFmtId="0" fontId="4" fillId="34" borderId="18" xfId="0" applyFont="1" applyFill="1" applyBorder="1" applyAlignment="1" applyProtection="1">
      <alignment horizontal="left"/>
      <protection/>
    </xf>
    <xf numFmtId="37" fontId="4" fillId="34" borderId="18" xfId="0" applyNumberFormat="1" applyFont="1" applyFill="1" applyBorder="1" applyAlignment="1" applyProtection="1">
      <alignment horizontal="left"/>
      <protection/>
    </xf>
    <xf numFmtId="37" fontId="4" fillId="34" borderId="22" xfId="0" applyNumberFormat="1" applyFont="1" applyFill="1" applyBorder="1" applyAlignment="1" applyProtection="1">
      <alignment horizontal="left"/>
      <protection/>
    </xf>
    <xf numFmtId="37" fontId="4" fillId="33" borderId="24" xfId="0" applyNumberFormat="1" applyFont="1" applyFill="1" applyBorder="1" applyAlignment="1" applyProtection="1">
      <alignment horizontal="left"/>
      <protection/>
    </xf>
    <xf numFmtId="0" fontId="7" fillId="34" borderId="0" xfId="0" applyFont="1" applyFill="1" applyAlignment="1" applyProtection="1">
      <alignment/>
      <protection/>
    </xf>
    <xf numFmtId="0" fontId="7" fillId="34" borderId="0" xfId="0" applyFont="1" applyFill="1" applyAlignment="1" applyProtection="1">
      <alignment/>
      <protection locked="0"/>
    </xf>
    <xf numFmtId="37" fontId="7" fillId="34" borderId="0" xfId="0" applyNumberFormat="1" applyFont="1" applyFill="1" applyAlignment="1" applyProtection="1">
      <alignment horizontal="left"/>
      <protection/>
    </xf>
    <xf numFmtId="170" fontId="11" fillId="33" borderId="10" xfId="42" applyNumberFormat="1" applyFont="1" applyFill="1" applyBorder="1" applyAlignment="1" applyProtection="1">
      <alignment horizontal="center"/>
      <protection locked="0"/>
    </xf>
    <xf numFmtId="170" fontId="11" fillId="33" borderId="16" xfId="42" applyNumberFormat="1" applyFont="1" applyFill="1" applyBorder="1" applyAlignment="1" applyProtection="1">
      <alignment horizontal="center"/>
      <protection locked="0"/>
    </xf>
    <xf numFmtId="170" fontId="11" fillId="33" borderId="17" xfId="42" applyNumberFormat="1" applyFont="1" applyFill="1" applyBorder="1" applyAlignment="1" applyProtection="1">
      <alignment horizontal="center"/>
      <protection locked="0"/>
    </xf>
    <xf numFmtId="0" fontId="0" fillId="33" borderId="0" xfId="0" applyFill="1" applyAlignment="1" applyProtection="1">
      <alignment horizontal="left"/>
      <protection locked="0"/>
    </xf>
    <xf numFmtId="37" fontId="4" fillId="33" borderId="10" xfId="0" applyNumberFormat="1" applyFont="1" applyFill="1" applyBorder="1" applyAlignment="1" applyProtection="1">
      <alignment horizontal="center"/>
      <protection locked="0"/>
    </xf>
    <xf numFmtId="1" fontId="11" fillId="40" borderId="10" xfId="0" applyNumberFormat="1" applyFont="1" applyFill="1" applyBorder="1" applyAlignment="1">
      <alignment horizontal="center"/>
    </xf>
    <xf numFmtId="1" fontId="11" fillId="33" borderId="10" xfId="0" applyNumberFormat="1" applyFont="1" applyFill="1" applyBorder="1" applyAlignment="1" applyProtection="1">
      <alignment horizontal="center"/>
      <protection locked="0"/>
    </xf>
    <xf numFmtId="37" fontId="0" fillId="0" borderId="0" xfId="0" applyNumberFormat="1" applyAlignment="1">
      <alignment/>
    </xf>
    <xf numFmtId="39" fontId="0" fillId="0" borderId="0" xfId="0" applyNumberFormat="1" applyAlignment="1">
      <alignment/>
    </xf>
    <xf numFmtId="49" fontId="4" fillId="33" borderId="10" xfId="0" applyNumberFormat="1" applyFont="1" applyFill="1" applyBorder="1" applyAlignment="1" applyProtection="1">
      <alignment horizontal="center"/>
      <protection locked="0"/>
    </xf>
    <xf numFmtId="16" fontId="4" fillId="33" borderId="10" xfId="0" applyNumberFormat="1" applyFont="1" applyFill="1" applyBorder="1" applyAlignment="1" applyProtection="1">
      <alignment horizontal="center"/>
      <protection locked="0"/>
    </xf>
    <xf numFmtId="0" fontId="4" fillId="0" borderId="0" xfId="0" applyFont="1" applyFill="1" applyAlignment="1" applyProtection="1">
      <alignment/>
      <protection locked="0"/>
    </xf>
    <xf numFmtId="14" fontId="4" fillId="33" borderId="10" xfId="0" applyNumberFormat="1" applyFont="1" applyFill="1" applyBorder="1" applyAlignment="1" applyProtection="1">
      <alignment/>
      <protection locked="0"/>
    </xf>
    <xf numFmtId="1" fontId="4" fillId="33" borderId="10" xfId="0" applyNumberFormat="1" applyFont="1" applyFill="1" applyBorder="1" applyAlignment="1" applyProtection="1">
      <alignment horizontal="center"/>
      <protection locked="0"/>
    </xf>
    <xf numFmtId="2" fontId="4" fillId="33" borderId="10" xfId="0" applyNumberFormat="1" applyFont="1" applyFill="1" applyBorder="1" applyAlignment="1" applyProtection="1">
      <alignment/>
      <protection locked="0"/>
    </xf>
    <xf numFmtId="1" fontId="4" fillId="33" borderId="10" xfId="0" applyNumberFormat="1" applyFont="1" applyFill="1" applyBorder="1" applyAlignment="1" applyProtection="1">
      <alignment/>
      <protection locked="0"/>
    </xf>
    <xf numFmtId="2" fontId="4" fillId="33" borderId="10" xfId="0" applyNumberFormat="1" applyFont="1" applyFill="1" applyBorder="1" applyAlignment="1" applyProtection="1">
      <alignment horizontal="center"/>
      <protection locked="0"/>
    </xf>
    <xf numFmtId="2" fontId="4" fillId="33" borderId="10" xfId="0" applyNumberFormat="1" applyFont="1" applyFill="1" applyBorder="1" applyAlignment="1" applyProtection="1">
      <alignment horizontal="right"/>
      <protection locked="0"/>
    </xf>
    <xf numFmtId="3" fontId="0" fillId="0" borderId="0" xfId="0" applyNumberFormat="1" applyAlignment="1">
      <alignment/>
    </xf>
    <xf numFmtId="170" fontId="4" fillId="0" borderId="0" xfId="42" applyNumberFormat="1" applyFont="1" applyAlignment="1" applyProtection="1">
      <alignment/>
      <protection locked="0"/>
    </xf>
    <xf numFmtId="0" fontId="3" fillId="0" borderId="0" xfId="0" applyFont="1" applyAlignment="1">
      <alignment/>
    </xf>
    <xf numFmtId="3" fontId="11" fillId="33" borderId="10" xfId="0" applyNumberFormat="1" applyFont="1" applyFill="1" applyBorder="1" applyAlignment="1" applyProtection="1">
      <alignment horizontal="left"/>
      <protection locked="0"/>
    </xf>
    <xf numFmtId="0" fontId="4" fillId="33" borderId="17" xfId="0" applyFont="1" applyFill="1" applyBorder="1" applyAlignment="1" applyProtection="1">
      <alignment/>
      <protection locked="0"/>
    </xf>
    <xf numFmtId="0" fontId="4" fillId="33" borderId="17" xfId="0" applyFont="1" applyFill="1" applyBorder="1" applyAlignment="1" applyProtection="1">
      <alignment horizontal="center"/>
      <protection locked="0"/>
    </xf>
    <xf numFmtId="170" fontId="4" fillId="33" borderId="10" xfId="42" applyNumberFormat="1" applyFont="1" applyFill="1" applyBorder="1" applyAlignment="1" applyProtection="1">
      <alignment/>
      <protection locked="0"/>
    </xf>
    <xf numFmtId="3" fontId="4" fillId="33" borderId="10" xfId="0" applyNumberFormat="1" applyFont="1" applyFill="1" applyBorder="1" applyAlignment="1" applyProtection="1">
      <alignment/>
      <protection/>
    </xf>
    <xf numFmtId="170" fontId="4" fillId="33" borderId="10" xfId="42" applyNumberFormat="1" applyFont="1" applyFill="1" applyBorder="1" applyAlignment="1" applyProtection="1">
      <alignment horizontal="center"/>
      <protection locked="0"/>
    </xf>
    <xf numFmtId="170" fontId="4" fillId="33" borderId="17" xfId="42" applyNumberFormat="1" applyFont="1" applyFill="1" applyBorder="1" applyAlignment="1" applyProtection="1">
      <alignment horizontal="center"/>
      <protection locked="0"/>
    </xf>
    <xf numFmtId="3"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center"/>
      <protection locked="0"/>
    </xf>
    <xf numFmtId="16" fontId="4" fillId="33" borderId="10" xfId="0" applyNumberFormat="1" applyFont="1" applyFill="1" applyBorder="1" applyAlignment="1" applyProtection="1">
      <alignment horizontal="center"/>
      <protection locked="0"/>
    </xf>
    <xf numFmtId="3" fontId="4" fillId="33" borderId="10" xfId="0" applyNumberFormat="1" applyFont="1" applyFill="1" applyBorder="1" applyAlignment="1" applyProtection="1">
      <alignment horizontal="right"/>
      <protection locked="0"/>
    </xf>
    <xf numFmtId="170" fontId="4" fillId="33" borderId="10" xfId="42" applyNumberFormat="1" applyFont="1" applyFill="1" applyBorder="1" applyAlignment="1" applyProtection="1">
      <alignment horizontal="center"/>
      <protection locked="0"/>
    </xf>
    <xf numFmtId="0" fontId="4" fillId="33" borderId="17" xfId="0" applyFont="1" applyFill="1" applyBorder="1" applyAlignment="1" applyProtection="1">
      <alignment horizontal="center"/>
      <protection locked="0"/>
    </xf>
    <xf numFmtId="170" fontId="4" fillId="39" borderId="10" xfId="0" applyNumberFormat="1" applyFont="1" applyFill="1" applyBorder="1" applyAlignment="1" applyProtection="1">
      <alignment horizontal="center"/>
      <protection locked="0"/>
    </xf>
    <xf numFmtId="37" fontId="4" fillId="33" borderId="14" xfId="0" applyNumberFormat="1" applyFont="1" applyFill="1" applyBorder="1" applyAlignment="1" applyProtection="1">
      <alignment/>
      <protection locked="0"/>
    </xf>
    <xf numFmtId="0" fontId="4" fillId="39" borderId="10" xfId="0" applyFont="1" applyFill="1" applyBorder="1" applyAlignment="1" applyProtection="1">
      <alignment/>
      <protection locked="0"/>
    </xf>
    <xf numFmtId="14" fontId="4" fillId="39" borderId="10" xfId="0" applyNumberFormat="1" applyFont="1" applyFill="1" applyBorder="1" applyAlignment="1" applyProtection="1">
      <alignment horizontal="left"/>
      <protection locked="0"/>
    </xf>
    <xf numFmtId="14" fontId="4" fillId="39" borderId="10" xfId="0" applyNumberFormat="1" applyFont="1" applyFill="1" applyBorder="1" applyAlignment="1" applyProtection="1">
      <alignment horizontal="center"/>
      <protection locked="0"/>
    </xf>
    <xf numFmtId="2" fontId="4" fillId="39" borderId="10" xfId="0" applyNumberFormat="1" applyFont="1" applyFill="1" applyBorder="1" applyAlignment="1" applyProtection="1">
      <alignment horizontal="center"/>
      <protection locked="0"/>
    </xf>
    <xf numFmtId="3" fontId="4" fillId="39" borderId="10" xfId="0" applyNumberFormat="1" applyFont="1" applyFill="1" applyBorder="1" applyAlignment="1" applyProtection="1">
      <alignment/>
      <protection locked="0"/>
    </xf>
    <xf numFmtId="0" fontId="4" fillId="39" borderId="10" xfId="0" applyFont="1" applyFill="1" applyBorder="1" applyAlignment="1" applyProtection="1">
      <alignment horizontal="center"/>
      <protection locked="0"/>
    </xf>
    <xf numFmtId="16" fontId="4" fillId="39" borderId="10" xfId="0" applyNumberFormat="1" applyFont="1" applyFill="1" applyBorder="1" applyAlignment="1" applyProtection="1">
      <alignment horizontal="center"/>
      <protection locked="0"/>
    </xf>
    <xf numFmtId="0" fontId="11" fillId="33" borderId="22" xfId="0" applyFont="1" applyFill="1" applyBorder="1" applyAlignment="1" applyProtection="1">
      <alignment/>
      <protection locked="0"/>
    </xf>
    <xf numFmtId="0" fontId="11" fillId="33" borderId="10" xfId="0" applyFont="1" applyFill="1" applyBorder="1" applyAlignment="1" applyProtection="1">
      <alignment/>
      <protection locked="0"/>
    </xf>
    <xf numFmtId="170" fontId="11" fillId="33" borderId="10" xfId="42" applyNumberFormat="1" applyFont="1" applyFill="1" applyBorder="1" applyAlignment="1" applyProtection="1">
      <alignment horizontal="center"/>
      <protection locked="0"/>
    </xf>
    <xf numFmtId="170" fontId="11" fillId="33" borderId="16" xfId="42" applyNumberFormat="1" applyFont="1" applyFill="1" applyBorder="1" applyAlignment="1" applyProtection="1">
      <alignment horizontal="center"/>
      <protection locked="0"/>
    </xf>
    <xf numFmtId="37" fontId="13" fillId="34" borderId="0" xfId="0" applyNumberFormat="1" applyFont="1" applyFill="1" applyAlignment="1" applyProtection="1">
      <alignment horizontal="center" vertical="justify"/>
      <protection/>
    </xf>
    <xf numFmtId="0" fontId="14" fillId="0" borderId="0" xfId="0" applyFont="1" applyAlignment="1">
      <alignment horizontal="center" vertical="justify"/>
    </xf>
    <xf numFmtId="37" fontId="12" fillId="34" borderId="0" xfId="0" applyNumberFormat="1" applyFont="1" applyFill="1" applyAlignment="1" applyProtection="1">
      <alignment horizontal="left"/>
      <protection/>
    </xf>
    <xf numFmtId="0" fontId="0" fillId="0" borderId="0" xfId="0" applyAlignment="1">
      <alignment horizontal="left"/>
    </xf>
    <xf numFmtId="0" fontId="15" fillId="34" borderId="0" xfId="0" applyFont="1" applyFill="1" applyBorder="1" applyAlignment="1">
      <alignment/>
    </xf>
    <xf numFmtId="0" fontId="18" fillId="0" borderId="0" xfId="0" applyFont="1" applyAlignment="1">
      <alignment/>
    </xf>
    <xf numFmtId="37" fontId="12" fillId="34" borderId="0" xfId="0" applyNumberFormat="1" applyFont="1" applyFill="1" applyBorder="1" applyAlignment="1" applyProtection="1">
      <alignment horizontal="center"/>
      <protection/>
    </xf>
    <xf numFmtId="0" fontId="0" fillId="0" borderId="0" xfId="0" applyAlignment="1">
      <alignment horizontal="center"/>
    </xf>
    <xf numFmtId="0" fontId="4" fillId="37" borderId="19" xfId="0" applyFont="1" applyFill="1" applyBorder="1" applyAlignment="1">
      <alignment wrapText="1"/>
    </xf>
    <xf numFmtId="0" fontId="0" fillId="0" borderId="19" xfId="0" applyBorder="1" applyAlignment="1">
      <alignment wrapText="1"/>
    </xf>
    <xf numFmtId="0" fontId="3" fillId="38" borderId="0" xfId="0" applyFont="1" applyFill="1" applyBorder="1" applyAlignment="1">
      <alignment horizontal="center"/>
    </xf>
    <xf numFmtId="0" fontId="2" fillId="38" borderId="0" xfId="0" applyFont="1" applyFill="1" applyBorder="1" applyAlignment="1">
      <alignment horizontal="center"/>
    </xf>
    <xf numFmtId="37" fontId="5" fillId="34" borderId="0" xfId="0" applyNumberFormat="1" applyFont="1" applyFill="1" applyAlignment="1" applyProtection="1">
      <alignment horizontal="center"/>
      <protection/>
    </xf>
    <xf numFmtId="0" fontId="0" fillId="34" borderId="0" xfId="0" applyFill="1" applyAlignment="1" applyProtection="1">
      <alignment horizontal="center"/>
      <protection/>
    </xf>
    <xf numFmtId="37" fontId="4" fillId="34" borderId="0" xfId="0" applyNumberFormat="1" applyFont="1" applyFill="1" applyAlignment="1" applyProtection="1">
      <alignment horizontal="center"/>
      <protection/>
    </xf>
    <xf numFmtId="0" fontId="9" fillId="38" borderId="19" xfId="0" applyFont="1" applyFill="1" applyBorder="1" applyAlignment="1" applyProtection="1">
      <alignment horizontal="center" wrapText="1" shrinkToFit="1"/>
      <protection/>
    </xf>
    <xf numFmtId="0" fontId="0" fillId="0" borderId="0" xfId="0" applyAlignment="1" applyProtection="1">
      <alignment horizontal="center" wrapText="1"/>
      <protection/>
    </xf>
    <xf numFmtId="0" fontId="6" fillId="34" borderId="0" xfId="0" applyFont="1" applyFill="1" applyAlignment="1">
      <alignment horizontal="center"/>
    </xf>
    <xf numFmtId="37" fontId="3" fillId="34" borderId="0" xfId="0" applyNumberFormat="1" applyFont="1" applyFill="1" applyAlignment="1">
      <alignment horizontal="center"/>
    </xf>
    <xf numFmtId="0" fontId="3" fillId="34" borderId="0" xfId="0" applyFont="1" applyFill="1" applyAlignment="1">
      <alignment horizontal="center"/>
    </xf>
    <xf numFmtId="37" fontId="3" fillId="34" borderId="0" xfId="0" applyNumberFormat="1" applyFont="1" applyFill="1" applyAlignment="1" applyProtection="1">
      <alignment horizontal="center"/>
      <protection/>
    </xf>
    <xf numFmtId="37" fontId="4" fillId="34" borderId="12" xfId="0" applyNumberFormat="1" applyFont="1" applyFill="1" applyBorder="1" applyAlignment="1" applyProtection="1">
      <alignment horizontal="center"/>
      <protection/>
    </xf>
    <xf numFmtId="37" fontId="4" fillId="34" borderId="13" xfId="0" applyNumberFormat="1" applyFont="1" applyFill="1" applyBorder="1" applyAlignment="1" applyProtection="1">
      <alignment horizontal="center"/>
      <protection/>
    </xf>
    <xf numFmtId="0" fontId="0" fillId="0" borderId="14" xfId="0" applyBorder="1" applyAlignment="1">
      <alignment/>
    </xf>
    <xf numFmtId="0" fontId="3" fillId="34" borderId="0" xfId="0" applyFont="1" applyFill="1" applyAlignment="1" applyProtection="1">
      <alignment horizontal="center"/>
      <protection/>
    </xf>
    <xf numFmtId="0" fontId="4" fillId="34" borderId="25" xfId="0" applyFont="1" applyFill="1" applyBorder="1" applyAlignment="1" applyProtection="1">
      <alignment horizontal="center"/>
      <protection/>
    </xf>
    <xf numFmtId="0" fontId="0" fillId="0" borderId="24" xfId="0" applyBorder="1" applyAlignment="1" applyProtection="1">
      <alignment/>
      <protection/>
    </xf>
    <xf numFmtId="1" fontId="4" fillId="34" borderId="25" xfId="0" applyNumberFormat="1" applyFont="1" applyFill="1" applyBorder="1" applyAlignment="1" applyProtection="1">
      <alignment horizontal="center"/>
      <protection/>
    </xf>
    <xf numFmtId="0" fontId="0" fillId="0" borderId="24" xfId="0" applyBorder="1" applyAlignment="1" applyProtection="1">
      <alignment horizontal="center"/>
      <protection/>
    </xf>
    <xf numFmtId="0" fontId="4" fillId="34" borderId="0" xfId="0" applyFont="1" applyFill="1" applyAlignment="1" applyProtection="1">
      <alignment horizontal="center"/>
      <protection/>
    </xf>
    <xf numFmtId="0" fontId="4" fillId="34" borderId="0" xfId="0" applyNumberFormat="1" applyFont="1" applyFill="1" applyBorder="1" applyAlignment="1" applyProtection="1">
      <alignment horizontal="right"/>
      <protection/>
    </xf>
    <xf numFmtId="0" fontId="0" fillId="0" borderId="27" xfId="0" applyBorder="1" applyAlignment="1">
      <alignment/>
    </xf>
    <xf numFmtId="37" fontId="4" fillId="34" borderId="0" xfId="0" applyNumberFormat="1" applyFont="1" applyFill="1" applyAlignment="1" applyProtection="1">
      <alignment horizontal="right"/>
      <protection/>
    </xf>
    <xf numFmtId="0" fontId="0" fillId="0" borderId="0" xfId="0" applyAlignment="1">
      <alignment horizontal="right"/>
    </xf>
    <xf numFmtId="0" fontId="0" fillId="0" borderId="27" xfId="0" applyBorder="1" applyAlignment="1">
      <alignment horizontal="right"/>
    </xf>
    <xf numFmtId="0" fontId="0" fillId="0" borderId="0" xfId="0" applyBorder="1" applyAlignment="1">
      <alignment horizontal="right"/>
    </xf>
    <xf numFmtId="0" fontId="4" fillId="34" borderId="12" xfId="0" applyFont="1" applyFill="1" applyBorder="1" applyAlignment="1">
      <alignment horizontal="center"/>
    </xf>
    <xf numFmtId="0" fontId="4" fillId="34" borderId="14" xfId="0" applyFont="1" applyFill="1" applyBorder="1" applyAlignment="1">
      <alignment horizontal="center"/>
    </xf>
    <xf numFmtId="0" fontId="4" fillId="33" borderId="0" xfId="0" applyFont="1" applyFill="1" applyAlignment="1" applyProtection="1">
      <alignment horizontal="center"/>
      <protection locked="0"/>
    </xf>
    <xf numFmtId="0" fontId="0" fillId="33" borderId="0" xfId="0" applyFill="1" applyAlignment="1" applyProtection="1">
      <alignment/>
      <protection locked="0"/>
    </xf>
    <xf numFmtId="37" fontId="4"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0" fillId="0" borderId="0" xfId="0" applyAlignment="1">
      <alignment/>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ebt" xfId="55"/>
    <cellStyle name="Normal_lpform" xfId="56"/>
    <cellStyle name="Note" xfId="57"/>
    <cellStyle name="Output" xfId="58"/>
    <cellStyle name="Percent" xfId="59"/>
    <cellStyle name="Title" xfId="60"/>
    <cellStyle name="Total" xfId="61"/>
    <cellStyle name="Warning Text" xfId="62"/>
  </cellStyles>
  <dxfs count="158">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323850</xdr:colOff>
      <xdr:row>33</xdr:row>
      <xdr:rowOff>0</xdr:rowOff>
    </xdr:to>
    <xdr:pic>
      <xdr:nvPicPr>
        <xdr:cNvPr id="1" name="Picture 1"/>
        <xdr:cNvPicPr preferRelativeResize="1">
          <a:picLocks noChangeAspect="1"/>
        </xdr:cNvPicPr>
      </xdr:nvPicPr>
      <xdr:blipFill>
        <a:blip r:embed="rId1"/>
        <a:stretch>
          <a:fillRect/>
        </a:stretch>
      </xdr:blipFill>
      <xdr:spPr>
        <a:xfrm>
          <a:off x="0" y="0"/>
          <a:ext cx="5353050" cy="6286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200025</xdr:colOff>
      <xdr:row>37</xdr:row>
      <xdr:rowOff>76200</xdr:rowOff>
    </xdr:to>
    <xdr:pic>
      <xdr:nvPicPr>
        <xdr:cNvPr id="1" name="Picture 1"/>
        <xdr:cNvPicPr preferRelativeResize="1">
          <a:picLocks noChangeAspect="1"/>
        </xdr:cNvPicPr>
      </xdr:nvPicPr>
      <xdr:blipFill>
        <a:blip r:embed="rId1"/>
        <a:stretch>
          <a:fillRect/>
        </a:stretch>
      </xdr:blipFill>
      <xdr:spPr>
        <a:xfrm>
          <a:off x="0" y="0"/>
          <a:ext cx="6067425" cy="7124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323850</xdr:colOff>
      <xdr:row>33</xdr:row>
      <xdr:rowOff>0</xdr:rowOff>
    </xdr:to>
    <xdr:pic>
      <xdr:nvPicPr>
        <xdr:cNvPr id="1" name="Picture 1"/>
        <xdr:cNvPicPr preferRelativeResize="1">
          <a:picLocks noChangeAspect="1"/>
        </xdr:cNvPicPr>
      </xdr:nvPicPr>
      <xdr:blipFill>
        <a:blip r:embed="rId1"/>
        <a:stretch>
          <a:fillRect/>
        </a:stretch>
      </xdr:blipFill>
      <xdr:spPr>
        <a:xfrm>
          <a:off x="0" y="0"/>
          <a:ext cx="5353050" cy="628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83"/>
  <sheetViews>
    <sheetView view="pageBreakPreview" zoomScaleNormal="80" zoomScaleSheetLayoutView="100" zoomScalePageLayoutView="0" workbookViewId="0" topLeftCell="A16">
      <selection activeCell="A58" sqref="A58"/>
    </sheetView>
  </sheetViews>
  <sheetFormatPr defaultColWidth="8.796875" defaultRowHeight="15"/>
  <cols>
    <col min="1" max="1" width="75.796875" style="2" customWidth="1"/>
    <col min="2" max="16384" width="8.8984375" style="2" customWidth="1"/>
  </cols>
  <sheetData>
    <row r="1" ht="15.75">
      <c r="A1" s="1" t="s">
        <v>553</v>
      </c>
    </row>
    <row r="3" ht="39.75" customHeight="1">
      <c r="A3" s="3" t="s">
        <v>635</v>
      </c>
    </row>
    <row r="4" ht="15.75">
      <c r="A4" s="4"/>
    </row>
    <row r="5" ht="49.5" customHeight="1">
      <c r="A5" s="5" t="s">
        <v>688</v>
      </c>
    </row>
    <row r="6" ht="15.75">
      <c r="A6" s="5"/>
    </row>
    <row r="7" ht="66.75" customHeight="1">
      <c r="A7" s="5" t="s">
        <v>645</v>
      </c>
    </row>
    <row r="8" ht="15.75">
      <c r="A8" s="5"/>
    </row>
    <row r="9" ht="32.25" customHeight="1">
      <c r="A9" s="5" t="s">
        <v>636</v>
      </c>
    </row>
    <row r="11" ht="51" customHeight="1">
      <c r="A11" s="5" t="s">
        <v>552</v>
      </c>
    </row>
    <row r="13" ht="15.75">
      <c r="A13" s="1" t="s">
        <v>4</v>
      </c>
    </row>
    <row r="14" ht="15.75">
      <c r="A14" s="1"/>
    </row>
    <row r="15" ht="15.75">
      <c r="A15" s="4" t="s">
        <v>25</v>
      </c>
    </row>
    <row r="17" ht="88.5" customHeight="1">
      <c r="A17" s="6" t="s">
        <v>26</v>
      </c>
    </row>
    <row r="18" ht="9" customHeight="1">
      <c r="A18" s="6"/>
    </row>
    <row r="19" ht="100.5" customHeight="1">
      <c r="A19" s="6" t="s">
        <v>5</v>
      </c>
    </row>
    <row r="21" ht="15.75">
      <c r="A21" s="1" t="s">
        <v>357</v>
      </c>
    </row>
    <row r="23" ht="36" customHeight="1">
      <c r="A23" s="5" t="s">
        <v>637</v>
      </c>
    </row>
    <row r="24" ht="15.75">
      <c r="A24" s="5"/>
    </row>
    <row r="25" ht="15.75">
      <c r="A25" s="252" t="s">
        <v>638</v>
      </c>
    </row>
    <row r="26" ht="12" customHeight="1">
      <c r="A26" s="5"/>
    </row>
    <row r="27" ht="15.75">
      <c r="A27" s="108" t="s">
        <v>530</v>
      </c>
    </row>
    <row r="28" ht="15.75">
      <c r="A28" s="240"/>
    </row>
    <row r="29" ht="84.75" customHeight="1">
      <c r="A29" s="109" t="s">
        <v>673</v>
      </c>
    </row>
    <row r="30" ht="12.75" customHeight="1">
      <c r="A30" s="241"/>
    </row>
    <row r="31" ht="15.75">
      <c r="A31" s="242" t="s">
        <v>639</v>
      </c>
    </row>
    <row r="32" ht="15.75">
      <c r="A32" s="241"/>
    </row>
    <row r="33" ht="15.75">
      <c r="A33" s="360" t="s">
        <v>3</v>
      </c>
    </row>
    <row r="34" ht="15.75">
      <c r="A34" s="241"/>
    </row>
    <row r="35" ht="15.75">
      <c r="A35" s="5" t="s">
        <v>454</v>
      </c>
    </row>
    <row r="37" ht="15.75">
      <c r="A37" s="1" t="s">
        <v>455</v>
      </c>
    </row>
    <row r="39" ht="66.75" customHeight="1">
      <c r="A39" s="5" t="s">
        <v>24</v>
      </c>
    </row>
    <row r="40" ht="35.25" customHeight="1">
      <c r="A40" s="5" t="s">
        <v>555</v>
      </c>
    </row>
    <row r="41" ht="53.25" customHeight="1">
      <c r="A41" s="243" t="s">
        <v>640</v>
      </c>
    </row>
    <row r="43" ht="84" customHeight="1">
      <c r="A43" s="5" t="s">
        <v>696</v>
      </c>
    </row>
    <row r="44" ht="53.25" customHeight="1">
      <c r="A44" s="5" t="s">
        <v>641</v>
      </c>
    </row>
    <row r="45" ht="15.75" customHeight="1">
      <c r="A45" s="5"/>
    </row>
    <row r="46" ht="69.75" customHeight="1">
      <c r="A46" s="5" t="s">
        <v>642</v>
      </c>
    </row>
    <row r="47" ht="37.5" customHeight="1">
      <c r="A47" s="5" t="s">
        <v>643</v>
      </c>
    </row>
    <row r="48" ht="69" customHeight="1">
      <c r="A48" s="5" t="s">
        <v>657</v>
      </c>
    </row>
    <row r="50" ht="84.75" customHeight="1">
      <c r="A50" s="5" t="s">
        <v>656</v>
      </c>
    </row>
    <row r="51" ht="38.25" customHeight="1">
      <c r="A51" s="5" t="s">
        <v>644</v>
      </c>
    </row>
    <row r="52" ht="15.75">
      <c r="A52" s="5"/>
    </row>
    <row r="53" ht="68.25" customHeight="1">
      <c r="A53" s="5" t="s">
        <v>27</v>
      </c>
    </row>
    <row r="54" ht="15.75">
      <c r="A54" s="5"/>
    </row>
    <row r="55" ht="48.75" customHeight="1">
      <c r="A55" s="5" t="s">
        <v>658</v>
      </c>
    </row>
    <row r="56" ht="51" customHeight="1">
      <c r="A56" s="5" t="s">
        <v>36</v>
      </c>
    </row>
    <row r="58" s="5" customFormat="1" ht="66.75" customHeight="1">
      <c r="A58" s="5" t="s">
        <v>659</v>
      </c>
    </row>
    <row r="60" ht="67.5" customHeight="1">
      <c r="A60" s="5" t="s">
        <v>674</v>
      </c>
    </row>
    <row r="62" ht="95.25" customHeight="1">
      <c r="A62" s="5" t="s">
        <v>675</v>
      </c>
    </row>
    <row r="63" ht="135.75" customHeight="1">
      <c r="A63" s="5" t="s">
        <v>174</v>
      </c>
    </row>
    <row r="64" ht="73.5" customHeight="1">
      <c r="A64" s="5" t="s">
        <v>188</v>
      </c>
    </row>
    <row r="65" ht="110.25" customHeight="1">
      <c r="A65" s="5" t="s">
        <v>189</v>
      </c>
    </row>
    <row r="66" ht="67.5" customHeight="1">
      <c r="A66" s="5" t="s">
        <v>190</v>
      </c>
    </row>
    <row r="67" ht="57" customHeight="1">
      <c r="A67" s="5" t="s">
        <v>191</v>
      </c>
    </row>
    <row r="68" ht="136.5" customHeight="1">
      <c r="A68" s="5" t="s">
        <v>356</v>
      </c>
    </row>
    <row r="69" ht="45" customHeight="1">
      <c r="A69" s="5" t="s">
        <v>192</v>
      </c>
    </row>
    <row r="70" ht="86.25" customHeight="1">
      <c r="A70" s="5" t="s">
        <v>310</v>
      </c>
    </row>
    <row r="71" ht="177.75" customHeight="1">
      <c r="A71" s="5" t="s">
        <v>350</v>
      </c>
    </row>
    <row r="73" ht="152.25" customHeight="1">
      <c r="A73" s="5" t="s">
        <v>0</v>
      </c>
    </row>
    <row r="75" ht="58.5" customHeight="1">
      <c r="A75" s="5" t="s">
        <v>1</v>
      </c>
    </row>
    <row r="76" ht="81.75" customHeight="1">
      <c r="A76" s="244" t="s">
        <v>58</v>
      </c>
    </row>
    <row r="77" ht="38.25" customHeight="1">
      <c r="A77" s="5" t="s">
        <v>59</v>
      </c>
    </row>
    <row r="78" ht="24.75" customHeight="1">
      <c r="A78" s="5" t="s">
        <v>60</v>
      </c>
    </row>
    <row r="79" ht="25.5" customHeight="1">
      <c r="A79" s="5" t="s">
        <v>61</v>
      </c>
    </row>
    <row r="80" ht="39" customHeight="1">
      <c r="A80" s="5" t="s">
        <v>62</v>
      </c>
    </row>
    <row r="81" ht="53.25" customHeight="1">
      <c r="A81" s="5" t="s">
        <v>63</v>
      </c>
    </row>
    <row r="83" ht="47.25">
      <c r="A83" s="5" t="s">
        <v>64</v>
      </c>
    </row>
  </sheetData>
  <sheetProtection sheet="1" objects="1" scenarios="1"/>
  <printOptions/>
  <pageMargins left="0.5" right="0.5" top="0.5" bottom="0.5" header="0.5" footer="0"/>
  <pageSetup blackAndWhite="1" fitToHeight="2" horizontalDpi="300" verticalDpi="300" orientation="portrait" scale="90" r:id="rId1"/>
  <headerFooter alignWithMargins="0">
    <oddFooter>&amp;Lrevised 7/01/08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54"/>
  <sheetViews>
    <sheetView view="pageBreakPreview" zoomScaleSheetLayoutView="100" zoomScalePageLayoutView="0" workbookViewId="0" topLeftCell="A19">
      <selection activeCell="D51" sqref="D51"/>
    </sheetView>
  </sheetViews>
  <sheetFormatPr defaultColWidth="8.796875" defaultRowHeight="15"/>
  <cols>
    <col min="1" max="1" width="27.69921875" style="2" customWidth="1"/>
    <col min="2" max="2" width="26.796875" style="2" customWidth="1"/>
    <col min="3" max="6" width="12.796875" style="2" customWidth="1"/>
    <col min="7" max="16384" width="8.8984375" style="2" customWidth="1"/>
  </cols>
  <sheetData>
    <row r="1" spans="1:6" ht="15.75">
      <c r="A1" s="51" t="str">
        <f>inputPrYr!D2</f>
        <v>City of Coffeyville</v>
      </c>
      <c r="B1" s="51"/>
      <c r="C1" s="50"/>
      <c r="D1" s="50"/>
      <c r="E1" s="50"/>
      <c r="F1" s="50">
        <f>inputPrYr!$C$5</f>
        <v>2012</v>
      </c>
    </row>
    <row r="2" spans="1:6" ht="15.75">
      <c r="A2" s="50"/>
      <c r="B2" s="50"/>
      <c r="C2" s="50"/>
      <c r="D2" s="50"/>
      <c r="E2" s="50"/>
      <c r="F2" s="50"/>
    </row>
    <row r="3" spans="1:6" ht="15.75">
      <c r="A3" s="457" t="s">
        <v>532</v>
      </c>
      <c r="B3" s="457"/>
      <c r="C3" s="457"/>
      <c r="D3" s="457"/>
      <c r="E3" s="457"/>
      <c r="F3" s="457"/>
    </row>
    <row r="4" spans="1:6" ht="15.75">
      <c r="A4" s="134"/>
      <c r="B4" s="134"/>
      <c r="C4" s="134"/>
      <c r="D4" s="134"/>
      <c r="E4" s="134"/>
      <c r="F4" s="134"/>
    </row>
    <row r="5" spans="1:6" ht="15.75">
      <c r="A5" s="135" t="s">
        <v>549</v>
      </c>
      <c r="B5" s="135" t="s">
        <v>549</v>
      </c>
      <c r="C5" s="135" t="s">
        <v>413</v>
      </c>
      <c r="D5" s="135" t="s">
        <v>550</v>
      </c>
      <c r="E5" s="135" t="s">
        <v>551</v>
      </c>
      <c r="F5" s="135" t="s">
        <v>595</v>
      </c>
    </row>
    <row r="6" spans="1:6" ht="15.75">
      <c r="A6" s="201" t="s">
        <v>596</v>
      </c>
      <c r="B6" s="201" t="s">
        <v>597</v>
      </c>
      <c r="C6" s="201" t="s">
        <v>598</v>
      </c>
      <c r="D6" s="201" t="s">
        <v>598</v>
      </c>
      <c r="E6" s="201" t="s">
        <v>598</v>
      </c>
      <c r="F6" s="201" t="s">
        <v>599</v>
      </c>
    </row>
    <row r="7" spans="1:6" ht="15" customHeight="1">
      <c r="A7" s="202" t="s">
        <v>600</v>
      </c>
      <c r="B7" s="202" t="s">
        <v>601</v>
      </c>
      <c r="C7" s="146">
        <f>F1-2</f>
        <v>2010</v>
      </c>
      <c r="D7" s="146">
        <f>F1-1</f>
        <v>2011</v>
      </c>
      <c r="E7" s="146">
        <f>F1</f>
        <v>2012</v>
      </c>
      <c r="F7" s="202" t="s">
        <v>602</v>
      </c>
    </row>
    <row r="8" spans="1:6" ht="15" customHeight="1">
      <c r="A8" s="122" t="s">
        <v>39</v>
      </c>
      <c r="B8" s="408" t="s">
        <v>361</v>
      </c>
      <c r="C8" s="412">
        <v>216641.46</v>
      </c>
      <c r="D8" s="412">
        <v>236312.7</v>
      </c>
      <c r="E8" s="412">
        <v>249221.05</v>
      </c>
      <c r="F8" s="409" t="s">
        <v>484</v>
      </c>
    </row>
    <row r="9" spans="1:6" ht="15" customHeight="1">
      <c r="A9" s="122" t="s">
        <v>39</v>
      </c>
      <c r="B9" s="408" t="s">
        <v>361</v>
      </c>
      <c r="C9" s="412">
        <v>162481.1</v>
      </c>
      <c r="D9" s="412">
        <v>177234.53</v>
      </c>
      <c r="E9" s="412">
        <v>186915.79</v>
      </c>
      <c r="F9" s="409" t="s">
        <v>484</v>
      </c>
    </row>
    <row r="10" spans="1:6" ht="14.25" customHeight="1">
      <c r="A10" s="408" t="s">
        <v>39</v>
      </c>
      <c r="B10" s="408" t="s">
        <v>361</v>
      </c>
      <c r="C10" s="413">
        <v>300000</v>
      </c>
      <c r="D10" s="413">
        <v>300000</v>
      </c>
      <c r="E10" s="413">
        <v>300000</v>
      </c>
      <c r="F10" s="409" t="s">
        <v>484</v>
      </c>
    </row>
    <row r="11" spans="1:6" ht="15" customHeight="1">
      <c r="A11" s="122" t="s">
        <v>244</v>
      </c>
      <c r="B11" s="408" t="s">
        <v>361</v>
      </c>
      <c r="C11" s="412">
        <v>1450000</v>
      </c>
      <c r="D11" s="412">
        <v>1450000</v>
      </c>
      <c r="E11" s="412">
        <v>1550000</v>
      </c>
      <c r="F11" s="409" t="s">
        <v>484</v>
      </c>
    </row>
    <row r="12" spans="1:6" ht="15" customHeight="1">
      <c r="A12" s="122" t="s">
        <v>244</v>
      </c>
      <c r="B12" s="408" t="s">
        <v>361</v>
      </c>
      <c r="C12" s="412">
        <v>704084.75</v>
      </c>
      <c r="D12" s="412">
        <v>768016.29</v>
      </c>
      <c r="E12" s="412">
        <v>809968.42</v>
      </c>
      <c r="F12" s="409" t="s">
        <v>484</v>
      </c>
    </row>
    <row r="13" spans="1:6" ht="15" customHeight="1">
      <c r="A13" s="122" t="s">
        <v>197</v>
      </c>
      <c r="B13" s="408" t="s">
        <v>361</v>
      </c>
      <c r="C13" s="412">
        <v>10500</v>
      </c>
      <c r="D13" s="418">
        <v>0</v>
      </c>
      <c r="E13" s="418">
        <v>0</v>
      </c>
      <c r="F13" s="419" t="s">
        <v>345</v>
      </c>
    </row>
    <row r="14" spans="1:6" ht="15" customHeight="1">
      <c r="A14" s="122" t="s">
        <v>313</v>
      </c>
      <c r="B14" s="408" t="s">
        <v>361</v>
      </c>
      <c r="C14" s="412">
        <v>0</v>
      </c>
      <c r="D14" s="418">
        <v>718.32</v>
      </c>
      <c r="E14" s="418">
        <v>0</v>
      </c>
      <c r="F14" s="419" t="s">
        <v>315</v>
      </c>
    </row>
    <row r="15" spans="1:6" ht="15" customHeight="1">
      <c r="A15" s="122" t="s">
        <v>252</v>
      </c>
      <c r="B15" s="408" t="s">
        <v>361</v>
      </c>
      <c r="C15" s="412">
        <v>0</v>
      </c>
      <c r="D15" s="418">
        <f>519.84+570.08</f>
        <v>1089.92</v>
      </c>
      <c r="E15" s="418">
        <v>0</v>
      </c>
      <c r="F15" s="419" t="s">
        <v>315</v>
      </c>
    </row>
    <row r="16" spans="1:6" ht="15" customHeight="1">
      <c r="A16" s="122" t="s">
        <v>252</v>
      </c>
      <c r="B16" s="408" t="s">
        <v>47</v>
      </c>
      <c r="C16" s="412">
        <v>0</v>
      </c>
      <c r="D16" s="418">
        <v>54000</v>
      </c>
      <c r="E16" s="418">
        <v>0</v>
      </c>
      <c r="F16" s="419" t="s">
        <v>484</v>
      </c>
    </row>
    <row r="17" spans="1:6" ht="15" customHeight="1">
      <c r="A17" s="122" t="s">
        <v>361</v>
      </c>
      <c r="B17" s="122" t="s">
        <v>40</v>
      </c>
      <c r="C17" s="412">
        <v>470000</v>
      </c>
      <c r="D17" s="418">
        <v>470000</v>
      </c>
      <c r="E17" s="418">
        <v>470000</v>
      </c>
      <c r="F17" s="419" t="s">
        <v>488</v>
      </c>
    </row>
    <row r="18" spans="1:6" ht="15" customHeight="1">
      <c r="A18" s="122" t="s">
        <v>361</v>
      </c>
      <c r="B18" s="122" t="s">
        <v>116</v>
      </c>
      <c r="C18" s="418">
        <v>164764.38</v>
      </c>
      <c r="D18" s="418">
        <v>144000</v>
      </c>
      <c r="E18" s="418">
        <v>144000</v>
      </c>
      <c r="F18" s="409" t="s">
        <v>488</v>
      </c>
    </row>
    <row r="19" spans="1:6" ht="15" customHeight="1">
      <c r="A19" s="122" t="s">
        <v>361</v>
      </c>
      <c r="B19" s="122" t="s">
        <v>201</v>
      </c>
      <c r="C19" s="418">
        <v>6000</v>
      </c>
      <c r="D19" s="418">
        <v>6000</v>
      </c>
      <c r="E19" s="418">
        <v>6000</v>
      </c>
      <c r="F19" s="409" t="s">
        <v>488</v>
      </c>
    </row>
    <row r="20" spans="1:6" ht="15" customHeight="1">
      <c r="A20" s="122" t="s">
        <v>361</v>
      </c>
      <c r="B20" s="122" t="s">
        <v>116</v>
      </c>
      <c r="C20" s="418">
        <v>1268642.08</v>
      </c>
      <c r="D20" s="418">
        <v>1550000</v>
      </c>
      <c r="E20" s="418">
        <v>1550000</v>
      </c>
      <c r="F20" s="409" t="s">
        <v>485</v>
      </c>
    </row>
    <row r="21" spans="1:6" ht="15" customHeight="1">
      <c r="A21" s="122" t="s">
        <v>361</v>
      </c>
      <c r="B21" s="122" t="s">
        <v>116</v>
      </c>
      <c r="C21" s="418">
        <v>2297057</v>
      </c>
      <c r="D21" s="418">
        <v>1788375</v>
      </c>
      <c r="E21" s="418">
        <v>1777411</v>
      </c>
      <c r="F21" s="409" t="s">
        <v>485</v>
      </c>
    </row>
    <row r="22" spans="1:6" ht="15" customHeight="1">
      <c r="A22" s="122" t="s">
        <v>361</v>
      </c>
      <c r="B22" s="122" t="s">
        <v>231</v>
      </c>
      <c r="C22" s="412">
        <v>160191.08</v>
      </c>
      <c r="D22" s="418">
        <v>155000</v>
      </c>
      <c r="E22" s="418">
        <v>155000</v>
      </c>
      <c r="F22" s="409" t="s">
        <v>487</v>
      </c>
    </row>
    <row r="23" spans="1:6" ht="15" customHeight="1">
      <c r="A23" s="122" t="s">
        <v>361</v>
      </c>
      <c r="B23" s="122" t="s">
        <v>41</v>
      </c>
      <c r="C23" s="412">
        <v>800955.46</v>
      </c>
      <c r="D23" s="418">
        <v>775000</v>
      </c>
      <c r="E23" s="418">
        <v>775000</v>
      </c>
      <c r="F23" s="409" t="s">
        <v>488</v>
      </c>
    </row>
    <row r="24" spans="1:6" ht="15" customHeight="1">
      <c r="A24" s="122" t="s">
        <v>361</v>
      </c>
      <c r="B24" s="122" t="s">
        <v>238</v>
      </c>
      <c r="C24" s="412">
        <v>800955.46</v>
      </c>
      <c r="D24" s="418">
        <v>775000</v>
      </c>
      <c r="E24" s="418">
        <v>775000</v>
      </c>
      <c r="F24" s="409" t="s">
        <v>488</v>
      </c>
    </row>
    <row r="25" spans="1:6" ht="15" customHeight="1">
      <c r="A25" s="122" t="s">
        <v>361</v>
      </c>
      <c r="B25" s="122" t="s">
        <v>248</v>
      </c>
      <c r="C25" s="412">
        <v>0</v>
      </c>
      <c r="D25" s="418">
        <v>6000</v>
      </c>
      <c r="E25" s="418">
        <v>6000</v>
      </c>
      <c r="F25" s="409" t="s">
        <v>486</v>
      </c>
    </row>
    <row r="26" spans="1:6" ht="15" customHeight="1">
      <c r="A26" s="122" t="s">
        <v>361</v>
      </c>
      <c r="B26" s="122" t="s">
        <v>145</v>
      </c>
      <c r="C26" s="412">
        <v>6000</v>
      </c>
      <c r="D26" s="418">
        <v>0</v>
      </c>
      <c r="E26" s="418">
        <v>0</v>
      </c>
      <c r="F26" s="409" t="s">
        <v>486</v>
      </c>
    </row>
    <row r="27" spans="1:6" ht="15" customHeight="1">
      <c r="A27" s="122" t="s">
        <v>42</v>
      </c>
      <c r="B27" s="122" t="s">
        <v>79</v>
      </c>
      <c r="C27" s="412">
        <v>21000</v>
      </c>
      <c r="D27" s="418">
        <v>25000</v>
      </c>
      <c r="E27" s="418">
        <v>25000</v>
      </c>
      <c r="F27" s="409" t="s">
        <v>484</v>
      </c>
    </row>
    <row r="28" spans="1:6" ht="15" customHeight="1">
      <c r="A28" s="122" t="s">
        <v>42</v>
      </c>
      <c r="B28" s="122" t="s">
        <v>200</v>
      </c>
      <c r="C28" s="412">
        <v>150000</v>
      </c>
      <c r="D28" s="418">
        <v>65000</v>
      </c>
      <c r="E28" s="418">
        <v>45000</v>
      </c>
      <c r="F28" s="409" t="s">
        <v>484</v>
      </c>
    </row>
    <row r="29" spans="1:6" ht="15" customHeight="1">
      <c r="A29" s="122" t="s">
        <v>42</v>
      </c>
      <c r="B29" s="122" t="s">
        <v>201</v>
      </c>
      <c r="C29" s="412">
        <v>21000</v>
      </c>
      <c r="D29" s="418">
        <v>37000</v>
      </c>
      <c r="E29" s="418">
        <v>37000</v>
      </c>
      <c r="F29" s="409" t="s">
        <v>484</v>
      </c>
    </row>
    <row r="30" spans="1:6" ht="15" customHeight="1">
      <c r="A30" s="122" t="s">
        <v>42</v>
      </c>
      <c r="B30" s="122" t="s">
        <v>22</v>
      </c>
      <c r="C30" s="412">
        <v>25000</v>
      </c>
      <c r="D30" s="418">
        <v>25000</v>
      </c>
      <c r="E30" s="418">
        <v>25000</v>
      </c>
      <c r="F30" s="409" t="s">
        <v>484</v>
      </c>
    </row>
    <row r="31" spans="1:6" ht="15" customHeight="1">
      <c r="A31" s="122" t="s">
        <v>243</v>
      </c>
      <c r="B31" s="122" t="s">
        <v>44</v>
      </c>
      <c r="C31" s="412">
        <v>30000</v>
      </c>
      <c r="D31" s="418">
        <v>30000</v>
      </c>
      <c r="E31" s="418">
        <v>22000</v>
      </c>
      <c r="F31" s="409" t="s">
        <v>484</v>
      </c>
    </row>
    <row r="32" spans="1:6" ht="15" customHeight="1">
      <c r="A32" s="122" t="s">
        <v>39</v>
      </c>
      <c r="B32" s="122" t="s">
        <v>45</v>
      </c>
      <c r="C32" s="412">
        <v>1142439.78</v>
      </c>
      <c r="D32" s="418">
        <v>1180066.1</v>
      </c>
      <c r="E32" s="418">
        <v>1177332.46</v>
      </c>
      <c r="F32" s="409" t="s">
        <v>484</v>
      </c>
    </row>
    <row r="33" spans="1:6" ht="15" customHeight="1">
      <c r="A33" s="122" t="s">
        <v>32</v>
      </c>
      <c r="B33" s="122" t="s">
        <v>43</v>
      </c>
      <c r="C33" s="412">
        <v>125000</v>
      </c>
      <c r="D33" s="418">
        <v>125000</v>
      </c>
      <c r="E33" s="418">
        <v>125000</v>
      </c>
      <c r="F33" s="409" t="s">
        <v>484</v>
      </c>
    </row>
    <row r="34" spans="1:6" ht="15" customHeight="1">
      <c r="A34" s="122" t="s">
        <v>33</v>
      </c>
      <c r="B34" s="122" t="s">
        <v>43</v>
      </c>
      <c r="C34" s="412">
        <v>150000</v>
      </c>
      <c r="D34" s="418">
        <v>150000</v>
      </c>
      <c r="E34" s="418">
        <v>150000</v>
      </c>
      <c r="F34" s="409" t="s">
        <v>484</v>
      </c>
    </row>
    <row r="35" spans="1:6" ht="15" customHeight="1">
      <c r="A35" s="122" t="s">
        <v>33</v>
      </c>
      <c r="B35" s="122" t="s">
        <v>314</v>
      </c>
      <c r="C35" s="412">
        <v>0</v>
      </c>
      <c r="D35" s="418">
        <v>0</v>
      </c>
      <c r="E35" s="418">
        <v>100000</v>
      </c>
      <c r="F35" s="409" t="s">
        <v>484</v>
      </c>
    </row>
    <row r="36" spans="1:6" ht="15" customHeight="1">
      <c r="A36" s="122" t="s">
        <v>244</v>
      </c>
      <c r="B36" s="122" t="s">
        <v>46</v>
      </c>
      <c r="C36" s="412">
        <v>905000</v>
      </c>
      <c r="D36" s="418">
        <v>905000</v>
      </c>
      <c r="E36" s="418">
        <v>1895905.78</v>
      </c>
      <c r="F36" s="409" t="s">
        <v>484</v>
      </c>
    </row>
    <row r="37" spans="1:6" ht="15" customHeight="1">
      <c r="A37" s="122" t="s">
        <v>244</v>
      </c>
      <c r="B37" s="122" t="s">
        <v>47</v>
      </c>
      <c r="C37" s="412">
        <v>1149234.45</v>
      </c>
      <c r="D37" s="418">
        <v>1359979</v>
      </c>
      <c r="E37" s="418">
        <v>1831947</v>
      </c>
      <c r="F37" s="409" t="s">
        <v>484</v>
      </c>
    </row>
    <row r="38" spans="1:6" ht="15" customHeight="1">
      <c r="A38" s="122" t="s">
        <v>244</v>
      </c>
      <c r="B38" s="122" t="s">
        <v>48</v>
      </c>
      <c r="C38" s="412">
        <v>1056244.01</v>
      </c>
      <c r="D38" s="418">
        <v>1060097.22</v>
      </c>
      <c r="E38" s="418">
        <v>1047147.22</v>
      </c>
      <c r="F38" s="409" t="s">
        <v>484</v>
      </c>
    </row>
    <row r="39" spans="1:6" ht="15" customHeight="1">
      <c r="A39" s="122" t="s">
        <v>42</v>
      </c>
      <c r="B39" s="122" t="s">
        <v>314</v>
      </c>
      <c r="C39" s="418">
        <v>0</v>
      </c>
      <c r="D39" s="418">
        <v>0</v>
      </c>
      <c r="E39" s="418">
        <v>170000</v>
      </c>
      <c r="F39" s="409" t="s">
        <v>484</v>
      </c>
    </row>
    <row r="40" spans="1:6" ht="15" customHeight="1">
      <c r="A40" s="122" t="s">
        <v>42</v>
      </c>
      <c r="B40" s="122" t="s">
        <v>252</v>
      </c>
      <c r="C40" s="418">
        <v>50000</v>
      </c>
      <c r="D40" s="418">
        <v>0</v>
      </c>
      <c r="E40" s="418">
        <v>0</v>
      </c>
      <c r="F40" s="409" t="s">
        <v>484</v>
      </c>
    </row>
    <row r="41" spans="1:6" ht="15" customHeight="1">
      <c r="A41" s="122" t="s">
        <v>42</v>
      </c>
      <c r="B41" s="122" t="s">
        <v>312</v>
      </c>
      <c r="C41" s="418">
        <v>33000</v>
      </c>
      <c r="D41" s="418">
        <v>0</v>
      </c>
      <c r="E41" s="418">
        <v>0</v>
      </c>
      <c r="F41" s="409" t="s">
        <v>484</v>
      </c>
    </row>
    <row r="42" spans="1:6" ht="15" customHeight="1">
      <c r="A42" s="122" t="s">
        <v>42</v>
      </c>
      <c r="B42" s="122" t="s">
        <v>116</v>
      </c>
      <c r="C42" s="418">
        <v>150000</v>
      </c>
      <c r="D42" s="418">
        <v>150000</v>
      </c>
      <c r="E42" s="418">
        <v>150000</v>
      </c>
      <c r="F42" s="409" t="s">
        <v>484</v>
      </c>
    </row>
    <row r="43" spans="1:6" ht="15" customHeight="1">
      <c r="A43" s="122" t="s">
        <v>42</v>
      </c>
      <c r="B43" s="122" t="s">
        <v>116</v>
      </c>
      <c r="C43" s="418">
        <v>50000</v>
      </c>
      <c r="D43" s="418">
        <v>198000</v>
      </c>
      <c r="E43" s="418">
        <v>218000</v>
      </c>
      <c r="F43" s="409" t="s">
        <v>484</v>
      </c>
    </row>
    <row r="44" spans="1:6" ht="15" customHeight="1">
      <c r="A44" s="122" t="s">
        <v>42</v>
      </c>
      <c r="B44" s="122" t="s">
        <v>231</v>
      </c>
      <c r="C44" s="418">
        <v>0</v>
      </c>
      <c r="D44" s="418">
        <v>169200</v>
      </c>
      <c r="E44" s="418">
        <v>0</v>
      </c>
      <c r="F44" s="409" t="s">
        <v>484</v>
      </c>
    </row>
    <row r="45" spans="1:6" ht="15" customHeight="1">
      <c r="A45" s="122" t="s">
        <v>43</v>
      </c>
      <c r="B45" s="122" t="s">
        <v>231</v>
      </c>
      <c r="C45" s="418">
        <v>0</v>
      </c>
      <c r="D45" s="418">
        <v>100000</v>
      </c>
      <c r="E45" s="418">
        <v>0</v>
      </c>
      <c r="F45" s="409" t="s">
        <v>484</v>
      </c>
    </row>
    <row r="46" spans="1:6" ht="15" customHeight="1">
      <c r="A46" s="122" t="s">
        <v>231</v>
      </c>
      <c r="B46" s="122" t="s">
        <v>47</v>
      </c>
      <c r="C46" s="418">
        <v>0</v>
      </c>
      <c r="D46" s="418">
        <v>0</v>
      </c>
      <c r="E46" s="418">
        <v>24170</v>
      </c>
      <c r="F46" s="409" t="s">
        <v>484</v>
      </c>
    </row>
    <row r="47" spans="1:6" ht="15" customHeight="1">
      <c r="A47" s="122" t="s">
        <v>231</v>
      </c>
      <c r="B47" s="122" t="s">
        <v>43</v>
      </c>
      <c r="C47" s="418">
        <v>0</v>
      </c>
      <c r="D47" s="418">
        <v>0</v>
      </c>
      <c r="E47" s="418">
        <v>14287</v>
      </c>
      <c r="F47" s="409" t="s">
        <v>484</v>
      </c>
    </row>
    <row r="48" spans="1:6" ht="15" customHeight="1">
      <c r="A48" s="122" t="s">
        <v>230</v>
      </c>
      <c r="B48" s="122" t="s">
        <v>253</v>
      </c>
      <c r="C48" s="418">
        <v>6200</v>
      </c>
      <c r="D48" s="418">
        <v>0</v>
      </c>
      <c r="E48" s="418">
        <v>0</v>
      </c>
      <c r="F48" s="409" t="s">
        <v>345</v>
      </c>
    </row>
    <row r="49" spans="1:6" ht="15" customHeight="1">
      <c r="A49" s="122" t="s">
        <v>46</v>
      </c>
      <c r="B49" s="122" t="s">
        <v>264</v>
      </c>
      <c r="C49" s="418">
        <v>4249</v>
      </c>
      <c r="D49" s="418">
        <v>0</v>
      </c>
      <c r="E49" s="418">
        <v>0</v>
      </c>
      <c r="F49" s="409" t="s">
        <v>484</v>
      </c>
    </row>
    <row r="50" spans="1:6" ht="15" customHeight="1">
      <c r="A50" s="136"/>
      <c r="B50" s="203" t="s">
        <v>379</v>
      </c>
      <c r="C50" s="270">
        <f>SUM(C8:C49)</f>
        <v>13886640.009999998</v>
      </c>
      <c r="D50" s="270">
        <f>SUM(D8:D49)</f>
        <v>14236089.08</v>
      </c>
      <c r="E50" s="270">
        <f>SUM(E8:E49)</f>
        <v>15812305.719999999</v>
      </c>
      <c r="F50" s="211"/>
    </row>
    <row r="51" spans="1:6" ht="15" customHeight="1">
      <c r="A51" s="136"/>
      <c r="B51" s="204" t="s">
        <v>603</v>
      </c>
      <c r="C51" s="82"/>
      <c r="D51" s="420">
        <f>+D14+D15+D27+D28+D29+D30+D39+D40+D41+D42+D43+D44+D45+D46+D47+D48+D49</f>
        <v>771008.24</v>
      </c>
      <c r="E51" s="420">
        <f>+E14+E15+E27+E28+E29+E30+E39+E40+E41+E42+E43+E44+E45+E46+E47+E48+E49</f>
        <v>708457</v>
      </c>
      <c r="F51" s="211"/>
    </row>
    <row r="52" spans="1:6" ht="15" customHeight="1">
      <c r="A52" s="136"/>
      <c r="B52" s="203" t="s">
        <v>604</v>
      </c>
      <c r="C52" s="270">
        <f>C50</f>
        <v>13886640.009999998</v>
      </c>
      <c r="D52" s="270">
        <f>SUM(D50-D51)</f>
        <v>13465080.84</v>
      </c>
      <c r="E52" s="270">
        <f>SUM(E50-E51)</f>
        <v>15103848.719999999</v>
      </c>
      <c r="F52" s="211"/>
    </row>
    <row r="53" spans="1:6" ht="15" customHeight="1">
      <c r="A53" s="136"/>
      <c r="B53" s="136"/>
      <c r="C53" s="136"/>
      <c r="D53" s="136"/>
      <c r="E53" s="136"/>
      <c r="F53" s="136"/>
    </row>
    <row r="54" spans="1:6" ht="15" customHeight="1">
      <c r="A54" s="361" t="s">
        <v>697</v>
      </c>
      <c r="B54" s="361"/>
      <c r="C54" s="361"/>
      <c r="D54" s="361"/>
      <c r="E54" s="361"/>
      <c r="F54" s="136"/>
    </row>
    <row r="55" ht="15" customHeight="1"/>
    <row r="56" ht="15.75"/>
  </sheetData>
  <sheetProtection/>
  <mergeCells count="1">
    <mergeCell ref="A3:F3"/>
  </mergeCells>
  <printOptions/>
  <pageMargins left="0.75" right="0.75" top="1" bottom="1" header="0.5" footer="0.5"/>
  <pageSetup blackAndWhite="1" fitToHeight="1" fitToWidth="1" horizontalDpi="600" verticalDpi="600" orientation="landscape" scale="58" r:id="rId3"/>
  <headerFooter alignWithMargins="0">
    <oddHeader>&amp;RState of Kansas
Coffeyville</oddHeader>
    <oddFooter>&amp;Lrevised 5/08/08&amp;CPage No. 4</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B43"/>
  <sheetViews>
    <sheetView view="pageBreakPreview" zoomScaleNormal="75" zoomScaleSheetLayoutView="100" zoomScalePageLayoutView="0" workbookViewId="0" topLeftCell="A1">
      <pane xSplit="1" ySplit="7" topLeftCell="B11" activePane="bottomRight" state="frozen"/>
      <selection pane="topLeft" activeCell="A1" sqref="A1"/>
      <selection pane="topRight" activeCell="B1" sqref="B1"/>
      <selection pane="bottomLeft" activeCell="A8" sqref="A8"/>
      <selection pane="bottomRight" activeCell="A12" sqref="A12"/>
    </sheetView>
  </sheetViews>
  <sheetFormatPr defaultColWidth="8.796875" defaultRowHeight="15"/>
  <cols>
    <col min="1" max="1" width="23.69921875" style="7" bestFit="1" customWidth="1"/>
    <col min="2" max="3" width="9.296875" style="7" bestFit="1" customWidth="1"/>
    <col min="4" max="4" width="10.296875" style="7" bestFit="1" customWidth="1"/>
    <col min="5" max="5" width="12.796875" style="7" customWidth="1"/>
    <col min="6" max="6" width="14.3984375" style="7" bestFit="1" customWidth="1"/>
    <col min="7" max="12" width="9.796875" style="7" customWidth="1"/>
    <col min="13" max="16384" width="8.8984375" style="7" customWidth="1"/>
  </cols>
  <sheetData>
    <row r="1" spans="1:12" ht="15.75">
      <c r="A1" s="72" t="str">
        <f>inputPrYr!$D$2</f>
        <v>City of Coffeyville</v>
      </c>
      <c r="B1" s="21"/>
      <c r="C1" s="21"/>
      <c r="D1" s="21"/>
      <c r="E1" s="21"/>
      <c r="F1" s="21"/>
      <c r="G1" s="21"/>
      <c r="H1" s="21"/>
      <c r="I1" s="21"/>
      <c r="J1" s="21"/>
      <c r="K1" s="21"/>
      <c r="L1" s="142">
        <f>inputPrYr!$C$5</f>
        <v>2012</v>
      </c>
    </row>
    <row r="2" spans="1:12" ht="15.75">
      <c r="A2" s="72"/>
      <c r="B2" s="21"/>
      <c r="C2" s="21"/>
      <c r="D2" s="21"/>
      <c r="E2" s="21"/>
      <c r="F2" s="21"/>
      <c r="G2" s="21"/>
      <c r="H2" s="21"/>
      <c r="I2" s="21"/>
      <c r="J2" s="21"/>
      <c r="K2" s="21"/>
      <c r="L2" s="24"/>
    </row>
    <row r="3" spans="1:12" ht="15.75">
      <c r="A3" s="75" t="s">
        <v>468</v>
      </c>
      <c r="B3" s="27"/>
      <c r="C3" s="27"/>
      <c r="D3" s="27"/>
      <c r="E3" s="27"/>
      <c r="F3" s="27"/>
      <c r="G3" s="27"/>
      <c r="H3" s="27"/>
      <c r="I3" s="27"/>
      <c r="J3" s="27"/>
      <c r="K3" s="27"/>
      <c r="L3" s="27"/>
    </row>
    <row r="4" spans="1:12" ht="15.75">
      <c r="A4" s="21"/>
      <c r="B4" s="87"/>
      <c r="C4" s="87"/>
      <c r="D4" s="87"/>
      <c r="E4" s="87"/>
      <c r="F4" s="87"/>
      <c r="G4" s="87"/>
      <c r="H4" s="87"/>
      <c r="I4" s="87"/>
      <c r="J4" s="87"/>
      <c r="K4" s="87"/>
      <c r="L4" s="87"/>
    </row>
    <row r="5" spans="1:12" ht="15.75">
      <c r="A5" s="21"/>
      <c r="B5" s="76" t="s">
        <v>429</v>
      </c>
      <c r="C5" s="76" t="s">
        <v>429</v>
      </c>
      <c r="D5" s="76" t="s">
        <v>444</v>
      </c>
      <c r="E5" s="76"/>
      <c r="F5" s="76" t="s">
        <v>590</v>
      </c>
      <c r="G5" s="21"/>
      <c r="H5" s="21"/>
      <c r="I5" s="78" t="s">
        <v>430</v>
      </c>
      <c r="J5" s="77"/>
      <c r="K5" s="78" t="s">
        <v>430</v>
      </c>
      <c r="L5" s="77"/>
    </row>
    <row r="6" spans="1:12" ht="15.75">
      <c r="A6" s="21"/>
      <c r="B6" s="79" t="s">
        <v>431</v>
      </c>
      <c r="C6" s="79" t="s">
        <v>591</v>
      </c>
      <c r="D6" s="79" t="s">
        <v>432</v>
      </c>
      <c r="E6" s="79" t="s">
        <v>384</v>
      </c>
      <c r="F6" s="79" t="s">
        <v>592</v>
      </c>
      <c r="G6" s="458" t="s">
        <v>433</v>
      </c>
      <c r="H6" s="459"/>
      <c r="I6" s="460">
        <f>L1-1</f>
        <v>2011</v>
      </c>
      <c r="J6" s="461"/>
      <c r="K6" s="460">
        <f>L1</f>
        <v>2012</v>
      </c>
      <c r="L6" s="461"/>
    </row>
    <row r="7" spans="1:12" ht="15.75">
      <c r="A7" s="83" t="s">
        <v>434</v>
      </c>
      <c r="B7" s="80" t="s">
        <v>435</v>
      </c>
      <c r="C7" s="80" t="s">
        <v>593</v>
      </c>
      <c r="D7" s="80" t="s">
        <v>407</v>
      </c>
      <c r="E7" s="80" t="s">
        <v>436</v>
      </c>
      <c r="F7" s="199" t="str">
        <f>CONCATENATE("Jan 1,",L1-1,"")</f>
        <v>Jan 1,2011</v>
      </c>
      <c r="G7" s="82" t="s">
        <v>444</v>
      </c>
      <c r="H7" s="82" t="s">
        <v>446</v>
      </c>
      <c r="I7" s="82" t="s">
        <v>444</v>
      </c>
      <c r="J7" s="82" t="s">
        <v>446</v>
      </c>
      <c r="K7" s="82" t="s">
        <v>444</v>
      </c>
      <c r="L7" s="82" t="s">
        <v>446</v>
      </c>
    </row>
    <row r="8" spans="1:12" ht="15.75">
      <c r="A8" s="83" t="s">
        <v>437</v>
      </c>
      <c r="B8" s="42"/>
      <c r="C8" s="42"/>
      <c r="D8" s="84"/>
      <c r="E8" s="85"/>
      <c r="F8" s="85"/>
      <c r="G8" s="42"/>
      <c r="H8" s="42"/>
      <c r="I8" s="85"/>
      <c r="J8" s="85"/>
      <c r="K8" s="85"/>
      <c r="L8" s="85"/>
    </row>
    <row r="9" spans="1:12" ht="15.75">
      <c r="A9" s="122" t="s">
        <v>269</v>
      </c>
      <c r="B9" s="122"/>
      <c r="C9" s="370"/>
      <c r="D9" s="400"/>
      <c r="E9" s="17"/>
      <c r="F9" s="17"/>
      <c r="G9" s="122"/>
      <c r="H9" s="122"/>
      <c r="I9" s="17"/>
      <c r="J9" s="17"/>
      <c r="K9" s="17"/>
      <c r="L9" s="17"/>
    </row>
    <row r="10" spans="1:12" ht="15.75">
      <c r="A10" s="122" t="s">
        <v>270</v>
      </c>
      <c r="B10" s="370">
        <v>38183</v>
      </c>
      <c r="C10" s="370">
        <v>44348</v>
      </c>
      <c r="D10" s="402" t="s">
        <v>271</v>
      </c>
      <c r="E10" s="17">
        <v>10010000</v>
      </c>
      <c r="F10" s="414">
        <f>860000+780000+785000+785000+750000+720000+670000+640000+615000+590000+580000</f>
        <v>7775000</v>
      </c>
      <c r="G10" s="415" t="s">
        <v>268</v>
      </c>
      <c r="H10" s="416">
        <v>38139</v>
      </c>
      <c r="I10" s="414">
        <f>167575.63+157063.13</f>
        <v>324638.76</v>
      </c>
      <c r="J10" s="414">
        <v>580000</v>
      </c>
      <c r="K10" s="414">
        <f>157063.13+144525.63</f>
        <v>301588.76</v>
      </c>
      <c r="L10" s="414">
        <v>590000</v>
      </c>
    </row>
    <row r="11" spans="1:12" ht="15.75">
      <c r="A11" s="122" t="s">
        <v>211</v>
      </c>
      <c r="B11" s="370">
        <v>39743</v>
      </c>
      <c r="C11" s="370">
        <v>41944</v>
      </c>
      <c r="D11" s="402" t="s">
        <v>212</v>
      </c>
      <c r="E11" s="17">
        <v>2235000</v>
      </c>
      <c r="F11" s="414">
        <f>405000+390000+375000+365000</f>
        <v>1535000</v>
      </c>
      <c r="G11" s="415" t="s">
        <v>272</v>
      </c>
      <c r="H11" s="416">
        <v>40483</v>
      </c>
      <c r="I11" s="414">
        <f>26456.25+26456.25</f>
        <v>52912.5</v>
      </c>
      <c r="J11" s="414">
        <v>365000</v>
      </c>
      <c r="K11" s="414">
        <f>20981.25+20981.25</f>
        <v>41962.5</v>
      </c>
      <c r="L11" s="414">
        <v>375000</v>
      </c>
    </row>
    <row r="12" spans="1:12" ht="15.75">
      <c r="A12" s="422" t="s">
        <v>323</v>
      </c>
      <c r="B12" s="423" t="s">
        <v>324</v>
      </c>
      <c r="C12" s="424"/>
      <c r="D12" s="425"/>
      <c r="E12" s="426"/>
      <c r="F12" s="426"/>
      <c r="G12" s="427"/>
      <c r="H12" s="428"/>
      <c r="I12" s="426">
        <v>0</v>
      </c>
      <c r="J12" s="426">
        <v>0</v>
      </c>
      <c r="K12" s="426">
        <v>272687.61</v>
      </c>
      <c r="L12" s="426">
        <v>0</v>
      </c>
    </row>
    <row r="13" spans="1:12" ht="15.75">
      <c r="A13" s="8"/>
      <c r="B13" s="212"/>
      <c r="C13" s="212"/>
      <c r="D13" s="213"/>
      <c r="E13" s="214"/>
      <c r="F13" s="215"/>
      <c r="G13" s="216"/>
      <c r="H13" s="216"/>
      <c r="I13" s="215"/>
      <c r="J13" s="215"/>
      <c r="K13" s="215"/>
      <c r="L13" s="215"/>
    </row>
    <row r="14" spans="1:12" ht="15.75">
      <c r="A14" s="8"/>
      <c r="B14" s="212"/>
      <c r="C14" s="212"/>
      <c r="D14" s="213"/>
      <c r="E14" s="214"/>
      <c r="F14" s="215"/>
      <c r="G14" s="216"/>
      <c r="H14" s="216"/>
      <c r="I14" s="215"/>
      <c r="J14" s="215"/>
      <c r="K14" s="215"/>
      <c r="L14" s="215"/>
    </row>
    <row r="15" spans="1:12" ht="15.75">
      <c r="A15" s="8"/>
      <c r="B15" s="212"/>
      <c r="C15" s="212"/>
      <c r="D15" s="213"/>
      <c r="E15" s="214"/>
      <c r="F15" s="215"/>
      <c r="G15" s="216"/>
      <c r="H15" s="216"/>
      <c r="I15" s="215"/>
      <c r="J15" s="215"/>
      <c r="K15" s="215"/>
      <c r="L15" s="215"/>
    </row>
    <row r="16" spans="1:12" ht="15.75">
      <c r="A16" s="8"/>
      <c r="B16" s="212"/>
      <c r="C16" s="212"/>
      <c r="D16" s="213"/>
      <c r="E16" s="214"/>
      <c r="F16" s="215"/>
      <c r="G16" s="216"/>
      <c r="H16" s="216"/>
      <c r="I16" s="215"/>
      <c r="J16" s="215"/>
      <c r="K16" s="215"/>
      <c r="L16" s="215"/>
    </row>
    <row r="17" spans="1:12" ht="15.75">
      <c r="A17" s="8"/>
      <c r="B17" s="212"/>
      <c r="C17" s="212"/>
      <c r="D17" s="213"/>
      <c r="E17" s="214"/>
      <c r="F17" s="215"/>
      <c r="G17" s="216"/>
      <c r="H17" s="216"/>
      <c r="I17" s="215"/>
      <c r="J17" s="215"/>
      <c r="K17" s="215"/>
      <c r="L17" s="215"/>
    </row>
    <row r="18" spans="1:12" ht="15.75">
      <c r="A18" s="8"/>
      <c r="B18" s="212"/>
      <c r="C18" s="212"/>
      <c r="D18" s="213"/>
      <c r="E18" s="214"/>
      <c r="F18" s="215"/>
      <c r="G18" s="216"/>
      <c r="H18" s="216"/>
      <c r="I18" s="215"/>
      <c r="J18" s="215"/>
      <c r="K18" s="215"/>
      <c r="L18" s="215"/>
    </row>
    <row r="19" spans="1:12" ht="15.75">
      <c r="A19" s="86" t="s">
        <v>438</v>
      </c>
      <c r="B19" s="217"/>
      <c r="C19" s="217"/>
      <c r="D19" s="218"/>
      <c r="E19" s="219"/>
      <c r="F19" s="273">
        <f>SUM(F9:F18)</f>
        <v>9310000</v>
      </c>
      <c r="G19" s="220"/>
      <c r="H19" s="220"/>
      <c r="I19" s="273">
        <f>SUM(I9:I18)</f>
        <v>377551.26</v>
      </c>
      <c r="J19" s="273">
        <f>SUM(J9:J18)</f>
        <v>945000</v>
      </c>
      <c r="K19" s="273">
        <f>SUM(K9:K18)</f>
        <v>616238.87</v>
      </c>
      <c r="L19" s="273">
        <f>SUM(L9:L18)</f>
        <v>965000</v>
      </c>
    </row>
    <row r="20" spans="1:12" ht="15.75">
      <c r="A20" s="83" t="s">
        <v>439</v>
      </c>
      <c r="B20" s="221"/>
      <c r="C20" s="221"/>
      <c r="D20" s="222"/>
      <c r="E20" s="210"/>
      <c r="F20" s="210"/>
      <c r="G20" s="223"/>
      <c r="H20" s="223"/>
      <c r="I20" s="210"/>
      <c r="J20" s="210"/>
      <c r="K20" s="210"/>
      <c r="L20" s="210"/>
    </row>
    <row r="21" spans="1:12" ht="15.75">
      <c r="A21" s="122"/>
      <c r="B21" s="395"/>
      <c r="C21" s="395"/>
      <c r="D21" s="371"/>
      <c r="E21" s="17"/>
      <c r="F21" s="17"/>
      <c r="G21" s="209"/>
      <c r="H21" s="396"/>
      <c r="I21" s="17"/>
      <c r="J21" s="17"/>
      <c r="K21" s="17"/>
      <c r="L21" s="17"/>
    </row>
    <row r="22" spans="1:12" ht="15.75">
      <c r="A22" s="122"/>
      <c r="B22" s="395"/>
      <c r="C22" s="395"/>
      <c r="D22" s="371"/>
      <c r="E22" s="17"/>
      <c r="F22" s="17"/>
      <c r="G22" s="209"/>
      <c r="H22" s="396"/>
      <c r="I22" s="17"/>
      <c r="J22" s="17"/>
      <c r="K22" s="17"/>
      <c r="L22" s="17"/>
    </row>
    <row r="23" spans="1:12" ht="15.75">
      <c r="A23" s="8"/>
      <c r="B23" s="212"/>
      <c r="C23" s="212"/>
      <c r="D23" s="213"/>
      <c r="E23" s="214"/>
      <c r="F23" s="215"/>
      <c r="G23" s="216"/>
      <c r="H23" s="216"/>
      <c r="I23" s="390"/>
      <c r="J23" s="390"/>
      <c r="K23" s="390"/>
      <c r="L23" s="390"/>
    </row>
    <row r="24" spans="1:12" ht="15.75">
      <c r="A24" s="8"/>
      <c r="B24" s="212"/>
      <c r="C24" s="212"/>
      <c r="D24" s="213"/>
      <c r="E24" s="214"/>
      <c r="F24" s="215"/>
      <c r="G24" s="216"/>
      <c r="H24" s="216"/>
      <c r="I24" s="215"/>
      <c r="J24" s="215"/>
      <c r="K24" s="215"/>
      <c r="L24" s="215"/>
    </row>
    <row r="25" spans="1:12" ht="15.75">
      <c r="A25" s="8"/>
      <c r="B25" s="212"/>
      <c r="C25" s="212"/>
      <c r="D25" s="213"/>
      <c r="E25" s="214"/>
      <c r="F25" s="215"/>
      <c r="G25" s="216"/>
      <c r="H25" s="216"/>
      <c r="I25" s="215"/>
      <c r="J25" s="215"/>
      <c r="K25" s="215"/>
      <c r="L25" s="215"/>
    </row>
    <row r="26" spans="1:12" ht="15.75">
      <c r="A26" s="86" t="s">
        <v>440</v>
      </c>
      <c r="B26" s="217"/>
      <c r="C26" s="217"/>
      <c r="D26" s="224"/>
      <c r="E26" s="219"/>
      <c r="F26" s="274">
        <f>SUM(F21:F25)</f>
        <v>0</v>
      </c>
      <c r="G26" s="220"/>
      <c r="H26" s="220"/>
      <c r="I26" s="274">
        <f>SUM(I21:I25)</f>
        <v>0</v>
      </c>
      <c r="J26" s="274">
        <f>SUM(J21:J25)</f>
        <v>0</v>
      </c>
      <c r="K26" s="273">
        <f>SUM(K21:K25)</f>
        <v>0</v>
      </c>
      <c r="L26" s="274">
        <f>SUM(L21:L25)</f>
        <v>0</v>
      </c>
    </row>
    <row r="27" spans="1:12" ht="15.75">
      <c r="A27" s="83" t="s">
        <v>441</v>
      </c>
      <c r="B27" s="221"/>
      <c r="C27" s="221"/>
      <c r="D27" s="222"/>
      <c r="E27" s="210"/>
      <c r="F27" s="225"/>
      <c r="G27" s="223"/>
      <c r="H27" s="223"/>
      <c r="I27" s="210"/>
      <c r="J27" s="210"/>
      <c r="K27" s="210"/>
      <c r="L27" s="210"/>
    </row>
    <row r="28" spans="1:12" ht="15.75">
      <c r="A28" s="122" t="s">
        <v>280</v>
      </c>
      <c r="B28" s="370">
        <v>35937</v>
      </c>
      <c r="C28" s="370">
        <v>43709</v>
      </c>
      <c r="D28" s="371">
        <v>0.0311</v>
      </c>
      <c r="E28" s="17">
        <v>3028448.15</v>
      </c>
      <c r="F28" s="414">
        <v>1629521.48</v>
      </c>
      <c r="G28" s="415" t="s">
        <v>276</v>
      </c>
      <c r="H28" s="415" t="s">
        <v>276</v>
      </c>
      <c r="I28" s="414">
        <f>23302.16+22170.35+2036.9+1937.97</f>
        <v>49447.38</v>
      </c>
      <c r="J28" s="414">
        <f>79147.23+80377.97</f>
        <v>159525.2</v>
      </c>
      <c r="K28" s="414">
        <f>21020.95+19853.67+1837.5+1735.46</f>
        <v>44447.579999999994</v>
      </c>
      <c r="L28" s="414">
        <f>81627.84+82897.16</f>
        <v>164525</v>
      </c>
    </row>
    <row r="29" spans="1:12" ht="15.75">
      <c r="A29" s="122" t="s">
        <v>278</v>
      </c>
      <c r="B29" s="370">
        <v>35927</v>
      </c>
      <c r="C29" s="370">
        <v>43709</v>
      </c>
      <c r="D29" s="371">
        <v>0.0311</v>
      </c>
      <c r="E29" s="17">
        <v>1628702</v>
      </c>
      <c r="F29" s="414">
        <v>739954.19</v>
      </c>
      <c r="G29" s="415" t="s">
        <v>276</v>
      </c>
      <c r="H29" s="415" t="s">
        <v>276</v>
      </c>
      <c r="I29" s="414">
        <f>10581.34+10067.4+924.94+880.02</f>
        <v>22453.699999999997</v>
      </c>
      <c r="J29" s="414">
        <f>35940.2+36499.07</f>
        <v>72439.26999999999</v>
      </c>
      <c r="K29" s="414">
        <f>9545.46+9015.41+834.39+788.06</f>
        <v>20183.32</v>
      </c>
      <c r="L29" s="414">
        <f>37066.63+37643.01</f>
        <v>74709.64</v>
      </c>
    </row>
    <row r="30" spans="1:12" ht="15.75">
      <c r="A30" s="122" t="s">
        <v>279</v>
      </c>
      <c r="B30" s="370">
        <v>35937</v>
      </c>
      <c r="C30" s="370">
        <v>44075</v>
      </c>
      <c r="D30" s="371">
        <v>0.0311</v>
      </c>
      <c r="E30" s="17">
        <v>9188589.85</v>
      </c>
      <c r="F30" s="414">
        <v>5069517.2</v>
      </c>
      <c r="G30" s="209" t="s">
        <v>276</v>
      </c>
      <c r="H30" s="209" t="s">
        <v>276</v>
      </c>
      <c r="I30" s="414">
        <f>72494.1+69375.98+6336.9+6064.34</f>
        <v>154271.32</v>
      </c>
      <c r="J30" s="414">
        <f>218050.17+221440.85</f>
        <v>439491.02</v>
      </c>
      <c r="K30" s="414">
        <f>66209.37+62993.53+5787.54+5506.43</f>
        <v>140496.87</v>
      </c>
      <c r="L30" s="414">
        <f>224884.26+228381.21</f>
        <v>453265.47</v>
      </c>
    </row>
    <row r="31" spans="1:12" ht="15.75">
      <c r="A31" s="122" t="s">
        <v>273</v>
      </c>
      <c r="B31" s="370">
        <v>36948</v>
      </c>
      <c r="C31" s="370">
        <v>44958</v>
      </c>
      <c r="D31" s="371">
        <v>0.0425</v>
      </c>
      <c r="E31" s="17">
        <v>418390.61</v>
      </c>
      <c r="F31" s="414">
        <v>296149.04</v>
      </c>
      <c r="G31" s="209" t="s">
        <v>277</v>
      </c>
      <c r="H31" s="209" t="s">
        <v>277</v>
      </c>
      <c r="I31" s="414">
        <f>5774.91+5597.47+518.26+502.34</f>
        <v>12392.980000000001</v>
      </c>
      <c r="J31" s="414">
        <f>9099.22+9292.58</f>
        <v>18391.8</v>
      </c>
      <c r="K31" s="414">
        <f>5416.27+5231.21+486.07+469.47</f>
        <v>11603.019999999999</v>
      </c>
      <c r="L31" s="414">
        <f>9490.05+9691.71</f>
        <v>19181.76</v>
      </c>
    </row>
    <row r="32" spans="1:12" ht="15.75">
      <c r="A32" s="122" t="s">
        <v>274</v>
      </c>
      <c r="B32" s="370">
        <v>36779</v>
      </c>
      <c r="C32" s="370">
        <v>44958</v>
      </c>
      <c r="D32" s="371">
        <v>0.0452</v>
      </c>
      <c r="E32" s="17">
        <v>2443456.33</v>
      </c>
      <c r="F32" s="414">
        <v>1720246.37</v>
      </c>
      <c r="G32" s="209" t="s">
        <v>277</v>
      </c>
      <c r="H32" s="209" t="s">
        <v>277</v>
      </c>
      <c r="I32" s="414">
        <f>35867.14+34784.05+3010.42+2919.52</f>
        <v>76581.13</v>
      </c>
      <c r="J32" s="414">
        <f>51946.49+53120.48</f>
        <v>105066.97</v>
      </c>
      <c r="K32" s="414">
        <f>33676.49+32543.9+2826.56+2731.5</f>
        <v>71778.45</v>
      </c>
      <c r="L32" s="414">
        <f>54321+55548.65</f>
        <v>109869.65</v>
      </c>
    </row>
    <row r="33" spans="1:12" ht="15.75">
      <c r="A33" s="122" t="s">
        <v>275</v>
      </c>
      <c r="B33" s="370">
        <v>37848</v>
      </c>
      <c r="C33" s="370">
        <v>45870</v>
      </c>
      <c r="D33" s="371">
        <v>0.036</v>
      </c>
      <c r="E33" s="17">
        <v>467435.78</v>
      </c>
      <c r="F33" s="414">
        <v>372760.33</v>
      </c>
      <c r="G33" s="209" t="s">
        <v>277</v>
      </c>
      <c r="H33" s="209" t="s">
        <v>277</v>
      </c>
      <c r="I33" s="414">
        <f>6057.36+5903.31+652.32+635.73</f>
        <v>13248.72</v>
      </c>
      <c r="J33" s="414">
        <f>9479.83+9650.47</f>
        <v>19130.3</v>
      </c>
      <c r="K33" s="414">
        <f>5746.49+5586.85+618.85+601.65</f>
        <v>12553.84</v>
      </c>
      <c r="L33" s="414">
        <f>9824.17+10001.01</f>
        <v>19825.18</v>
      </c>
    </row>
    <row r="34" spans="1:12" ht="15.75">
      <c r="A34" s="122" t="s">
        <v>316</v>
      </c>
      <c r="B34" s="370">
        <v>40092</v>
      </c>
      <c r="C34" s="370">
        <v>47696</v>
      </c>
      <c r="D34" s="371">
        <v>0.0363</v>
      </c>
      <c r="E34" s="17">
        <v>494015.07</v>
      </c>
      <c r="F34" s="414">
        <v>494015.07</v>
      </c>
      <c r="G34" s="209" t="s">
        <v>277</v>
      </c>
      <c r="H34" s="209" t="s">
        <v>277</v>
      </c>
      <c r="I34" s="414">
        <f>4334.11+8422.51+463.48+898.75</f>
        <v>14118.849999999999</v>
      </c>
      <c r="J34" s="414">
        <f>15582.38+7925.08</f>
        <v>23507.46</v>
      </c>
      <c r="K34" s="414">
        <f>7716.32+7573.54+823.39+808.15</f>
        <v>16921.4</v>
      </c>
      <c r="L34" s="414">
        <f>8706.63+8864.65</f>
        <v>17571.28</v>
      </c>
    </row>
    <row r="35" spans="1:12" ht="15.75">
      <c r="A35" s="122" t="s">
        <v>6</v>
      </c>
      <c r="B35" s="370">
        <v>39770</v>
      </c>
      <c r="C35" s="370">
        <v>40848</v>
      </c>
      <c r="D35" s="371">
        <v>0.0325</v>
      </c>
      <c r="E35" s="414">
        <v>2930000</v>
      </c>
      <c r="F35" s="414">
        <v>2930000</v>
      </c>
      <c r="G35" s="209" t="s">
        <v>272</v>
      </c>
      <c r="H35" s="370">
        <v>40848</v>
      </c>
      <c r="I35" s="414">
        <f>47612.5+47612.5</f>
        <v>95225</v>
      </c>
      <c r="J35" s="414">
        <v>2930000</v>
      </c>
      <c r="K35" s="414">
        <v>0</v>
      </c>
      <c r="L35" s="414">
        <v>0</v>
      </c>
    </row>
    <row r="36" spans="1:28" ht="15.75">
      <c r="A36" s="122" t="s">
        <v>213</v>
      </c>
      <c r="B36" s="370">
        <v>40008</v>
      </c>
      <c r="C36" s="370">
        <v>47331</v>
      </c>
      <c r="D36" s="371">
        <v>0.0379</v>
      </c>
      <c r="E36" s="17">
        <v>1011974.69</v>
      </c>
      <c r="F36" s="414">
        <v>1011974.69</v>
      </c>
      <c r="G36" s="209" t="s">
        <v>277</v>
      </c>
      <c r="H36" s="395" t="s">
        <v>214</v>
      </c>
      <c r="I36" s="414">
        <f>+(19176.92+1264.97)*2</f>
        <v>40883.78</v>
      </c>
      <c r="J36" s="414">
        <v>36428.61</v>
      </c>
      <c r="K36" s="414">
        <f>(18486.6+1219.43)*2</f>
        <v>39412.06</v>
      </c>
      <c r="L36" s="414">
        <v>37900.33</v>
      </c>
      <c r="M36" s="2"/>
      <c r="N36" s="2"/>
      <c r="O36" s="2"/>
      <c r="P36" s="2"/>
      <c r="Q36" s="2"/>
      <c r="R36" s="2"/>
      <c r="S36" s="2"/>
      <c r="T36" s="2"/>
      <c r="U36" s="2"/>
      <c r="V36" s="2"/>
      <c r="W36" s="2"/>
      <c r="X36" s="2"/>
      <c r="Y36" s="2"/>
      <c r="Z36" s="2"/>
      <c r="AA36" s="2"/>
      <c r="AB36" s="2"/>
    </row>
    <row r="37" spans="1:12" ht="15.75">
      <c r="A37" s="86" t="s">
        <v>594</v>
      </c>
      <c r="B37" s="203"/>
      <c r="C37" s="203"/>
      <c r="D37" s="224"/>
      <c r="E37" s="219"/>
      <c r="F37" s="274">
        <f>SUM(F28:F36)</f>
        <v>14264138.370000001</v>
      </c>
      <c r="G37" s="219"/>
      <c r="H37" s="219"/>
      <c r="I37" s="274">
        <f>SUM(I28:I36)</f>
        <v>478622.86</v>
      </c>
      <c r="J37" s="274">
        <f>SUM(J28:J36)</f>
        <v>3803980.63</v>
      </c>
      <c r="K37" s="274">
        <f>SUM(K28:K36)</f>
        <v>357396.54000000004</v>
      </c>
      <c r="L37" s="274">
        <f>SUM(L28:L36)</f>
        <v>896848.31</v>
      </c>
    </row>
    <row r="38" spans="1:12" ht="15.75">
      <c r="A38" s="86" t="s">
        <v>442</v>
      </c>
      <c r="B38" s="203"/>
      <c r="C38" s="203"/>
      <c r="D38" s="203"/>
      <c r="E38" s="219"/>
      <c r="F38" s="274">
        <f>SUM(F19+F26+F37)</f>
        <v>23574138.37</v>
      </c>
      <c r="G38" s="219"/>
      <c r="H38" s="219"/>
      <c r="I38" s="274">
        <f>SUM(I19+I26+I37)</f>
        <v>856174.12</v>
      </c>
      <c r="J38" s="274">
        <f>SUM(J19+J26+J37)</f>
        <v>4748980.63</v>
      </c>
      <c r="K38" s="274">
        <f>SUM(K19+K26+K37)</f>
        <v>973635.41</v>
      </c>
      <c r="L38" s="274">
        <f>SUM(L19+L26+L37)</f>
        <v>1861848.31</v>
      </c>
    </row>
    <row r="39" spans="1:12" ht="15.75">
      <c r="A39" s="2"/>
      <c r="B39" s="2"/>
      <c r="C39" s="2"/>
      <c r="D39" s="2"/>
      <c r="E39" s="2"/>
      <c r="F39" s="2"/>
      <c r="G39" s="2"/>
      <c r="H39" s="2"/>
      <c r="I39" s="2"/>
      <c r="J39" s="2"/>
      <c r="K39" s="2"/>
      <c r="L39" s="2"/>
    </row>
    <row r="40" spans="5:12" ht="15.75">
      <c r="E40" s="11"/>
      <c r="F40" s="11"/>
      <c r="I40" s="11"/>
      <c r="J40" s="11"/>
      <c r="K40" s="11"/>
      <c r="L40" s="11"/>
    </row>
    <row r="41" spans="5:13" ht="15.75">
      <c r="E41" s="2"/>
      <c r="G41" s="200"/>
      <c r="M41" s="2"/>
    </row>
    <row r="42" spans="1:12" ht="15.75">
      <c r="A42" s="2"/>
      <c r="B42" s="2"/>
      <c r="C42" s="2"/>
      <c r="D42" s="2"/>
      <c r="E42" s="2"/>
      <c r="F42" s="2"/>
      <c r="G42" s="2"/>
      <c r="H42" s="2"/>
      <c r="I42" s="2"/>
      <c r="J42" s="2"/>
      <c r="K42" s="2"/>
      <c r="L42" s="2"/>
    </row>
    <row r="43" spans="1:12" ht="15.75">
      <c r="A43" s="2"/>
      <c r="B43" s="2"/>
      <c r="C43" s="2"/>
      <c r="D43" s="2"/>
      <c r="E43" s="2"/>
      <c r="F43" s="2"/>
      <c r="G43" s="2"/>
      <c r="H43" s="2"/>
      <c r="I43" s="2"/>
      <c r="J43" s="2"/>
      <c r="K43" s="2"/>
      <c r="L43" s="2"/>
    </row>
  </sheetData>
  <sheetProtection/>
  <mergeCells count="3">
    <mergeCell ref="G6:H6"/>
    <mergeCell ref="I6:J6"/>
    <mergeCell ref="K6:L6"/>
  </mergeCells>
  <printOptions/>
  <pageMargins left="0.25" right="0.25" top="1" bottom="0.5" header="0.5" footer="0.5"/>
  <pageSetup blackAndWhite="1" fitToHeight="1" fitToWidth="1" horizontalDpi="120" verticalDpi="120" orientation="landscape" scale="81" r:id="rId1"/>
  <headerFooter alignWithMargins="0">
    <oddHeader>&amp;RState of Kansas
Coffeyville</oddHeader>
    <oddFooter>&amp;Lrevised 8/06/07&amp;CPage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view="pageBreakPreview" zoomScaleNormal="75" zoomScaleSheetLayoutView="100" zoomScalePageLayoutView="0" workbookViewId="0" topLeftCell="A1">
      <selection activeCell="F15" sqref="F15"/>
    </sheetView>
  </sheetViews>
  <sheetFormatPr defaultColWidth="8.796875" defaultRowHeight="15"/>
  <cols>
    <col min="1" max="1" width="23.59765625" style="7" customWidth="1"/>
    <col min="2" max="4" width="9.796875" style="7" customWidth="1"/>
    <col min="5" max="5" width="18.296875" style="7" customWidth="1"/>
    <col min="6" max="8" width="15.796875" style="7" customWidth="1"/>
    <col min="9" max="16384" width="8.8984375" style="7" customWidth="1"/>
  </cols>
  <sheetData>
    <row r="1" spans="1:8" ht="15.75">
      <c r="A1" s="72" t="str">
        <f>inputPrYr!$D$2</f>
        <v>City of Coffeyville</v>
      </c>
      <c r="B1" s="21"/>
      <c r="C1" s="21"/>
      <c r="D1" s="21"/>
      <c r="E1" s="21"/>
      <c r="F1" s="21"/>
      <c r="G1" s="21"/>
      <c r="H1" s="138">
        <f>inputPrYr!C5</f>
        <v>2012</v>
      </c>
    </row>
    <row r="2" spans="1:8" ht="15.75">
      <c r="A2" s="72"/>
      <c r="B2" s="21"/>
      <c r="C2" s="21"/>
      <c r="D2" s="21"/>
      <c r="E2" s="21"/>
      <c r="F2" s="21"/>
      <c r="G2" s="21"/>
      <c r="H2" s="24"/>
    </row>
    <row r="3" spans="1:8" ht="15.75">
      <c r="A3" s="21"/>
      <c r="B3" s="21"/>
      <c r="C3" s="21"/>
      <c r="D3" s="21"/>
      <c r="E3" s="21"/>
      <c r="F3" s="21"/>
      <c r="G3" s="21"/>
      <c r="H3" s="23"/>
    </row>
    <row r="4" spans="1:8" ht="15.75">
      <c r="A4" s="75" t="s">
        <v>461</v>
      </c>
      <c r="B4" s="27"/>
      <c r="C4" s="27"/>
      <c r="D4" s="27"/>
      <c r="E4" s="27"/>
      <c r="F4" s="27"/>
      <c r="G4" s="27"/>
      <c r="H4" s="27"/>
    </row>
    <row r="5" spans="1:8" ht="15.75">
      <c r="A5" s="20"/>
      <c r="B5" s="87"/>
      <c r="C5" s="87"/>
      <c r="D5" s="87"/>
      <c r="E5" s="87"/>
      <c r="F5" s="87"/>
      <c r="G5" s="87"/>
      <c r="H5" s="87"/>
    </row>
    <row r="6" spans="1:8" ht="15.75">
      <c r="A6" s="21"/>
      <c r="B6" s="39"/>
      <c r="C6" s="39"/>
      <c r="D6" s="39"/>
      <c r="E6" s="76" t="s">
        <v>363</v>
      </c>
      <c r="F6" s="39"/>
      <c r="G6" s="39"/>
      <c r="H6" s="39"/>
    </row>
    <row r="7" spans="1:8" ht="15.75">
      <c r="A7" s="21"/>
      <c r="B7" s="79"/>
      <c r="C7" s="79" t="s">
        <v>443</v>
      </c>
      <c r="D7" s="79" t="s">
        <v>444</v>
      </c>
      <c r="E7" s="79" t="s">
        <v>384</v>
      </c>
      <c r="F7" s="79" t="s">
        <v>446</v>
      </c>
      <c r="G7" s="79" t="s">
        <v>447</v>
      </c>
      <c r="H7" s="79" t="s">
        <v>447</v>
      </c>
    </row>
    <row r="8" spans="1:8" ht="15.75">
      <c r="A8" s="21"/>
      <c r="B8" s="79" t="s">
        <v>448</v>
      </c>
      <c r="C8" s="79" t="s">
        <v>449</v>
      </c>
      <c r="D8" s="79" t="s">
        <v>432</v>
      </c>
      <c r="E8" s="79" t="s">
        <v>450</v>
      </c>
      <c r="F8" s="79" t="s">
        <v>508</v>
      </c>
      <c r="G8" s="79" t="s">
        <v>451</v>
      </c>
      <c r="H8" s="79" t="s">
        <v>451</v>
      </c>
    </row>
    <row r="9" spans="1:8" ht="15.75">
      <c r="A9" s="88" t="s">
        <v>452</v>
      </c>
      <c r="B9" s="80" t="s">
        <v>429</v>
      </c>
      <c r="C9" s="128" t="s">
        <v>453</v>
      </c>
      <c r="D9" s="80" t="s">
        <v>407</v>
      </c>
      <c r="E9" s="128" t="s">
        <v>533</v>
      </c>
      <c r="F9" s="81" t="str">
        <f>CONCATENATE("Jan 1,",H1-1,"")</f>
        <v>Jan 1,2011</v>
      </c>
      <c r="G9" s="80">
        <f>H1-1</f>
        <v>2011</v>
      </c>
      <c r="H9" s="80">
        <f>H1</f>
        <v>2012</v>
      </c>
    </row>
    <row r="10" spans="1:8" s="397" customFormat="1" ht="15.75">
      <c r="A10" s="122" t="s">
        <v>281</v>
      </c>
      <c r="B10" s="122"/>
      <c r="C10" s="401"/>
      <c r="D10" s="400"/>
      <c r="E10" s="17"/>
      <c r="F10" s="17"/>
      <c r="G10" s="17"/>
      <c r="H10" s="17"/>
    </row>
    <row r="11" spans="1:8" s="397" customFormat="1" ht="15.75">
      <c r="A11" s="122" t="s">
        <v>282</v>
      </c>
      <c r="B11" s="398">
        <v>38923</v>
      </c>
      <c r="C11" s="399" t="s">
        <v>283</v>
      </c>
      <c r="D11" s="400">
        <v>5</v>
      </c>
      <c r="E11" s="17">
        <v>2000000</v>
      </c>
      <c r="F11" s="17">
        <v>1698319.95</v>
      </c>
      <c r="G11" s="17">
        <f>77729.23*2</f>
        <v>155458.46</v>
      </c>
      <c r="H11" s="17">
        <f>77729.23*2</f>
        <v>155458.46</v>
      </c>
    </row>
    <row r="12" spans="1:8" s="397" customFormat="1" ht="15.75">
      <c r="A12" s="122"/>
      <c r="B12" s="370"/>
      <c r="C12" s="399"/>
      <c r="D12" s="402"/>
      <c r="E12" s="358"/>
      <c r="F12" s="358"/>
      <c r="G12" s="358"/>
      <c r="H12" s="358"/>
    </row>
    <row r="13" spans="1:8" s="397" customFormat="1" ht="15.75">
      <c r="A13" s="122" t="s">
        <v>7</v>
      </c>
      <c r="B13" s="370">
        <v>39614</v>
      </c>
      <c r="C13" s="399" t="s">
        <v>8</v>
      </c>
      <c r="D13" s="403">
        <v>5.25</v>
      </c>
      <c r="E13" s="150">
        <v>50740</v>
      </c>
      <c r="F13" s="150">
        <v>17536.68</v>
      </c>
      <c r="G13" s="417">
        <f>17536.68+920.68</f>
        <v>18457.36</v>
      </c>
      <c r="H13" s="150">
        <v>0</v>
      </c>
    </row>
    <row r="14" spans="1:8" s="397" customFormat="1" ht="15.75">
      <c r="A14" s="122"/>
      <c r="B14" s="370"/>
      <c r="C14" s="399"/>
      <c r="D14" s="402"/>
      <c r="E14" s="358"/>
      <c r="F14" s="358"/>
      <c r="G14" s="358"/>
      <c r="H14" s="358"/>
    </row>
    <row r="15" spans="1:8" s="397" customFormat="1" ht="15.75">
      <c r="A15" s="122" t="s">
        <v>9</v>
      </c>
      <c r="B15" s="370">
        <v>40056</v>
      </c>
      <c r="C15" s="399" t="s">
        <v>8</v>
      </c>
      <c r="D15" s="403">
        <v>3.26</v>
      </c>
      <c r="E15" s="150">
        <v>130000</v>
      </c>
      <c r="F15" s="150">
        <v>87385.36</v>
      </c>
      <c r="G15" s="150">
        <v>45487.54</v>
      </c>
      <c r="H15" s="150">
        <v>45487.54</v>
      </c>
    </row>
    <row r="16" spans="1:8" s="397" customFormat="1" ht="15.75">
      <c r="A16" s="8"/>
      <c r="B16" s="300"/>
      <c r="C16" s="226"/>
      <c r="D16" s="213"/>
      <c r="E16" s="214"/>
      <c r="F16" s="214"/>
      <c r="G16" s="214"/>
      <c r="H16" s="214"/>
    </row>
    <row r="17" spans="1:8" s="397" customFormat="1" ht="15.75">
      <c r="A17" s="122"/>
      <c r="B17" s="370"/>
      <c r="C17" s="399"/>
      <c r="D17" s="403"/>
      <c r="E17" s="150"/>
      <c r="F17" s="150"/>
      <c r="G17" s="150"/>
      <c r="H17" s="150"/>
    </row>
    <row r="18" spans="1:8" ht="15.75">
      <c r="A18" s="8"/>
      <c r="B18" s="300"/>
      <c r="C18" s="226"/>
      <c r="D18" s="213"/>
      <c r="E18" s="214"/>
      <c r="F18" s="214"/>
      <c r="G18" s="214"/>
      <c r="H18" s="214"/>
    </row>
    <row r="19" spans="1:8" ht="15.75">
      <c r="A19" s="8"/>
      <c r="B19" s="300"/>
      <c r="C19" s="226"/>
      <c r="D19" s="213"/>
      <c r="E19" s="214"/>
      <c r="F19" s="214"/>
      <c r="G19" s="214"/>
      <c r="H19" s="214"/>
    </row>
    <row r="20" spans="1:8" ht="15.75">
      <c r="A20" s="8"/>
      <c r="B20" s="300"/>
      <c r="C20" s="226"/>
      <c r="D20" s="213"/>
      <c r="E20" s="214"/>
      <c r="F20" s="214"/>
      <c r="G20" s="214"/>
      <c r="H20" s="214"/>
    </row>
    <row r="21" spans="1:8" ht="15.75">
      <c r="A21" s="8"/>
      <c r="B21" s="300"/>
      <c r="C21" s="226"/>
      <c r="D21" s="213"/>
      <c r="E21" s="214"/>
      <c r="F21" s="214"/>
      <c r="G21" s="214"/>
      <c r="H21" s="214"/>
    </row>
    <row r="22" spans="1:8" ht="15.75">
      <c r="A22" s="8"/>
      <c r="B22" s="300"/>
      <c r="C22" s="226"/>
      <c r="D22" s="213"/>
      <c r="E22" s="214"/>
      <c r="F22" s="214"/>
      <c r="G22" s="214"/>
      <c r="H22" s="214"/>
    </row>
    <row r="23" spans="1:8" ht="15.75">
      <c r="A23" s="8"/>
      <c r="B23" s="300"/>
      <c r="C23" s="226"/>
      <c r="D23" s="213"/>
      <c r="E23" s="214"/>
      <c r="F23" s="214"/>
      <c r="G23" s="214"/>
      <c r="H23" s="214"/>
    </row>
    <row r="24" spans="1:8" ht="15.75">
      <c r="A24" s="8"/>
      <c r="B24" s="300"/>
      <c r="C24" s="226"/>
      <c r="D24" s="213"/>
      <c r="E24" s="214"/>
      <c r="F24" s="214"/>
      <c r="G24" s="214"/>
      <c r="H24" s="214"/>
    </row>
    <row r="25" spans="1:8" ht="15.75">
      <c r="A25" s="8"/>
      <c r="B25" s="300"/>
      <c r="C25" s="226"/>
      <c r="D25" s="213"/>
      <c r="E25" s="214"/>
      <c r="F25" s="214"/>
      <c r="G25" s="214"/>
      <c r="H25" s="214"/>
    </row>
    <row r="26" spans="1:8" ht="15.75">
      <c r="A26" s="8"/>
      <c r="B26" s="300"/>
      <c r="C26" s="226"/>
      <c r="D26" s="213"/>
      <c r="E26" s="214"/>
      <c r="F26" s="214"/>
      <c r="G26" s="214"/>
      <c r="H26" s="214"/>
    </row>
    <row r="27" spans="1:8" ht="15.75">
      <c r="A27" s="8"/>
      <c r="B27" s="300"/>
      <c r="C27" s="226"/>
      <c r="D27" s="213"/>
      <c r="E27" s="214"/>
      <c r="F27" s="214"/>
      <c r="G27" s="214"/>
      <c r="H27" s="214"/>
    </row>
    <row r="28" spans="1:8" ht="16.5" thickBot="1">
      <c r="A28" s="89" t="s">
        <v>379</v>
      </c>
      <c r="B28" s="133"/>
      <c r="C28" s="133"/>
      <c r="D28" s="133"/>
      <c r="E28" s="133"/>
      <c r="F28" s="275">
        <f>SUM(F10:F27)</f>
        <v>1803241.99</v>
      </c>
      <c r="G28" s="275">
        <f>SUM(G10:G27)</f>
        <v>219403.36000000002</v>
      </c>
      <c r="H28" s="275">
        <f>SUM(H10:H27)</f>
        <v>200946</v>
      </c>
    </row>
    <row r="29" spans="1:8" ht="16.5" thickTop="1">
      <c r="A29" s="21"/>
      <c r="B29" s="21"/>
      <c r="C29" s="21"/>
      <c r="D29" s="21"/>
      <c r="E29" s="21"/>
      <c r="F29" s="21"/>
      <c r="G29" s="72"/>
      <c r="H29" s="72"/>
    </row>
    <row r="30" spans="1:8" ht="15.75">
      <c r="A30" s="364" t="s">
        <v>66</v>
      </c>
      <c r="B30" s="365"/>
      <c r="C30" s="365"/>
      <c r="D30" s="365"/>
      <c r="E30" s="365"/>
      <c r="F30" s="365"/>
      <c r="G30" s="72"/>
      <c r="H30" s="72"/>
    </row>
  </sheetData>
  <sheetProtection/>
  <printOptions/>
  <pageMargins left="0.25" right="0.25" top="1" bottom="0.5" header="0.5" footer="0.5"/>
  <pageSetup blackAndWhite="1" fitToHeight="1" fitToWidth="1" horizontalDpi="120" verticalDpi="120" orientation="landscape" scale="85" r:id="rId1"/>
  <headerFooter alignWithMargins="0">
    <oddHeader>&amp;RState of Kansas
Coffeyville</oddHeader>
    <oddFooter>&amp;Lrevised 8/06/07&amp;CPage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123"/>
  <sheetViews>
    <sheetView view="pageBreakPreview" zoomScaleSheetLayoutView="100" zoomScalePageLayoutView="0" workbookViewId="0" topLeftCell="A91">
      <selection activeCell="E112" sqref="E112"/>
    </sheetView>
  </sheetViews>
  <sheetFormatPr defaultColWidth="8.796875" defaultRowHeight="15"/>
  <cols>
    <col min="1" max="1" width="28.796875" style="7" customWidth="1"/>
    <col min="2" max="2" width="9.59765625" style="7" customWidth="1"/>
    <col min="3" max="4" width="16.3984375" style="7" customWidth="1"/>
    <col min="5" max="5" width="16.3984375" style="7" bestFit="1" customWidth="1"/>
    <col min="6" max="6" width="11.19921875" style="7" bestFit="1" customWidth="1"/>
    <col min="7" max="7" width="9.296875" style="7" bestFit="1" customWidth="1"/>
    <col min="8" max="8" width="9" style="7" bestFit="1" customWidth="1"/>
    <col min="9" max="9" width="9.19921875" style="7" bestFit="1" customWidth="1"/>
    <col min="10" max="16384" width="8.8984375" style="7"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464</v>
      </c>
      <c r="B3" s="90"/>
      <c r="C3" s="21"/>
      <c r="D3" s="21"/>
      <c r="E3" s="23"/>
    </row>
    <row r="4" spans="1:5" ht="15.75">
      <c r="A4" s="21"/>
      <c r="B4" s="21"/>
      <c r="C4" s="91"/>
      <c r="D4" s="91"/>
      <c r="E4" s="91"/>
    </row>
    <row r="5" spans="1:5" ht="15.75">
      <c r="A5" s="92" t="s">
        <v>391</v>
      </c>
      <c r="B5" s="92"/>
      <c r="C5" s="93" t="s">
        <v>412</v>
      </c>
      <c r="D5" s="33" t="s">
        <v>556</v>
      </c>
      <c r="E5" s="33" t="s">
        <v>557</v>
      </c>
    </row>
    <row r="6" spans="1:5" ht="15.75">
      <c r="A6" s="137" t="str">
        <f>inputPrYr!B16</f>
        <v>General</v>
      </c>
      <c r="B6" s="137"/>
      <c r="C6" s="145">
        <f>E1-2</f>
        <v>2010</v>
      </c>
      <c r="D6" s="145">
        <f>E1-1</f>
        <v>2011</v>
      </c>
      <c r="E6" s="145">
        <f>E1</f>
        <v>2012</v>
      </c>
    </row>
    <row r="7" spans="1:5" ht="15.75">
      <c r="A7" s="311" t="s">
        <v>527</v>
      </c>
      <c r="B7" s="317"/>
      <c r="C7" s="304">
        <f>603943.62+10880.56</f>
        <v>614824.18</v>
      </c>
      <c r="D7" s="40">
        <f>C111</f>
        <v>279953.46000000276</v>
      </c>
      <c r="E7" s="40">
        <f>D111</f>
        <v>302620.1699999999</v>
      </c>
    </row>
    <row r="8" spans="1:5" ht="15.75">
      <c r="A8" s="316" t="s">
        <v>529</v>
      </c>
      <c r="B8" s="317"/>
      <c r="C8" s="305"/>
      <c r="D8" s="40"/>
      <c r="E8" s="40"/>
    </row>
    <row r="9" spans="1:6" ht="15.75">
      <c r="A9" s="311" t="s">
        <v>392</v>
      </c>
      <c r="B9" s="317"/>
      <c r="C9" s="421">
        <f>3509062.01+66540.54</f>
        <v>3575602.55</v>
      </c>
      <c r="D9" s="40">
        <f>+inputPrYr!D16</f>
        <v>3905882</v>
      </c>
      <c r="E9" s="45" t="s">
        <v>380</v>
      </c>
      <c r="F9" s="11"/>
    </row>
    <row r="10" spans="1:5" ht="15.75">
      <c r="A10" s="311" t="s">
        <v>393</v>
      </c>
      <c r="B10" s="317"/>
      <c r="C10" s="421">
        <v>89825.2</v>
      </c>
      <c r="D10" s="14">
        <v>62000</v>
      </c>
      <c r="E10" s="14">
        <v>50000</v>
      </c>
    </row>
    <row r="11" spans="1:5" ht="15.75">
      <c r="A11" s="311" t="s">
        <v>394</v>
      </c>
      <c r="B11" s="317"/>
      <c r="C11" s="421">
        <v>272651.97</v>
      </c>
      <c r="D11" s="14">
        <v>236312</v>
      </c>
      <c r="E11" s="40">
        <f>mvalloc!C7</f>
        <v>196598.93</v>
      </c>
    </row>
    <row r="12" spans="1:5" ht="15.75">
      <c r="A12" s="311" t="s">
        <v>395</v>
      </c>
      <c r="B12" s="317"/>
      <c r="C12" s="421">
        <v>2389.89</v>
      </c>
      <c r="D12" s="14">
        <v>1894</v>
      </c>
      <c r="E12" s="40">
        <f>mvalloc!D7</f>
        <v>1843.89</v>
      </c>
    </row>
    <row r="13" spans="1:5" ht="15.75">
      <c r="A13" s="311" t="s">
        <v>504</v>
      </c>
      <c r="B13" s="317"/>
      <c r="C13" s="421">
        <v>1499.5</v>
      </c>
      <c r="D13" s="14">
        <v>1634</v>
      </c>
      <c r="E13" s="40">
        <f>mvalloc!E7</f>
        <v>2133.86</v>
      </c>
    </row>
    <row r="14" spans="1:5" ht="15.75">
      <c r="A14" s="311" t="s">
        <v>505</v>
      </c>
      <c r="B14" s="317"/>
      <c r="C14" s="421"/>
      <c r="D14" s="14"/>
      <c r="E14" s="40">
        <f>inputOth!E15</f>
        <v>0</v>
      </c>
    </row>
    <row r="15" spans="1:5" ht="15.75">
      <c r="A15" s="311" t="s">
        <v>573</v>
      </c>
      <c r="B15" s="317"/>
      <c r="C15" s="421"/>
      <c r="D15" s="14"/>
      <c r="E15" s="40">
        <f>inputOth!E40</f>
        <v>0</v>
      </c>
    </row>
    <row r="16" spans="1:5" ht="15.75">
      <c r="A16" s="311" t="s">
        <v>574</v>
      </c>
      <c r="B16" s="317"/>
      <c r="C16" s="421"/>
      <c r="D16" s="14"/>
      <c r="E16" s="40">
        <f>inputOth!E41</f>
        <v>0</v>
      </c>
    </row>
    <row r="17" spans="1:5" ht="15.75">
      <c r="A17" s="321" t="s">
        <v>575</v>
      </c>
      <c r="B17" s="352"/>
      <c r="C17" s="421"/>
      <c r="D17" s="14"/>
      <c r="E17" s="40">
        <f>mvalloc!F7</f>
        <v>0</v>
      </c>
    </row>
    <row r="18" spans="1:5" ht="15.75">
      <c r="A18" s="328" t="s">
        <v>284</v>
      </c>
      <c r="B18" s="318"/>
      <c r="C18" s="421">
        <f>579.17+10.98</f>
        <v>590.15</v>
      </c>
      <c r="D18" s="14">
        <v>23</v>
      </c>
      <c r="E18" s="14">
        <v>20</v>
      </c>
    </row>
    <row r="19" spans="1:5" ht="15.75">
      <c r="A19" s="328" t="s">
        <v>285</v>
      </c>
      <c r="B19" s="372"/>
      <c r="C19" s="421">
        <v>26366.08</v>
      </c>
      <c r="D19" s="14">
        <v>25000</v>
      </c>
      <c r="E19" s="14">
        <v>20000</v>
      </c>
    </row>
    <row r="20" spans="1:6" ht="15.75">
      <c r="A20" s="328" t="s">
        <v>148</v>
      </c>
      <c r="B20" s="372"/>
      <c r="C20" s="421">
        <v>19982.58</v>
      </c>
      <c r="D20" s="14">
        <v>19583.33</v>
      </c>
      <c r="E20" s="14">
        <v>19984</v>
      </c>
      <c r="F20" s="11"/>
    </row>
    <row r="21" spans="1:5" ht="15.75">
      <c r="A21" s="328" t="s">
        <v>286</v>
      </c>
      <c r="B21" s="372"/>
      <c r="C21" s="421">
        <v>4472463.93</v>
      </c>
      <c r="D21" s="14">
        <v>4650000</v>
      </c>
      <c r="E21" s="14">
        <v>4650000</v>
      </c>
    </row>
    <row r="22" spans="1:5" ht="15.75">
      <c r="A22" s="328" t="s">
        <v>287</v>
      </c>
      <c r="B22" s="372"/>
      <c r="C22" s="421">
        <v>6033.21</v>
      </c>
      <c r="D22" s="14">
        <v>7500</v>
      </c>
      <c r="E22" s="14">
        <v>7500</v>
      </c>
    </row>
    <row r="23" spans="1:5" ht="15.75">
      <c r="A23" s="328" t="s">
        <v>288</v>
      </c>
      <c r="B23" s="372"/>
      <c r="C23" s="421">
        <v>300000</v>
      </c>
      <c r="D23" s="14">
        <v>300000</v>
      </c>
      <c r="E23" s="14">
        <v>300000</v>
      </c>
    </row>
    <row r="24" spans="1:5" ht="15.75">
      <c r="A24" s="328" t="s">
        <v>289</v>
      </c>
      <c r="B24" s="372"/>
      <c r="C24" s="421">
        <v>120591.49</v>
      </c>
      <c r="D24" s="14">
        <v>300000</v>
      </c>
      <c r="E24" s="14">
        <v>300000</v>
      </c>
    </row>
    <row r="25" spans="1:5" ht="15.75">
      <c r="A25" s="328" t="s">
        <v>290</v>
      </c>
      <c r="B25" s="372"/>
      <c r="C25" s="421">
        <v>64832.52</v>
      </c>
      <c r="D25" s="14">
        <v>65000</v>
      </c>
      <c r="E25" s="14">
        <v>65000</v>
      </c>
    </row>
    <row r="26" spans="1:5" ht="15.75">
      <c r="A26" s="328" t="s">
        <v>291</v>
      </c>
      <c r="B26" s="372"/>
      <c r="C26" s="421">
        <v>103349.35</v>
      </c>
      <c r="D26" s="14">
        <v>105000</v>
      </c>
      <c r="E26" s="14">
        <v>105000</v>
      </c>
    </row>
    <row r="27" spans="1:5" ht="15.75">
      <c r="A27" s="328" t="s">
        <v>292</v>
      </c>
      <c r="B27" s="372"/>
      <c r="C27" s="421">
        <v>1450000</v>
      </c>
      <c r="D27" s="14">
        <v>1450000</v>
      </c>
      <c r="E27" s="14">
        <v>1550000</v>
      </c>
    </row>
    <row r="28" spans="1:5" ht="15.75">
      <c r="A28" s="328" t="s">
        <v>293</v>
      </c>
      <c r="B28" s="372"/>
      <c r="C28" s="421">
        <v>25075</v>
      </c>
      <c r="D28" s="14">
        <v>25000</v>
      </c>
      <c r="E28" s="14">
        <v>25000</v>
      </c>
    </row>
    <row r="29" spans="1:5" ht="15.75">
      <c r="A29" s="328" t="s">
        <v>294</v>
      </c>
      <c r="B29" s="372"/>
      <c r="C29" s="421">
        <v>162481.1</v>
      </c>
      <c r="D29" s="14">
        <v>177234.53</v>
      </c>
      <c r="E29" s="14">
        <v>186915.79</v>
      </c>
    </row>
    <row r="30" spans="1:5" ht="15.75">
      <c r="A30" s="328" t="s">
        <v>295</v>
      </c>
      <c r="B30" s="372"/>
      <c r="C30" s="421">
        <v>704084.75</v>
      </c>
      <c r="D30" s="14">
        <v>768016.29</v>
      </c>
      <c r="E30" s="14">
        <v>809968.42</v>
      </c>
    </row>
    <row r="31" spans="1:5" ht="15.75">
      <c r="A31" s="328" t="s">
        <v>296</v>
      </c>
      <c r="B31" s="372"/>
      <c r="C31" s="421">
        <v>216641.46</v>
      </c>
      <c r="D31" s="14">
        <v>236312.7</v>
      </c>
      <c r="E31" s="14">
        <v>249221.05</v>
      </c>
    </row>
    <row r="32" spans="1:5" ht="15.75">
      <c r="A32" s="328" t="s">
        <v>317</v>
      </c>
      <c r="B32" s="372"/>
      <c r="C32" s="421">
        <v>0</v>
      </c>
      <c r="D32" s="14">
        <v>718.32</v>
      </c>
      <c r="E32" s="14">
        <v>0</v>
      </c>
    </row>
    <row r="33" spans="1:5" ht="15.75">
      <c r="A33" s="328" t="s">
        <v>318</v>
      </c>
      <c r="B33" s="372"/>
      <c r="C33" s="421">
        <v>0</v>
      </c>
      <c r="D33" s="14">
        <v>1089.92</v>
      </c>
      <c r="E33" s="14">
        <v>0</v>
      </c>
    </row>
    <row r="34" spans="1:5" ht="15.75">
      <c r="A34" s="328" t="s">
        <v>297</v>
      </c>
      <c r="B34" s="372"/>
      <c r="C34" s="421">
        <v>21897.25</v>
      </c>
      <c r="D34" s="14">
        <v>22000</v>
      </c>
      <c r="E34" s="14">
        <v>22000</v>
      </c>
    </row>
    <row r="35" spans="1:5" ht="15.75">
      <c r="A35" s="328" t="s">
        <v>298</v>
      </c>
      <c r="B35" s="372"/>
      <c r="C35" s="421">
        <v>0</v>
      </c>
      <c r="D35" s="14">
        <v>0</v>
      </c>
      <c r="E35" s="14">
        <v>0</v>
      </c>
    </row>
    <row r="36" spans="1:5" ht="15.75">
      <c r="A36" s="328" t="s">
        <v>299</v>
      </c>
      <c r="B36" s="372"/>
      <c r="C36" s="421">
        <v>276023.65</v>
      </c>
      <c r="D36" s="14">
        <v>274770</v>
      </c>
      <c r="E36" s="14">
        <v>280430</v>
      </c>
    </row>
    <row r="37" spans="1:5" ht="15.75">
      <c r="A37" s="328" t="s">
        <v>300</v>
      </c>
      <c r="B37" s="372"/>
      <c r="C37" s="421">
        <v>76698.01</v>
      </c>
      <c r="D37" s="14">
        <v>76500</v>
      </c>
      <c r="E37" s="14">
        <v>76500</v>
      </c>
    </row>
    <row r="38" spans="1:5" ht="15.75">
      <c r="A38" s="328" t="s">
        <v>301</v>
      </c>
      <c r="B38" s="372"/>
      <c r="C38" s="421">
        <v>46153.15</v>
      </c>
      <c r="D38" s="14">
        <v>43590</v>
      </c>
      <c r="E38" s="14">
        <v>43210</v>
      </c>
    </row>
    <row r="39" spans="1:5" ht="15.75">
      <c r="A39" s="328" t="s">
        <v>302</v>
      </c>
      <c r="B39" s="372"/>
      <c r="C39" s="421">
        <v>10500</v>
      </c>
      <c r="D39" s="14">
        <v>0</v>
      </c>
      <c r="E39" s="14">
        <v>0</v>
      </c>
    </row>
    <row r="40" spans="1:5" ht="15.75">
      <c r="A40" s="328" t="s">
        <v>680</v>
      </c>
      <c r="B40" s="372"/>
      <c r="C40" s="421">
        <v>0</v>
      </c>
      <c r="D40" s="14">
        <v>13000</v>
      </c>
      <c r="E40" s="14">
        <v>15000</v>
      </c>
    </row>
    <row r="41" spans="1:5" ht="15.75">
      <c r="A41" s="328" t="s">
        <v>303</v>
      </c>
      <c r="B41" s="372"/>
      <c r="C41" s="421">
        <f>83150.81</f>
        <v>83150.81</v>
      </c>
      <c r="D41" s="14">
        <v>60000</v>
      </c>
      <c r="E41" s="14">
        <v>35000</v>
      </c>
    </row>
    <row r="42" spans="1:5" ht="15.75">
      <c r="A42" s="328" t="s">
        <v>304</v>
      </c>
      <c r="B42" s="372"/>
      <c r="C42" s="421">
        <f>565050.97+1500</f>
        <v>566550.97</v>
      </c>
      <c r="D42" s="14">
        <f>501650+1500</f>
        <v>503150</v>
      </c>
      <c r="E42" s="14">
        <f>498975+1500</f>
        <v>500475</v>
      </c>
    </row>
    <row r="43" spans="1:5" ht="15.75">
      <c r="A43" s="328" t="s">
        <v>305</v>
      </c>
      <c r="B43" s="372"/>
      <c r="C43" s="421">
        <v>4400</v>
      </c>
      <c r="D43" s="14">
        <v>2000</v>
      </c>
      <c r="E43" s="14">
        <v>2000</v>
      </c>
    </row>
    <row r="44" spans="1:5" ht="15.75">
      <c r="A44" s="328" t="s">
        <v>445</v>
      </c>
      <c r="B44" s="372"/>
      <c r="C44" s="421">
        <v>121945.98</v>
      </c>
      <c r="D44" s="14">
        <v>120175</v>
      </c>
      <c r="E44" s="14">
        <v>120175</v>
      </c>
    </row>
    <row r="45" spans="1:5" ht="15.75">
      <c r="A45" s="328" t="s">
        <v>306</v>
      </c>
      <c r="B45" s="372"/>
      <c r="C45" s="421">
        <v>0</v>
      </c>
      <c r="D45" s="14">
        <v>0</v>
      </c>
      <c r="E45" s="14">
        <v>0</v>
      </c>
    </row>
    <row r="46" spans="1:5" ht="15.75">
      <c r="A46" s="328" t="s">
        <v>307</v>
      </c>
      <c r="B46" s="372"/>
      <c r="C46" s="304">
        <v>5836</v>
      </c>
      <c r="D46" s="14">
        <v>5000</v>
      </c>
      <c r="E46" s="14">
        <v>5000</v>
      </c>
    </row>
    <row r="47" spans="1:5" ht="15.75">
      <c r="A47" s="328"/>
      <c r="B47" s="318"/>
      <c r="C47" s="304"/>
      <c r="D47" s="14"/>
      <c r="E47" s="14"/>
    </row>
    <row r="48" spans="1:5" ht="15.75">
      <c r="A48" s="328"/>
      <c r="B48" s="318"/>
      <c r="C48" s="304"/>
      <c r="D48" s="14"/>
      <c r="E48" s="14"/>
    </row>
    <row r="49" spans="1:5" ht="15.75">
      <c r="A49" s="328"/>
      <c r="B49" s="318"/>
      <c r="C49" s="304"/>
      <c r="D49" s="14"/>
      <c r="E49" s="14"/>
    </row>
    <row r="50" spans="1:5" ht="15.75">
      <c r="A50" s="328"/>
      <c r="B50" s="318"/>
      <c r="C50" s="304"/>
      <c r="D50" s="18">
        <v>0</v>
      </c>
      <c r="E50" s="14"/>
    </row>
    <row r="51" spans="1:5" ht="15.75">
      <c r="A51" s="328"/>
      <c r="B51" s="318"/>
      <c r="C51" s="304"/>
      <c r="D51" s="14"/>
      <c r="E51" s="14"/>
    </row>
    <row r="52" spans="1:5" ht="15.75">
      <c r="A52" s="312" t="s">
        <v>396</v>
      </c>
      <c r="B52" s="318"/>
      <c r="C52" s="304">
        <v>32565.39</v>
      </c>
      <c r="D52" s="14">
        <v>32000</v>
      </c>
      <c r="E52" s="14">
        <v>35000</v>
      </c>
    </row>
    <row r="53" spans="1:5" ht="15.75">
      <c r="A53" s="321" t="s">
        <v>703</v>
      </c>
      <c r="B53" s="317"/>
      <c r="C53" s="304"/>
      <c r="D53" s="304"/>
      <c r="E53" s="304"/>
    </row>
    <row r="54" spans="1:5" ht="15.75">
      <c r="A54" s="311" t="s">
        <v>705</v>
      </c>
      <c r="B54" s="317"/>
      <c r="C54" s="355">
        <f>IF(C55*0.1&lt;C53,"Exceed 10% Rule","")</f>
      </c>
      <c r="D54" s="355">
        <f>IF(D55*0.1&lt;D53,"Exceed 10% Rule","")</f>
      </c>
      <c r="E54" s="355">
        <f>IF(E55*0.1&lt;E53,"Exceed 10% Rule","")</f>
      </c>
    </row>
    <row r="55" spans="1:9" ht="15.75">
      <c r="A55" s="151" t="s">
        <v>397</v>
      </c>
      <c r="B55" s="317"/>
      <c r="C55" s="307">
        <f>SUM(C9:C53)</f>
        <v>12860181.940000003</v>
      </c>
      <c r="D55" s="260">
        <f>SUM(D9:D53)</f>
        <v>13490385.089999998</v>
      </c>
      <c r="E55" s="260">
        <f>SUM(E10:E53)</f>
        <v>9673975.94</v>
      </c>
      <c r="F55" s="377">
        <f>+C55-12793630.42-66551.52</f>
        <v>3.2741809263825417E-09</v>
      </c>
      <c r="G55" s="11">
        <f>+D55-13273872.08-68288</f>
        <v>148225.0099999979</v>
      </c>
      <c r="H55" s="11">
        <f>+E55-9673975.27</f>
        <v>0.6699999999254942</v>
      </c>
      <c r="I55" s="378"/>
    </row>
    <row r="56" spans="1:7" ht="15.75">
      <c r="A56" s="151" t="s">
        <v>398</v>
      </c>
      <c r="B56" s="317"/>
      <c r="C56" s="314">
        <f>C7+C55</f>
        <v>13475006.120000003</v>
      </c>
      <c r="D56" s="263">
        <f>D7+D55</f>
        <v>13770338.55</v>
      </c>
      <c r="E56" s="263">
        <f>E7+E55</f>
        <v>9976596.11</v>
      </c>
      <c r="G56" s="11">
        <f>+D9-3689368.99-68288</f>
        <v>148225.00999999978</v>
      </c>
    </row>
    <row r="57" spans="1:7" ht="15.75">
      <c r="A57" s="21"/>
      <c r="B57" s="21"/>
      <c r="C57" s="21"/>
      <c r="D57" s="21"/>
      <c r="E57" s="21"/>
      <c r="G57" s="11"/>
    </row>
    <row r="58" spans="1:5" ht="15.75">
      <c r="A58" s="462" t="s">
        <v>537</v>
      </c>
      <c r="B58" s="462"/>
      <c r="C58" s="462"/>
      <c r="D58" s="462"/>
      <c r="E58" s="462"/>
    </row>
    <row r="59" spans="1:5" ht="15.75">
      <c r="A59" s="133"/>
      <c r="B59" s="133"/>
      <c r="C59" s="133"/>
      <c r="D59" s="133"/>
      <c r="E59" s="133"/>
    </row>
    <row r="60" spans="1:5" ht="15.75">
      <c r="A60" s="72" t="str">
        <f>inputPrYr!D2</f>
        <v>City of Coffeyville</v>
      </c>
      <c r="B60" s="72"/>
      <c r="C60" s="21"/>
      <c r="D60" s="21"/>
      <c r="E60" s="24"/>
    </row>
    <row r="61" spans="1:5" ht="15.75">
      <c r="A61" s="21"/>
      <c r="B61" s="21"/>
      <c r="C61" s="21"/>
      <c r="D61" s="21"/>
      <c r="E61" s="23"/>
    </row>
    <row r="62" spans="1:5" ht="15.75">
      <c r="A62" s="89" t="s">
        <v>464</v>
      </c>
      <c r="B62" s="89"/>
      <c r="C62" s="87"/>
      <c r="D62" s="87"/>
      <c r="E62" s="87"/>
    </row>
    <row r="63" spans="1:5" ht="15.75">
      <c r="A63" s="21" t="s">
        <v>391</v>
      </c>
      <c r="B63" s="21"/>
      <c r="C63" s="93" t="s">
        <v>412</v>
      </c>
      <c r="D63" s="33" t="s">
        <v>556</v>
      </c>
      <c r="E63" s="33" t="s">
        <v>557</v>
      </c>
    </row>
    <row r="64" spans="1:5" ht="15.75">
      <c r="A64" s="137" t="str">
        <f>inputPrYr!B16</f>
        <v>General</v>
      </c>
      <c r="B64" s="137"/>
      <c r="C64" s="145">
        <f>C6</f>
        <v>2010</v>
      </c>
      <c r="D64" s="145">
        <f>D6</f>
        <v>2011</v>
      </c>
      <c r="E64" s="145">
        <f>E6</f>
        <v>2012</v>
      </c>
    </row>
    <row r="65" spans="1:5" ht="15.75">
      <c r="A65" s="329" t="s">
        <v>398</v>
      </c>
      <c r="B65" s="330"/>
      <c r="C65" s="119">
        <f>C56</f>
        <v>13475006.120000003</v>
      </c>
      <c r="D65" s="85">
        <f>D56</f>
        <v>13770338.55</v>
      </c>
      <c r="E65" s="85">
        <f>E56</f>
        <v>9976596.11</v>
      </c>
    </row>
    <row r="66" spans="1:5" ht="15.75">
      <c r="A66" s="316" t="s">
        <v>400</v>
      </c>
      <c r="B66" s="330"/>
      <c r="C66" s="305"/>
      <c r="D66" s="40"/>
      <c r="E66" s="40"/>
    </row>
    <row r="67" spans="1:5" ht="15.75">
      <c r="A67" s="312" t="str">
        <f>+'010-detail1'!$A$7</f>
        <v>City Commission</v>
      </c>
      <c r="B67" s="331"/>
      <c r="C67" s="304">
        <f>+'010-detail1'!$B$15</f>
        <v>1467.32</v>
      </c>
      <c r="D67" s="14">
        <f>+'010-detail1'!$C$15</f>
        <v>5915.610000000001</v>
      </c>
      <c r="E67" s="14">
        <f>+'010-detail1'!$D$15</f>
        <v>3300</v>
      </c>
    </row>
    <row r="68" spans="1:5" ht="15.75">
      <c r="A68" s="312" t="str">
        <f>+'010-detail1'!$A$16</f>
        <v>City Manager</v>
      </c>
      <c r="B68" s="331"/>
      <c r="C68" s="304">
        <f>+'010-detail1'!$B$22</f>
        <v>122253.58</v>
      </c>
      <c r="D68" s="14">
        <f>+'010-detail1'!$C$22</f>
        <v>127420.3</v>
      </c>
      <c r="E68" s="14">
        <f>+'010-detail1'!$D$22</f>
        <v>137236.53</v>
      </c>
    </row>
    <row r="69" spans="1:5" ht="15.75">
      <c r="A69" s="312" t="str">
        <f>+'010-detail1'!$A$23</f>
        <v>Legal</v>
      </c>
      <c r="B69" s="331"/>
      <c r="C69" s="304">
        <f>+'010-detail1'!$B$29</f>
        <v>130661.92</v>
      </c>
      <c r="D69" s="14">
        <f>+'010-detail1'!$C$29</f>
        <v>132973.89</v>
      </c>
      <c r="E69" s="14">
        <f>+'010-detail1'!$D$29</f>
        <v>140459.56</v>
      </c>
    </row>
    <row r="70" spans="1:5" ht="15.75">
      <c r="A70" s="312" t="str">
        <f>+'010-detail1'!$A$30</f>
        <v>Finance</v>
      </c>
      <c r="B70" s="331"/>
      <c r="C70" s="304">
        <f>+'010-detail1'!$B$35</f>
        <v>133334.05000000002</v>
      </c>
      <c r="D70" s="14">
        <f>+'010-detail1'!$C$35</f>
        <v>149067.73</v>
      </c>
      <c r="E70" s="14">
        <f>+'010-detail1'!$D$35</f>
        <v>155160.17</v>
      </c>
    </row>
    <row r="71" spans="1:5" ht="15.75">
      <c r="A71" s="301" t="str">
        <f>+'010-detail1'!$A$36</f>
        <v>City Clerk</v>
      </c>
      <c r="B71" s="331"/>
      <c r="C71" s="304">
        <f>+'010-detail1'!$B$42</f>
        <v>73745.72</v>
      </c>
      <c r="D71" s="14">
        <f>+'010-detail1'!$C$42</f>
        <v>76214.14</v>
      </c>
      <c r="E71" s="14">
        <f>+'010-detail1'!$D$42</f>
        <v>77049.16</v>
      </c>
    </row>
    <row r="72" spans="1:5" ht="15.75">
      <c r="A72" s="312" t="str">
        <f>+'010-detail1'!$A$43</f>
        <v>City Treasurer</v>
      </c>
      <c r="B72" s="331"/>
      <c r="C72" s="304">
        <f>+'010-detail1'!$B$49</f>
        <v>63656.57</v>
      </c>
      <c r="D72" s="14">
        <f>+'010-detail1'!$C$49</f>
        <v>64837.67</v>
      </c>
      <c r="E72" s="14">
        <f>+'010-detail1'!$D$49</f>
        <v>70690.09</v>
      </c>
    </row>
    <row r="73" spans="1:5" ht="15.75">
      <c r="A73" s="328" t="str">
        <f>+'010-detail1'!$A$50</f>
        <v>Collections</v>
      </c>
      <c r="B73" s="331"/>
      <c r="C73" s="304">
        <f>+'010-detail1'!$B$56</f>
        <v>302894.56</v>
      </c>
      <c r="D73" s="14">
        <f>+'010-detail1'!$C$56</f>
        <v>381387.7</v>
      </c>
      <c r="E73" s="14">
        <f>+'010-detail1'!$D$56</f>
        <v>401992.95</v>
      </c>
    </row>
    <row r="74" spans="1:5" ht="15.75">
      <c r="A74" s="301" t="str">
        <f>+'010-detail1'!$A$57</f>
        <v>Information Technology</v>
      </c>
      <c r="B74" s="331"/>
      <c r="C74" s="304">
        <f>+'010-detail1'!$B$63</f>
        <v>119481.20000000001</v>
      </c>
      <c r="D74" s="14">
        <f>+'010-detail1'!$C$63</f>
        <v>151646.27</v>
      </c>
      <c r="E74" s="14">
        <f>+'010-detail1'!$D$63</f>
        <v>174281.9</v>
      </c>
    </row>
    <row r="75" spans="1:5" ht="15.75">
      <c r="A75" s="312" t="str">
        <f>+'010-detail2'!$A$7</f>
        <v>Personnel</v>
      </c>
      <c r="B75" s="331"/>
      <c r="C75" s="304">
        <f>+'010-detail2'!$B$15</f>
        <v>74057.31</v>
      </c>
      <c r="D75" s="14">
        <f>+'010-detail2'!$C$15</f>
        <v>75867.14</v>
      </c>
      <c r="E75" s="14">
        <f>+'010-detail2'!$D$15</f>
        <v>76927.16</v>
      </c>
    </row>
    <row r="76" spans="1:5" ht="15.75">
      <c r="A76" s="312" t="str">
        <f>+'010-detail2'!$A$16</f>
        <v>Police</v>
      </c>
      <c r="B76" s="331"/>
      <c r="C76" s="304">
        <f>+'010-detail2'!$B$22</f>
        <v>2294645.3300000005</v>
      </c>
      <c r="D76" s="14">
        <f>+'010-detail2'!$C$22</f>
        <v>2406147</v>
      </c>
      <c r="E76" s="14">
        <f>+'010-detail2'!$D$22</f>
        <v>2513873.29</v>
      </c>
    </row>
    <row r="77" spans="1:5" ht="15.75">
      <c r="A77" s="312" t="str">
        <f>+'010-detail2'!$A$23</f>
        <v>Animal Control</v>
      </c>
      <c r="B77" s="331"/>
      <c r="C77" s="304">
        <f>+'010-detail2'!$B$29</f>
        <v>66827.01000000001</v>
      </c>
      <c r="D77" s="14">
        <f>+'010-detail2'!$C$29</f>
        <v>78534.93</v>
      </c>
      <c r="E77" s="14">
        <f>+'010-detail2'!$D$29</f>
        <v>82932</v>
      </c>
    </row>
    <row r="78" spans="1:5" ht="15.75">
      <c r="A78" s="312" t="str">
        <f>+'010-detail2'!$A$30</f>
        <v>Fire</v>
      </c>
      <c r="B78" s="331"/>
      <c r="C78" s="304">
        <f>+'010-detail2'!$B$35</f>
        <v>1497385.77</v>
      </c>
      <c r="D78" s="14">
        <f>+'010-detail2'!$C$35</f>
        <v>1495992.52</v>
      </c>
      <c r="E78" s="14">
        <f>+'010-detail2'!$D$35</f>
        <v>1562344.9</v>
      </c>
    </row>
    <row r="79" spans="1:5" ht="15.75">
      <c r="A79" s="301" t="str">
        <f>+'010-detail2'!$A$36</f>
        <v>Code Enforcement</v>
      </c>
      <c r="B79" s="331"/>
      <c r="C79" s="304">
        <f>+'010-detail2'!$B$42</f>
        <v>165701.62999999998</v>
      </c>
      <c r="D79" s="14">
        <f>+'010-detail2'!$C$42</f>
        <v>127024.96</v>
      </c>
      <c r="E79" s="14">
        <f>+'010-detail2'!$D$42</f>
        <v>132374.91</v>
      </c>
    </row>
    <row r="80" spans="1:5" ht="15.75">
      <c r="A80" s="312" t="str">
        <f>+'010-detail2'!$A$43</f>
        <v>Engineering</v>
      </c>
      <c r="B80" s="331"/>
      <c r="C80" s="304">
        <f>+'010-detail2'!$B$49</f>
        <v>316050.72000000003</v>
      </c>
      <c r="D80" s="14">
        <f>+'010-detail2'!$C$49</f>
        <v>317047.48</v>
      </c>
      <c r="E80" s="14">
        <f>+'010-detail2'!$D$49</f>
        <v>328211.93</v>
      </c>
    </row>
    <row r="81" spans="1:5" ht="15.75">
      <c r="A81" s="328" t="str">
        <f>+'010-detail2'!$A$50</f>
        <v>Community Development</v>
      </c>
      <c r="B81" s="331"/>
      <c r="C81" s="304">
        <f>+'010-detail2'!$B$56</f>
        <v>120699.08</v>
      </c>
      <c r="D81" s="14">
        <f>+'010-detail2'!$C$56</f>
        <v>129299.98</v>
      </c>
      <c r="E81" s="14">
        <f>+'010-detail2'!$D$56</f>
        <v>130073.04</v>
      </c>
    </row>
    <row r="82" spans="1:5" ht="15.75">
      <c r="A82" s="301" t="str">
        <f>+'010-detail2'!$A$57</f>
        <v>City Hall</v>
      </c>
      <c r="B82" s="331"/>
      <c r="C82" s="304">
        <f>+'010-detail2'!$B$63</f>
        <v>54896.14</v>
      </c>
      <c r="D82" s="14">
        <f>+'010-detail2'!$C$63</f>
        <v>65315.82</v>
      </c>
      <c r="E82" s="14">
        <f>+'010-detail2'!$D$63</f>
        <v>67105.37</v>
      </c>
    </row>
    <row r="83" spans="1:5" ht="15.75">
      <c r="A83" s="312" t="str">
        <f>+'010-detail3'!$A$7</f>
        <v>Other City Buildings</v>
      </c>
      <c r="B83" s="331"/>
      <c r="C83" s="304">
        <f>+'010-detail3'!$B$15</f>
        <v>1893.12</v>
      </c>
      <c r="D83" s="14">
        <f>+'010-detail3'!$C$15</f>
        <v>22700</v>
      </c>
      <c r="E83" s="14">
        <f>+'010-detail3'!$D$15</f>
        <v>15750</v>
      </c>
    </row>
    <row r="84" spans="1:5" ht="15.75">
      <c r="A84" s="312" t="str">
        <f>+'010-detail3'!$A$16</f>
        <v>Non-Departmental</v>
      </c>
      <c r="B84" s="331"/>
      <c r="C84" s="304">
        <f>+'010-detail3'!$B$22</f>
        <v>116733.93</v>
      </c>
      <c r="D84" s="14">
        <f>+'010-detail3'!$C$22</f>
        <v>129495</v>
      </c>
      <c r="E84" s="14">
        <f>+'010-detail3'!$D$22</f>
        <v>141600</v>
      </c>
    </row>
    <row r="85" spans="1:5" ht="15.75">
      <c r="A85" s="312" t="str">
        <f>+'010-detail3'!$A$23</f>
        <v>P &amp; Z Commission</v>
      </c>
      <c r="B85" s="331"/>
      <c r="C85" s="304">
        <f>+'010-detail3'!$B$29</f>
        <v>1266.43</v>
      </c>
      <c r="D85" s="14">
        <f>+'010-detail3'!$C$29</f>
        <v>3950</v>
      </c>
      <c r="E85" s="14">
        <f>+'010-detail3'!$D$29</f>
        <v>3950</v>
      </c>
    </row>
    <row r="86" spans="1:5" ht="15.75">
      <c r="A86" s="312" t="str">
        <f>+'010-detail3'!$A$30</f>
        <v>Sr Citizens Building</v>
      </c>
      <c r="B86" s="331"/>
      <c r="C86" s="304">
        <f>+'010-detail3'!$B$35</f>
        <v>17913.980000000003</v>
      </c>
      <c r="D86" s="14">
        <f>+'010-detail3'!$C$35</f>
        <v>23800</v>
      </c>
      <c r="E86" s="14">
        <f>+'010-detail3'!$D$35</f>
        <v>24800</v>
      </c>
    </row>
    <row r="87" spans="1:5" ht="15.75">
      <c r="A87" s="301" t="str">
        <f>+'010-detail3'!$A$36</f>
        <v>City Recreation Building</v>
      </c>
      <c r="B87" s="331"/>
      <c r="C87" s="304">
        <f>+'010-detail3'!$B$42</f>
        <v>0</v>
      </c>
      <c r="D87" s="14">
        <f>+'010-detail3'!$C$42</f>
        <v>2500</v>
      </c>
      <c r="E87" s="14">
        <f>+'010-detail3'!$D$42</f>
        <v>2500</v>
      </c>
    </row>
    <row r="88" spans="1:5" ht="15.75">
      <c r="A88" s="312" t="str">
        <f>+'010-detail3'!$A$43</f>
        <v>Public Service - Administration</v>
      </c>
      <c r="B88" s="331"/>
      <c r="C88" s="304">
        <f>+'010-detail3'!$B$49</f>
        <v>101790.51000000001</v>
      </c>
      <c r="D88" s="14">
        <f>+'010-detail3'!$C$49</f>
        <v>109771.53</v>
      </c>
      <c r="E88" s="14">
        <f>+'010-detail3'!$D$49</f>
        <v>107974.76</v>
      </c>
    </row>
    <row r="89" spans="1:5" ht="15.75">
      <c r="A89" s="328" t="str">
        <f>+'010-detail3'!$A$50</f>
        <v>Public Service - Streets &amp; Alleys</v>
      </c>
      <c r="B89" s="331"/>
      <c r="C89" s="304">
        <f>+'010-detail3'!$B$56</f>
        <v>1391966.4</v>
      </c>
      <c r="D89" s="14">
        <f>+'010-detail3'!$C$56</f>
        <v>1491353.7</v>
      </c>
      <c r="E89" s="14">
        <f>+'010-detail3'!$D$56</f>
        <v>1518471.27</v>
      </c>
    </row>
    <row r="90" spans="1:5" ht="15.75">
      <c r="A90" s="301" t="str">
        <f>+'010-detail3'!$A$57</f>
        <v>Capital Improvement</v>
      </c>
      <c r="B90" s="331"/>
      <c r="C90" s="304">
        <f>+'010-detail3'!$B$63</f>
        <v>4206463.38</v>
      </c>
      <c r="D90" s="14">
        <f>+'010-detail3'!$C$63</f>
        <v>3958375</v>
      </c>
      <c r="E90" s="14">
        <f>+'010-detail3'!$D$63</f>
        <v>3947411</v>
      </c>
    </row>
    <row r="91" spans="1:5" ht="15.75">
      <c r="A91" s="312" t="str">
        <f>+'010-detail4'!$A$7</f>
        <v>Capital Equipment</v>
      </c>
      <c r="B91" s="331"/>
      <c r="C91" s="304">
        <f>+'010-detail4'!$B$15</f>
        <v>160191.08</v>
      </c>
      <c r="D91" s="14">
        <f>+'010-detail4'!$C$15</f>
        <v>155000</v>
      </c>
      <c r="E91" s="14">
        <f>+'010-detail4'!$D$15</f>
        <v>155000</v>
      </c>
    </row>
    <row r="92" spans="1:5" ht="15.75">
      <c r="A92" s="312" t="str">
        <f>+'010-detail4'!$A$16</f>
        <v>Economic Development</v>
      </c>
      <c r="B92" s="331"/>
      <c r="C92" s="304">
        <f>+'010-detail4'!$B$22</f>
        <v>1601910.92</v>
      </c>
      <c r="D92" s="14">
        <f>+'010-detail4'!$C$22</f>
        <v>1550000</v>
      </c>
      <c r="E92" s="14">
        <f>+'010-detail4'!$D$22</f>
        <v>1550000</v>
      </c>
    </row>
    <row r="93" spans="1:5" ht="15.75">
      <c r="A93" s="312" t="str">
        <f>+'010-detail4'!$A$23</f>
        <v>Industrial Levy Fund</v>
      </c>
      <c r="B93" s="331"/>
      <c r="C93" s="304">
        <f>+'010-detail4'!$B$29</f>
        <v>57165</v>
      </c>
      <c r="D93" s="14">
        <f>+'010-detail4'!$C$29</f>
        <v>87855</v>
      </c>
      <c r="E93" s="14">
        <f>+'010-detail4'!$D$29</f>
        <v>90315</v>
      </c>
    </row>
    <row r="94" spans="1:5" ht="15.75">
      <c r="A94" s="312" t="str">
        <f>+'010-detail4'!$A$30</f>
        <v>Capital Development</v>
      </c>
      <c r="B94" s="331"/>
      <c r="C94" s="304">
        <f>+'010-detail4'!$B$35</f>
        <v>0</v>
      </c>
      <c r="D94" s="18">
        <f>+'010-detail4'!$C$35</f>
        <v>148225.00999999978</v>
      </c>
      <c r="E94" s="18">
        <f>+'010-detail4'!$D$35</f>
        <v>4780</v>
      </c>
    </row>
    <row r="95" spans="1:5" ht="15.75">
      <c r="A95" s="301"/>
      <c r="B95" s="331"/>
      <c r="C95" s="304"/>
      <c r="D95" s="14"/>
      <c r="E95" s="14"/>
    </row>
    <row r="96" spans="1:5" ht="15.75">
      <c r="A96" s="312"/>
      <c r="B96" s="331"/>
      <c r="C96" s="304"/>
      <c r="D96" s="14"/>
      <c r="E96" s="14"/>
    </row>
    <row r="97" spans="1:5" ht="15.75">
      <c r="A97" s="328"/>
      <c r="B97" s="331"/>
      <c r="C97" s="304"/>
      <c r="D97" s="14"/>
      <c r="E97" s="14"/>
    </row>
    <row r="98" spans="1:5" ht="15.75">
      <c r="A98" s="301"/>
      <c r="B98" s="331"/>
      <c r="C98" s="304"/>
      <c r="D98" s="14"/>
      <c r="E98" s="14"/>
    </row>
    <row r="99" spans="1:5" ht="15.75">
      <c r="A99" s="301"/>
      <c r="B99" s="331"/>
      <c r="C99" s="304"/>
      <c r="D99" s="14"/>
      <c r="E99" s="14"/>
    </row>
    <row r="100" spans="1:5" ht="15.75">
      <c r="A100" s="301"/>
      <c r="B100" s="331"/>
      <c r="C100" s="304"/>
      <c r="D100" s="14"/>
      <c r="E100" s="14"/>
    </row>
    <row r="101" spans="1:5" ht="15.75">
      <c r="A101" s="301"/>
      <c r="B101" s="331"/>
      <c r="C101" s="304"/>
      <c r="D101" s="14"/>
      <c r="E101" s="14"/>
    </row>
    <row r="102" spans="1:5" ht="15.75">
      <c r="A102" s="301"/>
      <c r="B102" s="331"/>
      <c r="C102" s="304"/>
      <c r="D102" s="14"/>
      <c r="E102" s="14"/>
    </row>
    <row r="103" spans="1:5" ht="15.75">
      <c r="A103" s="301"/>
      <c r="B103" s="331"/>
      <c r="C103" s="304"/>
      <c r="D103" s="14"/>
      <c r="E103" s="14"/>
    </row>
    <row r="104" spans="1:5" ht="15.75">
      <c r="A104" s="301"/>
      <c r="B104" s="331"/>
      <c r="C104" s="304"/>
      <c r="D104" s="14"/>
      <c r="E104" s="14"/>
    </row>
    <row r="105" spans="1:5" ht="15.75">
      <c r="A105" s="301"/>
      <c r="B105" s="331"/>
      <c r="C105" s="304"/>
      <c r="D105" s="14"/>
      <c r="E105" s="14"/>
    </row>
    <row r="106" spans="1:5" ht="15.75">
      <c r="A106" s="301"/>
      <c r="B106" s="331"/>
      <c r="C106" s="304"/>
      <c r="D106" s="14"/>
      <c r="E106" s="14"/>
    </row>
    <row r="107" spans="1:5" ht="15.75">
      <c r="A107" s="319" t="s">
        <v>702</v>
      </c>
      <c r="B107" s="317"/>
      <c r="C107" s="304"/>
      <c r="D107" s="14"/>
      <c r="E107" s="258">
        <f>nhood!E6</f>
      </c>
    </row>
    <row r="108" spans="1:5" ht="15.75">
      <c r="A108" s="319" t="s">
        <v>703</v>
      </c>
      <c r="B108" s="317"/>
      <c r="C108" s="304"/>
      <c r="D108" s="304"/>
      <c r="E108" s="304"/>
    </row>
    <row r="109" spans="1:5" ht="15.75">
      <c r="A109" s="319" t="s">
        <v>704</v>
      </c>
      <c r="B109" s="317"/>
      <c r="C109" s="355">
        <f>IF(C110*0.1&lt;C108,"Exceed 10% Rule","")</f>
      </c>
      <c r="D109" s="355">
        <f>IF(D110*0.1&lt;D108,"Exceed 10% Rule","")</f>
      </c>
      <c r="E109" s="355">
        <f>IF(E110*0.1&lt;E108,"Exceed 10% Rule","")</f>
      </c>
    </row>
    <row r="110" spans="1:8" ht="15.75">
      <c r="A110" s="151" t="s">
        <v>404</v>
      </c>
      <c r="B110" s="330"/>
      <c r="C110" s="307">
        <f>SUM(C67:C108)</f>
        <v>13195052.66</v>
      </c>
      <c r="D110" s="260">
        <f>SUM(D67:D108)</f>
        <v>13467718.38</v>
      </c>
      <c r="E110" s="260">
        <f>SUM(E67:E108)</f>
        <v>13616564.989999998</v>
      </c>
      <c r="F110" s="11">
        <f>+C110-13137887.74-57165</f>
        <v>-0.0800000000745058</v>
      </c>
      <c r="G110" s="11">
        <f>+D110-13231638.36-87855</f>
        <v>148225.02000000142</v>
      </c>
      <c r="H110" s="11">
        <f>+E110-13521470-90315</f>
        <v>4779.989999998361</v>
      </c>
    </row>
    <row r="111" spans="1:5" ht="15.75">
      <c r="A111" s="37" t="s">
        <v>528</v>
      </c>
      <c r="B111" s="330"/>
      <c r="C111" s="315">
        <f>C56-C110</f>
        <v>279953.46000000276</v>
      </c>
      <c r="D111" s="262">
        <f>D56-D110</f>
        <v>302620.1699999999</v>
      </c>
      <c r="E111" s="45" t="s">
        <v>380</v>
      </c>
    </row>
    <row r="112" spans="1:6" ht="15.75">
      <c r="A112" s="23" t="str">
        <f>CONCATENATE("",E1-2," Budget Authority Limited Amount:")</f>
        <v>2010 Budget Authority Limited Amount:</v>
      </c>
      <c r="B112" s="338">
        <f>+inputOth!B59</f>
        <v>13592437</v>
      </c>
      <c r="C112" s="72"/>
      <c r="D112" s="23" t="s">
        <v>405</v>
      </c>
      <c r="E112" s="14">
        <f>235932.32-4669-111+1</f>
        <v>231153.32</v>
      </c>
      <c r="F112" s="296">
        <f>IF(E110/0.95-E110&lt;E112,"Exceeds 5%","")</f>
      </c>
    </row>
    <row r="113" spans="1:5" ht="15.75">
      <c r="A113" s="23" t="str">
        <f>CONCATENATE("Violation of Budget Law for ",E1-2,":")</f>
        <v>Violation of Budget Law for 2010:</v>
      </c>
      <c r="B113" s="339">
        <f>IF(C110&gt;B112,"Yes","")</f>
      </c>
      <c r="C113" s="72"/>
      <c r="D113" s="23" t="s">
        <v>691</v>
      </c>
      <c r="E113" s="40">
        <f>E110+E112</f>
        <v>13847718.309999999</v>
      </c>
    </row>
    <row r="114" spans="1:5" ht="15.75">
      <c r="A114" s="23" t="str">
        <f>CONCATENATE("Possible Cash Violation for ",E1-2,":")</f>
        <v>Possible Cash Violation for 2010:</v>
      </c>
      <c r="B114" s="339">
        <f>IF(C111&lt;0,"Yes","")</f>
      </c>
      <c r="C114" s="21"/>
      <c r="D114" s="24" t="s">
        <v>406</v>
      </c>
      <c r="E114" s="258">
        <f>IF(E113-E56&gt;0,E113-E56,0)</f>
        <v>3871122.1999999993</v>
      </c>
    </row>
    <row r="115" spans="1:5" ht="15.75">
      <c r="A115" s="465" t="s">
        <v>615</v>
      </c>
      <c r="B115" s="465"/>
      <c r="C115" s="466"/>
      <c r="D115" s="228">
        <f>(inputOth!E46)</f>
        <v>0</v>
      </c>
      <c r="E115" s="40">
        <f>ROUND(IF(D115&gt;0,(E114*D115),0),0)</f>
        <v>0</v>
      </c>
    </row>
    <row r="116" spans="1:6" ht="15.75">
      <c r="A116" s="21"/>
      <c r="B116" s="21"/>
      <c r="C116" s="463" t="str">
        <f>CONCATENATE("Amount of  ",E1-1," Ad Valorem Tax")</f>
        <v>Amount of  2011 Ad Valorem Tax</v>
      </c>
      <c r="D116" s="464"/>
      <c r="E116" s="258">
        <f>E114+E115</f>
        <v>3871122.1999999993</v>
      </c>
      <c r="F116" s="405">
        <f>3781507.04+89614.92</f>
        <v>3871121.96</v>
      </c>
    </row>
    <row r="117" spans="1:6" ht="15.75">
      <c r="A117" s="21"/>
      <c r="B117" s="21"/>
      <c r="C117" s="21"/>
      <c r="D117" s="21"/>
      <c r="E117" s="21"/>
      <c r="F117" s="11">
        <f>+E116-F116</f>
        <v>0.23999999929219484</v>
      </c>
    </row>
    <row r="118" spans="1:5" ht="15.75">
      <c r="A118" s="462" t="s">
        <v>547</v>
      </c>
      <c r="B118" s="462"/>
      <c r="C118" s="462"/>
      <c r="D118" s="462"/>
      <c r="E118" s="462"/>
    </row>
    <row r="120" spans="1:2" ht="15.75">
      <c r="A120"/>
      <c r="B120"/>
    </row>
    <row r="123" spans="1:3" ht="15.75">
      <c r="A123" s="2"/>
      <c r="B123" s="2"/>
      <c r="C123" s="2"/>
    </row>
  </sheetData>
  <sheetProtection/>
  <mergeCells count="4">
    <mergeCell ref="A58:E58"/>
    <mergeCell ref="A118:E118"/>
    <mergeCell ref="C116:D116"/>
    <mergeCell ref="A115:C115"/>
  </mergeCells>
  <conditionalFormatting sqref="C108">
    <cfRule type="cellIs" priority="1" dxfId="157" operator="greaterThan" stopIfTrue="1">
      <formula>$C$110*0.1</formula>
    </cfRule>
  </conditionalFormatting>
  <conditionalFormatting sqref="D108">
    <cfRule type="cellIs" priority="2" dxfId="157" operator="greaterThan" stopIfTrue="1">
      <formula>$D$110*0.1</formula>
    </cfRule>
  </conditionalFormatting>
  <conditionalFormatting sqref="E108">
    <cfRule type="cellIs" priority="3" dxfId="157" operator="greaterThan" stopIfTrue="1">
      <formula>$E$110*0.1</formula>
    </cfRule>
  </conditionalFormatting>
  <conditionalFormatting sqref="E112">
    <cfRule type="cellIs" priority="4" dxfId="157" operator="greaterThan" stopIfTrue="1">
      <formula>$E$110/0.95-$E$110</formula>
    </cfRule>
  </conditionalFormatting>
  <conditionalFormatting sqref="C53">
    <cfRule type="cellIs" priority="5" dxfId="157" operator="greaterThan" stopIfTrue="1">
      <formula>$C$55*0.1</formula>
    </cfRule>
  </conditionalFormatting>
  <conditionalFormatting sqref="D53">
    <cfRule type="cellIs" priority="6" dxfId="157" operator="greaterThan" stopIfTrue="1">
      <formula>$D$55*0.1</formula>
    </cfRule>
  </conditionalFormatting>
  <conditionalFormatting sqref="E53">
    <cfRule type="cellIs" priority="7" dxfId="157" operator="greaterThan" stopIfTrue="1">
      <formula>$E$55*0.1</formula>
    </cfRule>
  </conditionalFormatting>
  <printOptions/>
  <pageMargins left="0.5" right="0.5" top="1" bottom="0.5" header="0.5" footer="0.5"/>
  <pageSetup blackAndWhite="1" fitToHeight="2" fitToWidth="1" horizontalDpi="600" verticalDpi="600" orientation="portrait" scale="74" r:id="rId3"/>
  <headerFooter alignWithMargins="0">
    <oddHeader>&amp;RState of Kansas
Coffeyville</oddHeader>
    <oddFooter>&amp;Lrevised 8/06/07</oddFooter>
  </headerFooter>
  <rowBreaks count="1" manualBreakCount="1">
    <brk id="76" max="4"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view="pageBreakPreview" zoomScaleSheetLayoutView="100" zoomScalePageLayoutView="0" workbookViewId="0" topLeftCell="A1">
      <selection activeCell="D62" sqref="D62"/>
    </sheetView>
  </sheetViews>
  <sheetFormatPr defaultColWidth="8.796875" defaultRowHeight="15"/>
  <cols>
    <col min="1" max="1" width="28.296875" style="2" customWidth="1"/>
    <col min="2" max="3" width="16.3984375" style="2" customWidth="1"/>
    <col min="4" max="4" width="16.3984375" style="2" bestFit="1" customWidth="1"/>
    <col min="5" max="16384" width="8.8984375" style="2" customWidth="1"/>
  </cols>
  <sheetData>
    <row r="1" spans="1:4" ht="15.75">
      <c r="A1" s="72" t="str">
        <f>inputPrYr!D2</f>
        <v>City of Coffeyville</v>
      </c>
      <c r="B1" s="21"/>
      <c r="C1" s="92"/>
      <c r="D1" s="21">
        <f>inputPrYr!C5</f>
        <v>2012</v>
      </c>
    </row>
    <row r="2" spans="1:4" ht="15.75">
      <c r="A2" s="21"/>
      <c r="B2" s="21"/>
      <c r="C2" s="21"/>
      <c r="D2" s="92"/>
    </row>
    <row r="3" spans="1:4" ht="15.75">
      <c r="A3" s="90" t="s">
        <v>467</v>
      </c>
      <c r="B3" s="98"/>
      <c r="C3" s="98"/>
      <c r="D3" s="98"/>
    </row>
    <row r="4" spans="1:4" ht="15.75">
      <c r="A4" s="92" t="s">
        <v>391</v>
      </c>
      <c r="B4" s="93" t="s">
        <v>412</v>
      </c>
      <c r="C4" s="33" t="s">
        <v>556</v>
      </c>
      <c r="D4" s="33" t="s">
        <v>557</v>
      </c>
    </row>
    <row r="5" spans="1:4" ht="15.75">
      <c r="A5" s="20" t="s">
        <v>309</v>
      </c>
      <c r="B5" s="145">
        <f>D1-2</f>
        <v>2010</v>
      </c>
      <c r="C5" s="145">
        <f>D1-1</f>
        <v>2011</v>
      </c>
      <c r="D5" s="145">
        <f>D1</f>
        <v>2012</v>
      </c>
    </row>
    <row r="6" spans="1:4" ht="15.75">
      <c r="A6" s="83" t="s">
        <v>400</v>
      </c>
      <c r="B6" s="40"/>
      <c r="C6" s="40"/>
      <c r="D6" s="40"/>
    </row>
    <row r="7" spans="1:4" ht="15.75">
      <c r="A7" s="101" t="s">
        <v>202</v>
      </c>
      <c r="B7" s="40"/>
      <c r="C7" s="40"/>
      <c r="D7" s="40"/>
    </row>
    <row r="8" spans="1:4" ht="15.75">
      <c r="A8" s="15" t="s">
        <v>308</v>
      </c>
      <c r="B8" s="14">
        <v>554.5</v>
      </c>
      <c r="C8" s="14">
        <v>315.61</v>
      </c>
      <c r="D8" s="14">
        <v>0</v>
      </c>
    </row>
    <row r="9" spans="1:4" ht="15.75">
      <c r="A9" s="15" t="s">
        <v>401</v>
      </c>
      <c r="B9" s="14">
        <v>521</v>
      </c>
      <c r="C9" s="14">
        <v>1750</v>
      </c>
      <c r="D9" s="14">
        <v>2700</v>
      </c>
    </row>
    <row r="10" spans="1:4" ht="15.75">
      <c r="A10" s="15" t="s">
        <v>402</v>
      </c>
      <c r="B10" s="14">
        <v>391.82</v>
      </c>
      <c r="C10" s="14">
        <v>850</v>
      </c>
      <c r="D10" s="14">
        <v>600</v>
      </c>
    </row>
    <row r="11" spans="1:4" ht="15.75">
      <c r="A11" s="15" t="s">
        <v>403</v>
      </c>
      <c r="B11" s="14">
        <v>0</v>
      </c>
      <c r="C11" s="14">
        <v>3000</v>
      </c>
      <c r="D11" s="14">
        <v>0</v>
      </c>
    </row>
    <row r="12" spans="1:4" ht="15.75">
      <c r="A12" s="15"/>
      <c r="B12" s="14"/>
      <c r="C12" s="14"/>
      <c r="D12" s="14"/>
    </row>
    <row r="13" spans="1:4" ht="15.75">
      <c r="A13" s="8"/>
      <c r="B13" s="14"/>
      <c r="C13" s="14"/>
      <c r="D13" s="14"/>
    </row>
    <row r="14" spans="1:4" ht="15.75">
      <c r="A14" s="8"/>
      <c r="B14" s="14"/>
      <c r="C14" s="14"/>
      <c r="D14" s="14"/>
    </row>
    <row r="15" spans="1:4" ht="15.75">
      <c r="A15" s="83" t="s">
        <v>363</v>
      </c>
      <c r="B15" s="260">
        <f>SUM(B8:B14)</f>
        <v>1467.32</v>
      </c>
      <c r="C15" s="260">
        <f>SUM(C8:C14)</f>
        <v>5915.610000000001</v>
      </c>
      <c r="D15" s="260">
        <f>SUM(D8:D14)</f>
        <v>3300</v>
      </c>
    </row>
    <row r="16" spans="1:4" ht="15.75">
      <c r="A16" s="100" t="s">
        <v>203</v>
      </c>
      <c r="B16" s="72"/>
      <c r="C16" s="72"/>
      <c r="D16" s="72"/>
    </row>
    <row r="17" spans="1:4" ht="15.75">
      <c r="A17" s="15" t="s">
        <v>308</v>
      </c>
      <c r="B17" s="14">
        <v>115589.9</v>
      </c>
      <c r="C17" s="14">
        <v>117120.3</v>
      </c>
      <c r="D17" s="14">
        <v>117336.53</v>
      </c>
    </row>
    <row r="18" spans="1:4" ht="15.75">
      <c r="A18" s="15" t="s">
        <v>401</v>
      </c>
      <c r="B18" s="14">
        <v>6339.52</v>
      </c>
      <c r="C18" s="14">
        <v>9450</v>
      </c>
      <c r="D18" s="14">
        <v>19050</v>
      </c>
    </row>
    <row r="19" spans="1:4" ht="15.75">
      <c r="A19" s="15" t="s">
        <v>402</v>
      </c>
      <c r="B19" s="14">
        <v>324.16</v>
      </c>
      <c r="C19" s="14">
        <v>600</v>
      </c>
      <c r="D19" s="14">
        <v>600</v>
      </c>
    </row>
    <row r="20" spans="1:4" ht="15.75">
      <c r="A20" s="15" t="s">
        <v>403</v>
      </c>
      <c r="B20" s="14">
        <v>0</v>
      </c>
      <c r="C20" s="14">
        <v>250</v>
      </c>
      <c r="D20" s="14">
        <v>250</v>
      </c>
    </row>
    <row r="21" spans="1:4" ht="15.75">
      <c r="A21" s="15"/>
      <c r="B21" s="14"/>
      <c r="C21" s="14"/>
      <c r="D21" s="14"/>
    </row>
    <row r="22" spans="1:4" ht="15.75">
      <c r="A22" s="83" t="s">
        <v>363</v>
      </c>
      <c r="B22" s="260">
        <f>SUM(B17:B21)</f>
        <v>122253.58</v>
      </c>
      <c r="C22" s="260">
        <f>SUM(C17:C20)</f>
        <v>127420.3</v>
      </c>
      <c r="D22" s="260">
        <f>SUM(D17:D20)</f>
        <v>137236.53</v>
      </c>
    </row>
    <row r="23" spans="1:4" ht="15.75">
      <c r="A23" s="100" t="s">
        <v>204</v>
      </c>
      <c r="B23" s="72"/>
      <c r="C23" s="72"/>
      <c r="D23" s="72"/>
    </row>
    <row r="24" spans="1:4" ht="15.75">
      <c r="A24" s="15" t="s">
        <v>308</v>
      </c>
      <c r="B24" s="14">
        <v>12078.58</v>
      </c>
      <c r="C24" s="14">
        <v>15473.89</v>
      </c>
      <c r="D24" s="14">
        <v>15459.56</v>
      </c>
    </row>
    <row r="25" spans="1:4" ht="15.75">
      <c r="A25" s="15" t="s">
        <v>401</v>
      </c>
      <c r="B25" s="14">
        <v>118583.34</v>
      </c>
      <c r="C25" s="14">
        <v>117500</v>
      </c>
      <c r="D25" s="14">
        <v>125000</v>
      </c>
    </row>
    <row r="26" spans="1:4" ht="15.75">
      <c r="A26" s="15" t="s">
        <v>402</v>
      </c>
      <c r="B26" s="14">
        <v>0</v>
      </c>
      <c r="C26" s="14">
        <v>0</v>
      </c>
      <c r="D26" s="14">
        <v>0</v>
      </c>
    </row>
    <row r="27" spans="1:4" ht="15.75">
      <c r="A27" s="15" t="s">
        <v>403</v>
      </c>
      <c r="B27" s="14">
        <v>0</v>
      </c>
      <c r="C27" s="14">
        <v>0</v>
      </c>
      <c r="D27" s="14">
        <v>0</v>
      </c>
    </row>
    <row r="28" spans="1:4" ht="15.75">
      <c r="A28" s="15"/>
      <c r="B28" s="14"/>
      <c r="C28" s="14"/>
      <c r="D28" s="14"/>
    </row>
    <row r="29" spans="1:4" ht="15.75">
      <c r="A29" s="83" t="s">
        <v>363</v>
      </c>
      <c r="B29" s="260">
        <f>SUM(B24:B27)</f>
        <v>130661.92</v>
      </c>
      <c r="C29" s="260">
        <f>SUM(C24:C27)</f>
        <v>132973.89</v>
      </c>
      <c r="D29" s="260">
        <f>SUM(D24:D27)</f>
        <v>140459.56</v>
      </c>
    </row>
    <row r="30" spans="1:4" ht="15.75">
      <c r="A30" s="100" t="s">
        <v>205</v>
      </c>
      <c r="B30" s="72"/>
      <c r="C30" s="72"/>
      <c r="D30" s="72"/>
    </row>
    <row r="31" spans="1:4" ht="15.75">
      <c r="A31" s="15" t="s">
        <v>308</v>
      </c>
      <c r="B31" s="14">
        <v>129712.58</v>
      </c>
      <c r="C31" s="14">
        <v>142745.73</v>
      </c>
      <c r="D31" s="14">
        <v>144738.17</v>
      </c>
    </row>
    <row r="32" spans="1:4" ht="15.75">
      <c r="A32" s="15" t="s">
        <v>401</v>
      </c>
      <c r="B32" s="14">
        <v>2441.53</v>
      </c>
      <c r="C32" s="14">
        <v>4222</v>
      </c>
      <c r="D32" s="14">
        <v>7722</v>
      </c>
    </row>
    <row r="33" spans="1:4" ht="15.75">
      <c r="A33" s="15" t="s">
        <v>402</v>
      </c>
      <c r="B33" s="14">
        <v>1070.73</v>
      </c>
      <c r="C33" s="14">
        <v>1850</v>
      </c>
      <c r="D33" s="14">
        <v>1700</v>
      </c>
    </row>
    <row r="34" spans="1:4" ht="15.75">
      <c r="A34" s="15" t="s">
        <v>403</v>
      </c>
      <c r="B34" s="14">
        <v>109.21</v>
      </c>
      <c r="C34" s="14">
        <v>250</v>
      </c>
      <c r="D34" s="14">
        <v>1000</v>
      </c>
    </row>
    <row r="35" spans="1:4" ht="15.75">
      <c r="A35" s="83" t="s">
        <v>363</v>
      </c>
      <c r="B35" s="260">
        <f>SUM(B31:B34)</f>
        <v>133334.05000000002</v>
      </c>
      <c r="C35" s="260">
        <f>SUM(C31:C34)</f>
        <v>149067.73</v>
      </c>
      <c r="D35" s="260">
        <f>SUM(D31:D34)</f>
        <v>155160.17</v>
      </c>
    </row>
    <row r="36" spans="1:4" ht="15.75">
      <c r="A36" s="100" t="s">
        <v>543</v>
      </c>
      <c r="B36" s="72"/>
      <c r="C36" s="72"/>
      <c r="D36" s="72"/>
    </row>
    <row r="37" spans="1:4" ht="15.75">
      <c r="A37" s="15" t="s">
        <v>308</v>
      </c>
      <c r="B37" s="14">
        <v>71759.38</v>
      </c>
      <c r="C37" s="14">
        <v>73292.14</v>
      </c>
      <c r="D37" s="14">
        <v>73702.16</v>
      </c>
    </row>
    <row r="38" spans="1:4" ht="15.75">
      <c r="A38" s="15" t="s">
        <v>401</v>
      </c>
      <c r="B38" s="14">
        <v>1538.34</v>
      </c>
      <c r="C38" s="14">
        <v>1922</v>
      </c>
      <c r="D38" s="14">
        <v>2047</v>
      </c>
    </row>
    <row r="39" spans="1:4" ht="15.75">
      <c r="A39" s="15" t="s">
        <v>402</v>
      </c>
      <c r="B39" s="14">
        <v>448</v>
      </c>
      <c r="C39" s="14">
        <v>750</v>
      </c>
      <c r="D39" s="14">
        <v>800</v>
      </c>
    </row>
    <row r="40" spans="1:4" ht="15.75">
      <c r="A40" s="15" t="s">
        <v>403</v>
      </c>
      <c r="B40" s="14">
        <v>0</v>
      </c>
      <c r="C40" s="14">
        <v>250</v>
      </c>
      <c r="D40" s="14">
        <v>500</v>
      </c>
    </row>
    <row r="41" spans="1:4" ht="15.75">
      <c r="A41" s="15"/>
      <c r="B41" s="14"/>
      <c r="C41" s="14"/>
      <c r="D41" s="14"/>
    </row>
    <row r="42" spans="1:4" ht="15.75">
      <c r="A42" s="83" t="s">
        <v>363</v>
      </c>
      <c r="B42" s="260">
        <f>SUM(B37:B40)</f>
        <v>73745.72</v>
      </c>
      <c r="C42" s="260">
        <f>SUM(C37:C40)</f>
        <v>76214.14</v>
      </c>
      <c r="D42" s="260">
        <f>SUM(D37:D40)</f>
        <v>77049.16</v>
      </c>
    </row>
    <row r="43" spans="1:4" ht="15.75">
      <c r="A43" s="100" t="s">
        <v>206</v>
      </c>
      <c r="B43" s="72"/>
      <c r="C43" s="72"/>
      <c r="D43" s="72"/>
    </row>
    <row r="44" spans="1:4" ht="15.75">
      <c r="A44" s="15" t="s">
        <v>308</v>
      </c>
      <c r="B44" s="14">
        <v>59811.28</v>
      </c>
      <c r="C44" s="14">
        <v>61335.67</v>
      </c>
      <c r="D44" s="14">
        <v>64688.09</v>
      </c>
    </row>
    <row r="45" spans="1:4" ht="15.75">
      <c r="A45" s="15" t="s">
        <v>401</v>
      </c>
      <c r="B45" s="14">
        <v>3672.05</v>
      </c>
      <c r="C45" s="14">
        <v>3002</v>
      </c>
      <c r="D45" s="14">
        <v>5502</v>
      </c>
    </row>
    <row r="46" spans="1:4" ht="15.75">
      <c r="A46" s="15" t="s">
        <v>402</v>
      </c>
      <c r="B46" s="14">
        <v>173.24</v>
      </c>
      <c r="C46" s="14">
        <v>250</v>
      </c>
      <c r="D46" s="14">
        <v>250</v>
      </c>
    </row>
    <row r="47" spans="1:4" ht="15.75">
      <c r="A47" s="15" t="s">
        <v>403</v>
      </c>
      <c r="B47" s="14">
        <v>0</v>
      </c>
      <c r="C47" s="14">
        <v>250</v>
      </c>
      <c r="D47" s="14">
        <v>250</v>
      </c>
    </row>
    <row r="48" spans="1:4" ht="15.75">
      <c r="A48" s="15"/>
      <c r="B48" s="14"/>
      <c r="C48" s="14"/>
      <c r="D48" s="14"/>
    </row>
    <row r="49" spans="1:4" ht="15.75">
      <c r="A49" s="83" t="s">
        <v>363</v>
      </c>
      <c r="B49" s="260">
        <f>SUM(B44:B48)</f>
        <v>63656.57</v>
      </c>
      <c r="C49" s="260">
        <f>SUM(C44:C47)</f>
        <v>64837.67</v>
      </c>
      <c r="D49" s="260">
        <f>SUM(D44:D47)</f>
        <v>70690.09</v>
      </c>
    </row>
    <row r="50" spans="1:4" ht="15.75">
      <c r="A50" s="100" t="s">
        <v>207</v>
      </c>
      <c r="B50" s="72"/>
      <c r="C50" s="72"/>
      <c r="D50" s="72"/>
    </row>
    <row r="51" spans="1:4" ht="15.75">
      <c r="A51" s="15" t="s">
        <v>308</v>
      </c>
      <c r="B51" s="14">
        <v>262266.68</v>
      </c>
      <c r="C51" s="14">
        <v>288351.7</v>
      </c>
      <c r="D51" s="14">
        <v>295307.95</v>
      </c>
    </row>
    <row r="52" spans="1:4" ht="15.75">
      <c r="A52" s="15" t="s">
        <v>401</v>
      </c>
      <c r="B52" s="14">
        <f>9114.79+905.42</f>
        <v>10020.210000000001</v>
      </c>
      <c r="C52" s="14">
        <f>51861+1400</f>
        <v>53261</v>
      </c>
      <c r="D52" s="14">
        <f>57515+1400</f>
        <v>58915</v>
      </c>
    </row>
    <row r="53" spans="1:4" ht="15.75">
      <c r="A53" s="15" t="s">
        <v>402</v>
      </c>
      <c r="B53" s="14">
        <v>30181.45</v>
      </c>
      <c r="C53" s="14">
        <v>38775</v>
      </c>
      <c r="D53" s="14">
        <v>40270</v>
      </c>
    </row>
    <row r="54" spans="1:4" ht="15.75">
      <c r="A54" s="15" t="s">
        <v>403</v>
      </c>
      <c r="B54" s="14">
        <v>426.22</v>
      </c>
      <c r="C54" s="14">
        <v>1000</v>
      </c>
      <c r="D54" s="14">
        <v>7500</v>
      </c>
    </row>
    <row r="55" spans="1:4" ht="15.75">
      <c r="A55" s="15"/>
      <c r="B55" s="14"/>
      <c r="C55" s="14"/>
      <c r="D55" s="14"/>
    </row>
    <row r="56" spans="1:4" ht="15.75">
      <c r="A56" s="83" t="s">
        <v>363</v>
      </c>
      <c r="B56" s="260">
        <f>SUM(B51:B54)</f>
        <v>302894.56</v>
      </c>
      <c r="C56" s="260">
        <f>SUM(C51:C54)</f>
        <v>381387.7</v>
      </c>
      <c r="D56" s="260">
        <f>SUM(D51:D54)</f>
        <v>401992.95</v>
      </c>
    </row>
    <row r="57" spans="1:4" ht="15.75">
      <c r="A57" s="100" t="s">
        <v>319</v>
      </c>
      <c r="B57" s="72"/>
      <c r="C57" s="72"/>
      <c r="D57" s="72"/>
    </row>
    <row r="58" spans="1:4" ht="15.75">
      <c r="A58" s="15" t="s">
        <v>308</v>
      </c>
      <c r="B58" s="14">
        <v>74572.72</v>
      </c>
      <c r="C58" s="14">
        <v>135096.27</v>
      </c>
      <c r="D58" s="14">
        <v>140231.9</v>
      </c>
    </row>
    <row r="59" spans="1:4" ht="15.75">
      <c r="A59" s="15" t="s">
        <v>401</v>
      </c>
      <c r="B59" s="14">
        <f>42783.57+39.98</f>
        <v>42823.55</v>
      </c>
      <c r="C59" s="14">
        <v>13750</v>
      </c>
      <c r="D59" s="14">
        <v>31700</v>
      </c>
    </row>
    <row r="60" spans="1:4" ht="15.75">
      <c r="A60" s="15" t="s">
        <v>402</v>
      </c>
      <c r="B60" s="14">
        <v>1387.86</v>
      </c>
      <c r="C60" s="14">
        <v>2100</v>
      </c>
      <c r="D60" s="14">
        <v>1850</v>
      </c>
    </row>
    <row r="61" spans="1:4" ht="15.75">
      <c r="A61" s="15" t="s">
        <v>403</v>
      </c>
      <c r="B61" s="14">
        <v>697.07</v>
      </c>
      <c r="C61" s="14">
        <v>700</v>
      </c>
      <c r="D61" s="14">
        <v>500</v>
      </c>
    </row>
    <row r="62" spans="1:4" ht="15.75">
      <c r="A62" s="15"/>
      <c r="B62" s="14"/>
      <c r="C62" s="14"/>
      <c r="D62" s="14"/>
    </row>
    <row r="63" spans="1:4" ht="15.75">
      <c r="A63" s="83" t="s">
        <v>363</v>
      </c>
      <c r="B63" s="260">
        <f>SUM(B58:B61)</f>
        <v>119481.20000000001</v>
      </c>
      <c r="C63" s="260">
        <f>SUM(C58:C61)</f>
        <v>151646.27</v>
      </c>
      <c r="D63" s="260">
        <f>SUM(D58:D61)</f>
        <v>174281.9</v>
      </c>
    </row>
    <row r="64" spans="1:4" ht="15.75">
      <c r="A64" s="21"/>
      <c r="B64" s="72"/>
      <c r="C64" s="72"/>
      <c r="D64" s="72"/>
    </row>
    <row r="65" spans="1:4" ht="16.5" thickBot="1">
      <c r="A65" s="83" t="s">
        <v>409</v>
      </c>
      <c r="B65" s="261">
        <f>B15+B22+B29+B35+B42+B49+B56+B63</f>
        <v>947494.9199999999</v>
      </c>
      <c r="C65" s="261">
        <f>C15+C22+C29+C35+C42+C49+C56+C63</f>
        <v>1089463.31</v>
      </c>
      <c r="D65" s="261">
        <f>D15+D22+D29+D35+D42+D49+D56+D63</f>
        <v>1160170.3599999999</v>
      </c>
    </row>
    <row r="66" spans="1:4" ht="16.5" thickTop="1">
      <c r="A66" s="21"/>
      <c r="B66" s="72"/>
      <c r="C66" s="72"/>
      <c r="D66" s="72"/>
    </row>
    <row r="67" spans="1:4" ht="15.75">
      <c r="A67" s="23" t="s">
        <v>408</v>
      </c>
      <c r="B67" s="99" t="s">
        <v>548</v>
      </c>
      <c r="C67" s="72"/>
      <c r="D67" s="72"/>
    </row>
  </sheetData>
  <sheetProtection/>
  <printOptions/>
  <pageMargins left="0.5" right="0.5" top="1" bottom="0.5" header="0.5" footer="0.5"/>
  <pageSetup blackAndWhite="1" fitToHeight="1" fitToWidth="1" horizontalDpi="300" verticalDpi="300" orientation="portrait" scale="65" r:id="rId1"/>
  <headerFooter alignWithMargins="0">
    <oddHeader>&amp;RState of Kansas
Coffeyville</oddHeader>
    <oddFooter>&amp;Lrevised 8/06/07</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view="pageBreakPreview" zoomScaleSheetLayoutView="100" zoomScalePageLayoutView="0" workbookViewId="0" topLeftCell="A1">
      <selection activeCell="D62" sqref="D62"/>
    </sheetView>
  </sheetViews>
  <sheetFormatPr defaultColWidth="8.796875" defaultRowHeight="15"/>
  <cols>
    <col min="1" max="1" width="28.296875" style="2" customWidth="1"/>
    <col min="2" max="3" width="16.3984375" style="2" customWidth="1"/>
    <col min="4" max="4" width="16.3984375" style="2" bestFit="1" customWidth="1"/>
    <col min="5" max="16384" width="8.8984375" style="2" customWidth="1"/>
  </cols>
  <sheetData>
    <row r="1" spans="1:4" ht="15.75">
      <c r="A1" s="72" t="str">
        <f>inputPrYr!D2</f>
        <v>City of Coffeyville</v>
      </c>
      <c r="B1" s="21"/>
      <c r="C1" s="92"/>
      <c r="D1" s="21">
        <f>inputPrYr!C5</f>
        <v>2012</v>
      </c>
    </row>
    <row r="2" spans="1:4" ht="15.75">
      <c r="A2" s="21"/>
      <c r="B2" s="21"/>
      <c r="C2" s="21"/>
      <c r="D2" s="92"/>
    </row>
    <row r="3" spans="1:4" ht="15.75">
      <c r="A3" s="90" t="s">
        <v>467</v>
      </c>
      <c r="B3" s="98"/>
      <c r="C3" s="98"/>
      <c r="D3" s="98"/>
    </row>
    <row r="4" spans="1:4" ht="15.75">
      <c r="A4" s="92" t="s">
        <v>391</v>
      </c>
      <c r="B4" s="93" t="s">
        <v>412</v>
      </c>
      <c r="C4" s="33" t="s">
        <v>556</v>
      </c>
      <c r="D4" s="33" t="s">
        <v>557</v>
      </c>
    </row>
    <row r="5" spans="1:4" ht="15.75">
      <c r="A5" s="20" t="s">
        <v>309</v>
      </c>
      <c r="B5" s="145">
        <f>D1-2</f>
        <v>2010</v>
      </c>
      <c r="C5" s="145">
        <f>D1-1</f>
        <v>2011</v>
      </c>
      <c r="D5" s="145">
        <f>D1</f>
        <v>2012</v>
      </c>
    </row>
    <row r="6" spans="1:4" ht="15.75">
      <c r="A6" s="83" t="s">
        <v>400</v>
      </c>
      <c r="B6" s="40"/>
      <c r="C6" s="40"/>
      <c r="D6" s="40"/>
    </row>
    <row r="7" spans="1:4" ht="15.75">
      <c r="A7" s="101" t="s">
        <v>208</v>
      </c>
      <c r="B7" s="40"/>
      <c r="C7" s="40"/>
      <c r="D7" s="40"/>
    </row>
    <row r="8" spans="1:4" ht="15.75">
      <c r="A8" s="15" t="s">
        <v>308</v>
      </c>
      <c r="B8" s="14">
        <v>71696.34</v>
      </c>
      <c r="C8" s="14">
        <v>73292.14</v>
      </c>
      <c r="D8" s="14">
        <v>73702.16</v>
      </c>
    </row>
    <row r="9" spans="1:4" ht="15.75">
      <c r="A9" s="15" t="s">
        <v>401</v>
      </c>
      <c r="B9" s="14">
        <v>634.5</v>
      </c>
      <c r="C9" s="14">
        <v>1075</v>
      </c>
      <c r="D9" s="14">
        <v>1375</v>
      </c>
    </row>
    <row r="10" spans="1:4" ht="15.75">
      <c r="A10" s="15" t="s">
        <v>402</v>
      </c>
      <c r="B10" s="14">
        <v>1398.58</v>
      </c>
      <c r="C10" s="14">
        <v>1500</v>
      </c>
      <c r="D10" s="14">
        <v>1600</v>
      </c>
    </row>
    <row r="11" spans="1:4" ht="15.75">
      <c r="A11" s="15" t="s">
        <v>403</v>
      </c>
      <c r="B11" s="14">
        <v>327.89</v>
      </c>
      <c r="C11" s="14">
        <v>0</v>
      </c>
      <c r="D11" s="14">
        <v>250</v>
      </c>
    </row>
    <row r="12" spans="1:4" ht="15.75">
      <c r="A12" s="15"/>
      <c r="B12" s="14"/>
      <c r="C12" s="14"/>
      <c r="D12" s="14"/>
    </row>
    <row r="13" spans="1:4" ht="15.75">
      <c r="A13" s="8"/>
      <c r="B13" s="14"/>
      <c r="C13" s="14"/>
      <c r="D13" s="14"/>
    </row>
    <row r="14" spans="1:4" ht="15.75">
      <c r="A14" s="8"/>
      <c r="B14" s="14"/>
      <c r="C14" s="14"/>
      <c r="D14" s="14"/>
    </row>
    <row r="15" spans="1:4" ht="15.75">
      <c r="A15" s="83" t="s">
        <v>363</v>
      </c>
      <c r="B15" s="260">
        <f>SUM(B8:B14)</f>
        <v>74057.31</v>
      </c>
      <c r="C15" s="260">
        <f>SUM(C8:C14)</f>
        <v>75867.14</v>
      </c>
      <c r="D15" s="260">
        <f>SUM(D8:D14)</f>
        <v>76927.16</v>
      </c>
    </row>
    <row r="16" spans="1:4" ht="15.75">
      <c r="A16" s="100" t="s">
        <v>209</v>
      </c>
      <c r="B16" s="72"/>
      <c r="C16" s="72"/>
      <c r="D16" s="72"/>
    </row>
    <row r="17" spans="1:4" ht="15.75">
      <c r="A17" s="15" t="s">
        <v>308</v>
      </c>
      <c r="B17" s="14">
        <v>2133644.66</v>
      </c>
      <c r="C17" s="14">
        <v>2244422</v>
      </c>
      <c r="D17" s="14">
        <v>2292173.29</v>
      </c>
    </row>
    <row r="18" spans="1:4" ht="15.75">
      <c r="A18" s="15" t="s">
        <v>401</v>
      </c>
      <c r="B18" s="14">
        <f>33315.39+36744.6</f>
        <v>70059.98999999999</v>
      </c>
      <c r="C18" s="14">
        <f>39975+28000</f>
        <v>67975</v>
      </c>
      <c r="D18" s="14">
        <f>53200+31750</f>
        <v>84950</v>
      </c>
    </row>
    <row r="19" spans="1:4" ht="15.75">
      <c r="A19" s="15" t="s">
        <v>402</v>
      </c>
      <c r="B19" s="14">
        <v>82102.97</v>
      </c>
      <c r="C19" s="14">
        <v>83000</v>
      </c>
      <c r="D19" s="14">
        <v>100250</v>
      </c>
    </row>
    <row r="20" spans="1:4" ht="15.75">
      <c r="A20" s="15" t="s">
        <v>403</v>
      </c>
      <c r="B20" s="14">
        <v>8837.71</v>
      </c>
      <c r="C20" s="14">
        <v>10750</v>
      </c>
      <c r="D20" s="14">
        <v>36500</v>
      </c>
    </row>
    <row r="21" spans="1:4" ht="15.75">
      <c r="A21" s="15"/>
      <c r="B21" s="14"/>
      <c r="C21" s="14"/>
      <c r="D21" s="14"/>
    </row>
    <row r="22" spans="1:4" ht="15.75">
      <c r="A22" s="83" t="s">
        <v>363</v>
      </c>
      <c r="B22" s="260">
        <f>SUM(B17:B20)</f>
        <v>2294645.3300000005</v>
      </c>
      <c r="C22" s="260">
        <f>SUM(C17:C20)</f>
        <v>2406147</v>
      </c>
      <c r="D22" s="260">
        <f>SUM(D17:D20)</f>
        <v>2513873.29</v>
      </c>
    </row>
    <row r="23" spans="1:4" ht="15.75">
      <c r="A23" s="100" t="s">
        <v>219</v>
      </c>
      <c r="B23" s="72"/>
      <c r="C23" s="72"/>
      <c r="D23" s="72"/>
    </row>
    <row r="24" spans="1:4" ht="15.75">
      <c r="A24" s="15" t="s">
        <v>308</v>
      </c>
      <c r="B24" s="14">
        <v>54485.33</v>
      </c>
      <c r="C24" s="14">
        <v>48839.93</v>
      </c>
      <c r="D24" s="14">
        <v>50922</v>
      </c>
    </row>
    <row r="25" spans="1:4" ht="15.75">
      <c r="A25" s="15" t="s">
        <v>401</v>
      </c>
      <c r="B25" s="14">
        <f>5719.43+2703.88</f>
        <v>8423.310000000001</v>
      </c>
      <c r="C25" s="14">
        <f>20175+4100</f>
        <v>24275</v>
      </c>
      <c r="D25" s="14">
        <f>20210+5200</f>
        <v>25410</v>
      </c>
    </row>
    <row r="26" spans="1:4" ht="15.75">
      <c r="A26" s="15" t="s">
        <v>402</v>
      </c>
      <c r="B26" s="14">
        <v>3738.38</v>
      </c>
      <c r="C26" s="14">
        <v>3920</v>
      </c>
      <c r="D26" s="14">
        <v>5000</v>
      </c>
    </row>
    <row r="27" spans="1:4" ht="15.75">
      <c r="A27" s="15" t="s">
        <v>403</v>
      </c>
      <c r="B27" s="14">
        <v>179.99</v>
      </c>
      <c r="C27" s="14">
        <v>1500</v>
      </c>
      <c r="D27" s="14">
        <v>1600</v>
      </c>
    </row>
    <row r="28" spans="1:4" ht="15.75">
      <c r="A28" s="15"/>
      <c r="B28" s="14"/>
      <c r="C28" s="14"/>
      <c r="D28" s="14"/>
    </row>
    <row r="29" spans="1:4" ht="15.75">
      <c r="A29" s="83" t="s">
        <v>363</v>
      </c>
      <c r="B29" s="260">
        <f>SUM(B24:B27)</f>
        <v>66827.01000000001</v>
      </c>
      <c r="C29" s="260">
        <f>SUM(C24:C27)</f>
        <v>78534.93</v>
      </c>
      <c r="D29" s="260">
        <f>SUM(D24:D27)</f>
        <v>82932</v>
      </c>
    </row>
    <row r="30" spans="1:4" ht="15.75">
      <c r="A30" s="100" t="s">
        <v>220</v>
      </c>
      <c r="B30" s="72"/>
      <c r="C30" s="72"/>
      <c r="D30" s="72"/>
    </row>
    <row r="31" spans="1:4" ht="15.75">
      <c r="A31" s="15" t="s">
        <v>308</v>
      </c>
      <c r="B31" s="14">
        <v>1387131.66</v>
      </c>
      <c r="C31" s="14">
        <v>1383252.52</v>
      </c>
      <c r="D31" s="14">
        <v>1447264.9</v>
      </c>
    </row>
    <row r="32" spans="1:4" ht="15.75">
      <c r="A32" s="15" t="s">
        <v>401</v>
      </c>
      <c r="B32" s="14">
        <f>26711.32+33877.42</f>
        <v>60588.74</v>
      </c>
      <c r="C32" s="14">
        <f>33550+24500</f>
        <v>58050</v>
      </c>
      <c r="D32" s="14">
        <f>39780+18500</f>
        <v>58280</v>
      </c>
    </row>
    <row r="33" spans="1:4" ht="15.75">
      <c r="A33" s="15" t="s">
        <v>402</v>
      </c>
      <c r="B33" s="14">
        <v>37425</v>
      </c>
      <c r="C33" s="14">
        <v>41690</v>
      </c>
      <c r="D33" s="14">
        <v>41800</v>
      </c>
    </row>
    <row r="34" spans="1:4" ht="15.75">
      <c r="A34" s="15" t="s">
        <v>403</v>
      </c>
      <c r="B34" s="14">
        <v>12240.37</v>
      </c>
      <c r="C34" s="14">
        <v>13000</v>
      </c>
      <c r="D34" s="14">
        <v>15000</v>
      </c>
    </row>
    <row r="35" spans="1:4" ht="15.75">
      <c r="A35" s="83" t="s">
        <v>363</v>
      </c>
      <c r="B35" s="260">
        <f>SUM(B31:B34)</f>
        <v>1497385.77</v>
      </c>
      <c r="C35" s="260">
        <f>SUM(C31:C34)</f>
        <v>1495992.52</v>
      </c>
      <c r="D35" s="260">
        <f>SUM(D31:D34)</f>
        <v>1562344.9</v>
      </c>
    </row>
    <row r="36" spans="1:4" ht="15.75">
      <c r="A36" s="100" t="s">
        <v>10</v>
      </c>
      <c r="B36" s="72"/>
      <c r="C36" s="72"/>
      <c r="D36" s="72"/>
    </row>
    <row r="37" spans="1:4" ht="15.75">
      <c r="A37" s="15" t="s">
        <v>308</v>
      </c>
      <c r="B37" s="14">
        <v>141167.18</v>
      </c>
      <c r="C37" s="14">
        <v>103474.96</v>
      </c>
      <c r="D37" s="14">
        <v>104684.91</v>
      </c>
    </row>
    <row r="38" spans="1:4" ht="15.75">
      <c r="A38" s="15" t="s">
        <v>401</v>
      </c>
      <c r="B38" s="14">
        <f>19498.94+33.08</f>
        <v>19532.02</v>
      </c>
      <c r="C38" s="14">
        <f>19900+250</f>
        <v>20150</v>
      </c>
      <c r="D38" s="14">
        <f>21990+1000</f>
        <v>22990</v>
      </c>
    </row>
    <row r="39" spans="1:4" ht="15.75">
      <c r="A39" s="15" t="s">
        <v>402</v>
      </c>
      <c r="B39" s="14">
        <v>3941.71</v>
      </c>
      <c r="C39" s="14">
        <v>3400</v>
      </c>
      <c r="D39" s="14">
        <v>4200</v>
      </c>
    </row>
    <row r="40" spans="1:4" ht="15.75">
      <c r="A40" s="15" t="s">
        <v>403</v>
      </c>
      <c r="B40" s="14">
        <v>1060.72</v>
      </c>
      <c r="C40" s="14">
        <v>0</v>
      </c>
      <c r="D40" s="14">
        <v>500</v>
      </c>
    </row>
    <row r="41" spans="1:4" ht="15.75">
      <c r="A41" s="15"/>
      <c r="B41" s="14"/>
      <c r="C41" s="14"/>
      <c r="D41" s="14"/>
    </row>
    <row r="42" spans="1:4" ht="15.75">
      <c r="A42" s="83" t="s">
        <v>363</v>
      </c>
      <c r="B42" s="260">
        <f>SUM(B37:B40)</f>
        <v>165701.62999999998</v>
      </c>
      <c r="C42" s="260">
        <f>SUM(C37:C40)</f>
        <v>127024.96</v>
      </c>
      <c r="D42" s="260">
        <f>SUM(D37:D41)</f>
        <v>132374.91</v>
      </c>
    </row>
    <row r="43" spans="1:4" ht="15.75">
      <c r="A43" s="100" t="s">
        <v>221</v>
      </c>
      <c r="B43" s="72"/>
      <c r="C43" s="72"/>
      <c r="D43" s="72"/>
    </row>
    <row r="44" spans="1:4" ht="15.75">
      <c r="A44" s="15" t="s">
        <v>308</v>
      </c>
      <c r="B44" s="14">
        <v>285427.93</v>
      </c>
      <c r="C44" s="14">
        <v>295302.48</v>
      </c>
      <c r="D44" s="14">
        <v>302201.93</v>
      </c>
    </row>
    <row r="45" spans="1:4" ht="15.75">
      <c r="A45" s="15" t="s">
        <v>401</v>
      </c>
      <c r="B45" s="14">
        <f>19171.45+315.5</f>
        <v>19486.95</v>
      </c>
      <c r="C45" s="14">
        <f>7595+1200</f>
        <v>8795</v>
      </c>
      <c r="D45" s="14">
        <f>10760+900</f>
        <v>11660</v>
      </c>
    </row>
    <row r="46" spans="1:4" ht="15.75">
      <c r="A46" s="15" t="s">
        <v>402</v>
      </c>
      <c r="B46" s="14">
        <v>7339.77</v>
      </c>
      <c r="C46" s="14">
        <v>10750</v>
      </c>
      <c r="D46" s="14">
        <v>12150</v>
      </c>
    </row>
    <row r="47" spans="1:4" ht="15.75">
      <c r="A47" s="15" t="s">
        <v>403</v>
      </c>
      <c r="B47" s="14">
        <v>3796.07</v>
      </c>
      <c r="C47" s="14">
        <v>2200</v>
      </c>
      <c r="D47" s="14">
        <v>2200</v>
      </c>
    </row>
    <row r="48" spans="1:4" ht="15.75">
      <c r="A48" s="15"/>
      <c r="B48" s="14"/>
      <c r="C48" s="14"/>
      <c r="D48" s="14"/>
    </row>
    <row r="49" spans="1:4" ht="15.75">
      <c r="A49" s="83" t="s">
        <v>363</v>
      </c>
      <c r="B49" s="260">
        <f>SUM(B44:B47)</f>
        <v>316050.72000000003</v>
      </c>
      <c r="C49" s="260">
        <f>SUM(C44:C47)</f>
        <v>317047.48</v>
      </c>
      <c r="D49" s="260">
        <f>SUM(D44:D47)</f>
        <v>328211.93</v>
      </c>
    </row>
    <row r="50" spans="1:4" ht="15.75">
      <c r="A50" s="100" t="s">
        <v>196</v>
      </c>
      <c r="B50" s="72"/>
      <c r="C50" s="72"/>
      <c r="D50" s="72"/>
    </row>
    <row r="51" spans="1:4" ht="15.75">
      <c r="A51" s="15" t="s">
        <v>308</v>
      </c>
      <c r="B51" s="14">
        <v>111309.48</v>
      </c>
      <c r="C51" s="14">
        <v>121352.98</v>
      </c>
      <c r="D51" s="14">
        <v>122176.04</v>
      </c>
    </row>
    <row r="52" spans="1:4" ht="15.75">
      <c r="A52" s="15" t="s">
        <v>401</v>
      </c>
      <c r="B52" s="14">
        <f>3626.06+12.51</f>
        <v>3638.57</v>
      </c>
      <c r="C52" s="14">
        <f>4922+500</f>
        <v>5422</v>
      </c>
      <c r="D52" s="14">
        <f>4872+500</f>
        <v>5372</v>
      </c>
    </row>
    <row r="53" spans="1:4" ht="15.75">
      <c r="A53" s="15" t="s">
        <v>402</v>
      </c>
      <c r="B53" s="14">
        <v>1145.11</v>
      </c>
      <c r="C53" s="14">
        <v>2325</v>
      </c>
      <c r="D53" s="14">
        <v>2325</v>
      </c>
    </row>
    <row r="54" spans="1:4" ht="15.75">
      <c r="A54" s="15" t="s">
        <v>403</v>
      </c>
      <c r="B54" s="14">
        <v>4605.92</v>
      </c>
      <c r="C54" s="14">
        <v>200</v>
      </c>
      <c r="D54" s="14">
        <v>200</v>
      </c>
    </row>
    <row r="55" spans="1:4" ht="15.75">
      <c r="A55" s="15"/>
      <c r="B55" s="14"/>
      <c r="C55" s="14"/>
      <c r="D55" s="14"/>
    </row>
    <row r="56" spans="1:4" ht="15.75">
      <c r="A56" s="83" t="s">
        <v>363</v>
      </c>
      <c r="B56" s="260">
        <f>SUM(B51:B54)</f>
        <v>120699.08</v>
      </c>
      <c r="C56" s="260">
        <f>SUM(C51:C54)</f>
        <v>129299.98</v>
      </c>
      <c r="D56" s="260">
        <f>SUM(D51:D54)</f>
        <v>130073.04</v>
      </c>
    </row>
    <row r="57" spans="1:4" ht="15.75">
      <c r="A57" s="100" t="s">
        <v>222</v>
      </c>
      <c r="B57" s="72"/>
      <c r="C57" s="72"/>
      <c r="D57" s="72"/>
    </row>
    <row r="58" spans="1:4" ht="15.75">
      <c r="A58" s="15" t="s">
        <v>308</v>
      </c>
      <c r="B58" s="14">
        <v>41932.42</v>
      </c>
      <c r="C58" s="14">
        <v>44515.82</v>
      </c>
      <c r="D58" s="14">
        <v>45205.37</v>
      </c>
    </row>
    <row r="59" spans="1:4" ht="15.75">
      <c r="A59" s="15" t="s">
        <v>401</v>
      </c>
      <c r="B59" s="14">
        <f>4518.24+2206.95</f>
        <v>6725.19</v>
      </c>
      <c r="C59" s="14">
        <f>3700+5600</f>
        <v>9300</v>
      </c>
      <c r="D59" s="14">
        <f>4700+5600</f>
        <v>10300</v>
      </c>
    </row>
    <row r="60" spans="1:4" ht="15.75">
      <c r="A60" s="15" t="s">
        <v>402</v>
      </c>
      <c r="B60" s="14">
        <v>4144.39</v>
      </c>
      <c r="C60" s="14">
        <v>6500</v>
      </c>
      <c r="D60" s="14">
        <v>6600</v>
      </c>
    </row>
    <row r="61" spans="1:4" ht="15.75">
      <c r="A61" s="15" t="s">
        <v>403</v>
      </c>
      <c r="B61" s="14">
        <v>2094.14</v>
      </c>
      <c r="C61" s="14">
        <v>5000</v>
      </c>
      <c r="D61" s="14">
        <v>5000</v>
      </c>
    </row>
    <row r="62" spans="1:4" ht="15.75">
      <c r="A62" s="15"/>
      <c r="B62" s="14"/>
      <c r="C62" s="14"/>
      <c r="D62" s="14"/>
    </row>
    <row r="63" spans="1:4" ht="15.75">
      <c r="A63" s="83" t="s">
        <v>363</v>
      </c>
      <c r="B63" s="260">
        <f>SUM(B58:B61)</f>
        <v>54896.14</v>
      </c>
      <c r="C63" s="260">
        <f>SUM(C58:C61)</f>
        <v>65315.82</v>
      </c>
      <c r="D63" s="260">
        <f>SUM(D58:D61)</f>
        <v>67105.37</v>
      </c>
    </row>
    <row r="64" spans="1:4" ht="15.75">
      <c r="A64" s="21"/>
      <c r="B64" s="72"/>
      <c r="C64" s="72"/>
      <c r="D64" s="72"/>
    </row>
    <row r="65" spans="1:4" ht="16.5" thickBot="1">
      <c r="A65" s="83" t="s">
        <v>409</v>
      </c>
      <c r="B65" s="261">
        <f>B15+B22+B29+B35+B42+B49+B56+B63</f>
        <v>4590262.99</v>
      </c>
      <c r="C65" s="261">
        <f>C15+C22+C29+C35+C42+C49+C56+C63</f>
        <v>4695229.830000001</v>
      </c>
      <c r="D65" s="261">
        <f>D15+D22+D29+D35+D42+D49+D56+D63</f>
        <v>4893842.6</v>
      </c>
    </row>
    <row r="66" spans="1:4" ht="16.5" thickTop="1">
      <c r="A66" s="21"/>
      <c r="B66" s="72"/>
      <c r="C66" s="72"/>
      <c r="D66" s="72"/>
    </row>
    <row r="67" spans="1:4" ht="15.75">
      <c r="A67" s="23" t="s">
        <v>408</v>
      </c>
      <c r="B67" s="99" t="s">
        <v>233</v>
      </c>
      <c r="C67" s="72"/>
      <c r="D67" s="72"/>
    </row>
  </sheetData>
  <sheetProtection/>
  <printOptions/>
  <pageMargins left="0.5" right="0.5" top="1" bottom="0.5" header="0.5" footer="0.5"/>
  <pageSetup blackAndWhite="1" fitToHeight="1" fitToWidth="1" horizontalDpi="600" verticalDpi="600" orientation="portrait" scale="65" r:id="rId1"/>
  <headerFooter alignWithMargins="0">
    <oddHeader>&amp;RState of Kansas
Coffeyville</oddHeader>
    <oddFooter>&amp;Lrevised 8/06/07</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view="pageBreakPreview" zoomScaleSheetLayoutView="100" zoomScalePageLayoutView="0" workbookViewId="0" topLeftCell="A1">
      <selection activeCell="D63" sqref="D63"/>
    </sheetView>
  </sheetViews>
  <sheetFormatPr defaultColWidth="8.796875" defaultRowHeight="15"/>
  <cols>
    <col min="1" max="1" width="28.296875" style="2" customWidth="1"/>
    <col min="2" max="3" width="16.3984375" style="2" customWidth="1"/>
    <col min="4" max="4" width="16.3984375" style="2" bestFit="1" customWidth="1"/>
    <col min="5" max="16384" width="8.8984375" style="2" customWidth="1"/>
  </cols>
  <sheetData>
    <row r="1" spans="1:4" ht="15.75">
      <c r="A1" s="72" t="str">
        <f>inputPrYr!D2</f>
        <v>City of Coffeyville</v>
      </c>
      <c r="B1" s="21"/>
      <c r="C1" s="92"/>
      <c r="D1" s="21">
        <f>inputPrYr!C5</f>
        <v>2012</v>
      </c>
    </row>
    <row r="2" spans="1:4" ht="15.75">
      <c r="A2" s="21"/>
      <c r="B2" s="21"/>
      <c r="C2" s="21"/>
      <c r="D2" s="92"/>
    </row>
    <row r="3" spans="1:4" ht="15.75">
      <c r="A3" s="90" t="s">
        <v>467</v>
      </c>
      <c r="B3" s="98"/>
      <c r="C3" s="98"/>
      <c r="D3" s="98"/>
    </row>
    <row r="4" spans="1:4" ht="15.75">
      <c r="A4" s="92" t="s">
        <v>391</v>
      </c>
      <c r="B4" s="93" t="s">
        <v>412</v>
      </c>
      <c r="C4" s="33" t="s">
        <v>556</v>
      </c>
      <c r="D4" s="33" t="s">
        <v>557</v>
      </c>
    </row>
    <row r="5" spans="1:4" ht="15.75">
      <c r="A5" s="20" t="s">
        <v>309</v>
      </c>
      <c r="B5" s="145">
        <f>D1-2</f>
        <v>2010</v>
      </c>
      <c r="C5" s="145">
        <f>D1-1</f>
        <v>2011</v>
      </c>
      <c r="D5" s="145">
        <f>D1</f>
        <v>2012</v>
      </c>
    </row>
    <row r="6" spans="1:4" ht="15.75">
      <c r="A6" s="83" t="s">
        <v>400</v>
      </c>
      <c r="B6" s="40"/>
      <c r="C6" s="40"/>
      <c r="D6" s="40"/>
    </row>
    <row r="7" spans="1:4" ht="15.75">
      <c r="A7" s="101" t="s">
        <v>223</v>
      </c>
      <c r="B7" s="40"/>
      <c r="C7" s="40"/>
      <c r="D7" s="40"/>
    </row>
    <row r="8" spans="1:4" ht="15.75">
      <c r="A8" s="15" t="s">
        <v>308</v>
      </c>
      <c r="B8" s="14">
        <v>0</v>
      </c>
      <c r="C8" s="14">
        <v>0</v>
      </c>
      <c r="D8" s="14">
        <v>0</v>
      </c>
    </row>
    <row r="9" spans="1:4" ht="15.75">
      <c r="A9" s="15" t="s">
        <v>401</v>
      </c>
      <c r="B9" s="14">
        <f>190+1452.84</f>
        <v>1642.84</v>
      </c>
      <c r="C9" s="14">
        <f>300+2000</f>
        <v>2300</v>
      </c>
      <c r="D9" s="14">
        <f>300+5000</f>
        <v>5300</v>
      </c>
    </row>
    <row r="10" spans="1:4" ht="15.75">
      <c r="A10" s="15" t="s">
        <v>402</v>
      </c>
      <c r="B10" s="14">
        <v>250.28</v>
      </c>
      <c r="C10" s="14">
        <v>16800</v>
      </c>
      <c r="D10" s="14">
        <v>10450</v>
      </c>
    </row>
    <row r="11" spans="1:4" ht="15.75">
      <c r="A11" s="15" t="s">
        <v>403</v>
      </c>
      <c r="B11" s="14">
        <v>0</v>
      </c>
      <c r="C11" s="14">
        <v>3600</v>
      </c>
      <c r="D11" s="14">
        <v>0</v>
      </c>
    </row>
    <row r="12" spans="1:4" ht="15.75">
      <c r="A12" s="15"/>
      <c r="B12" s="14"/>
      <c r="C12" s="14"/>
      <c r="D12" s="14"/>
    </row>
    <row r="13" spans="1:4" ht="15.75">
      <c r="A13" s="8"/>
      <c r="B13" s="14"/>
      <c r="C13" s="14"/>
      <c r="D13" s="14"/>
    </row>
    <row r="14" spans="1:4" ht="15.75">
      <c r="A14" s="8"/>
      <c r="B14" s="14"/>
      <c r="C14" s="14"/>
      <c r="D14" s="14"/>
    </row>
    <row r="15" spans="1:4" ht="15.75">
      <c r="A15" s="83" t="s">
        <v>363</v>
      </c>
      <c r="B15" s="260">
        <f>SUM(B8:B14)</f>
        <v>1893.12</v>
      </c>
      <c r="C15" s="260">
        <f>SUM(C8:C14)</f>
        <v>22700</v>
      </c>
      <c r="D15" s="260">
        <f>SUM(D8:D14)</f>
        <v>15750</v>
      </c>
    </row>
    <row r="16" spans="1:4" ht="15.75">
      <c r="A16" s="100" t="s">
        <v>224</v>
      </c>
      <c r="B16" s="72"/>
      <c r="C16" s="72"/>
      <c r="D16" s="72"/>
    </row>
    <row r="17" spans="1:4" ht="15.75">
      <c r="A17" s="15" t="s">
        <v>308</v>
      </c>
      <c r="B17" s="14">
        <v>0</v>
      </c>
      <c r="C17" s="14">
        <v>0</v>
      </c>
      <c r="D17" s="14">
        <v>0</v>
      </c>
    </row>
    <row r="18" spans="1:4" ht="15.75">
      <c r="A18" s="15" t="s">
        <v>401</v>
      </c>
      <c r="B18" s="14">
        <f>95588.62+0</f>
        <v>95588.62</v>
      </c>
      <c r="C18" s="14">
        <v>105500</v>
      </c>
      <c r="D18" s="14">
        <v>119300</v>
      </c>
    </row>
    <row r="19" spans="1:4" ht="15.75">
      <c r="A19" s="15" t="s">
        <v>402</v>
      </c>
      <c r="B19" s="14">
        <v>19645.31</v>
      </c>
      <c r="C19" s="14">
        <v>20600</v>
      </c>
      <c r="D19" s="14">
        <v>20600</v>
      </c>
    </row>
    <row r="20" spans="1:4" ht="15.75">
      <c r="A20" s="15" t="s">
        <v>403</v>
      </c>
      <c r="B20" s="14">
        <v>1500</v>
      </c>
      <c r="C20" s="14">
        <v>3395</v>
      </c>
      <c r="D20" s="14">
        <v>1700</v>
      </c>
    </row>
    <row r="21" spans="1:4" ht="15.75">
      <c r="A21" s="15"/>
      <c r="B21" s="14"/>
      <c r="C21" s="14"/>
      <c r="D21" s="14"/>
    </row>
    <row r="22" spans="1:4" ht="15.75">
      <c r="A22" s="83" t="s">
        <v>363</v>
      </c>
      <c r="B22" s="260">
        <f>SUM(B17:B20)</f>
        <v>116733.93</v>
      </c>
      <c r="C22" s="260">
        <f>SUM(C17:C20)</f>
        <v>129495</v>
      </c>
      <c r="D22" s="260">
        <f>SUM(D17:D20)</f>
        <v>141600</v>
      </c>
    </row>
    <row r="23" spans="1:4" ht="15.75">
      <c r="A23" s="100" t="s">
        <v>225</v>
      </c>
      <c r="B23" s="72"/>
      <c r="C23" s="72"/>
      <c r="D23" s="72"/>
    </row>
    <row r="24" spans="1:4" ht="15.75">
      <c r="A24" s="15" t="s">
        <v>308</v>
      </c>
      <c r="B24" s="14">
        <v>0</v>
      </c>
      <c r="C24" s="14">
        <v>0</v>
      </c>
      <c r="D24" s="14">
        <v>0</v>
      </c>
    </row>
    <row r="25" spans="1:4" ht="15.75">
      <c r="A25" s="15" t="s">
        <v>401</v>
      </c>
      <c r="B25" s="14">
        <v>1266.43</v>
      </c>
      <c r="C25" s="14">
        <v>3950</v>
      </c>
      <c r="D25" s="14">
        <v>3950</v>
      </c>
    </row>
    <row r="26" spans="1:4" ht="15.75">
      <c r="A26" s="15" t="s">
        <v>402</v>
      </c>
      <c r="B26" s="14">
        <v>0</v>
      </c>
      <c r="C26" s="14">
        <v>0</v>
      </c>
      <c r="D26" s="14">
        <v>0</v>
      </c>
    </row>
    <row r="27" spans="1:4" ht="15.75">
      <c r="A27" s="15" t="s">
        <v>403</v>
      </c>
      <c r="B27" s="14">
        <v>0</v>
      </c>
      <c r="C27" s="14">
        <v>0</v>
      </c>
      <c r="D27" s="14">
        <v>0</v>
      </c>
    </row>
    <row r="28" spans="1:4" ht="15.75">
      <c r="A28" s="15"/>
      <c r="B28" s="14"/>
      <c r="C28" s="14"/>
      <c r="D28" s="14"/>
    </row>
    <row r="29" spans="1:4" ht="15.75">
      <c r="A29" s="83" t="s">
        <v>363</v>
      </c>
      <c r="B29" s="260">
        <f>SUM(B24:B27)</f>
        <v>1266.43</v>
      </c>
      <c r="C29" s="260">
        <f>SUM(C24:C27)</f>
        <v>3950</v>
      </c>
      <c r="D29" s="260">
        <f>SUM(D24:D27)</f>
        <v>3950</v>
      </c>
    </row>
    <row r="30" spans="1:4" ht="15.75">
      <c r="A30" s="100" t="s">
        <v>226</v>
      </c>
      <c r="B30" s="72"/>
      <c r="C30" s="72"/>
      <c r="D30" s="72"/>
    </row>
    <row r="31" spans="1:4" ht="15.75">
      <c r="A31" s="15" t="s">
        <v>308</v>
      </c>
      <c r="B31" s="14">
        <v>0</v>
      </c>
      <c r="C31" s="14">
        <v>0</v>
      </c>
      <c r="D31" s="14">
        <v>0</v>
      </c>
    </row>
    <row r="32" spans="1:4" ht="15.75">
      <c r="A32" s="15" t="s">
        <v>401</v>
      </c>
      <c r="B32" s="14">
        <f>16105.58+1661.66</f>
        <v>17767.24</v>
      </c>
      <c r="C32" s="14">
        <f>17200+500</f>
        <v>17700</v>
      </c>
      <c r="D32" s="14">
        <f>18200+500</f>
        <v>18700</v>
      </c>
    </row>
    <row r="33" spans="1:4" ht="15.75">
      <c r="A33" s="15" t="s">
        <v>402</v>
      </c>
      <c r="B33" s="14">
        <v>146.74</v>
      </c>
      <c r="C33" s="14">
        <v>100</v>
      </c>
      <c r="D33" s="14">
        <v>100</v>
      </c>
    </row>
    <row r="34" spans="1:4" ht="15.75">
      <c r="A34" s="15" t="s">
        <v>403</v>
      </c>
      <c r="B34" s="14">
        <v>0</v>
      </c>
      <c r="C34" s="14">
        <v>6000</v>
      </c>
      <c r="D34" s="14">
        <v>6000</v>
      </c>
    </row>
    <row r="35" spans="1:4" ht="15.75">
      <c r="A35" s="83" t="s">
        <v>363</v>
      </c>
      <c r="B35" s="260">
        <f>SUM(B31:B34)</f>
        <v>17913.980000000003</v>
      </c>
      <c r="C35" s="260">
        <f>SUM(C31:C34)</f>
        <v>23800</v>
      </c>
      <c r="D35" s="260">
        <f>SUM(D31:D34)</f>
        <v>24800</v>
      </c>
    </row>
    <row r="36" spans="1:4" ht="15.75">
      <c r="A36" s="100" t="s">
        <v>227</v>
      </c>
      <c r="B36" s="72"/>
      <c r="C36" s="72"/>
      <c r="D36" s="72"/>
    </row>
    <row r="37" spans="1:4" ht="15.75">
      <c r="A37" s="15" t="s">
        <v>308</v>
      </c>
      <c r="B37" s="14">
        <v>0</v>
      </c>
      <c r="C37" s="14">
        <v>0</v>
      </c>
      <c r="D37" s="14">
        <v>0</v>
      </c>
    </row>
    <row r="38" spans="1:4" ht="15.75">
      <c r="A38" s="15" t="s">
        <v>401</v>
      </c>
      <c r="B38" s="14">
        <v>0</v>
      </c>
      <c r="C38" s="14">
        <v>2500</v>
      </c>
      <c r="D38" s="14">
        <v>2500</v>
      </c>
    </row>
    <row r="39" spans="1:4" ht="15.75">
      <c r="A39" s="15" t="s">
        <v>402</v>
      </c>
      <c r="B39" s="14">
        <v>0</v>
      </c>
      <c r="C39" s="14">
        <v>0</v>
      </c>
      <c r="D39" s="14">
        <v>0</v>
      </c>
    </row>
    <row r="40" spans="1:4" ht="15.75">
      <c r="A40" s="15" t="s">
        <v>403</v>
      </c>
      <c r="B40" s="14">
        <v>0</v>
      </c>
      <c r="C40" s="14">
        <v>0</v>
      </c>
      <c r="D40" s="14">
        <v>0</v>
      </c>
    </row>
    <row r="41" spans="1:4" ht="15.75">
      <c r="A41" s="15"/>
      <c r="B41" s="14"/>
      <c r="C41" s="14"/>
      <c r="D41" s="14"/>
    </row>
    <row r="42" spans="1:4" ht="15.75">
      <c r="A42" s="83" t="s">
        <v>363</v>
      </c>
      <c r="B42" s="260">
        <f>SUM(B37:B40)</f>
        <v>0</v>
      </c>
      <c r="C42" s="260">
        <f>SUM(C37:C40)</f>
        <v>2500</v>
      </c>
      <c r="D42" s="260">
        <f>SUM(D37:D40)</f>
        <v>2500</v>
      </c>
    </row>
    <row r="43" spans="1:4" ht="15.75">
      <c r="A43" s="100" t="s">
        <v>228</v>
      </c>
      <c r="B43" s="72"/>
      <c r="C43" s="72"/>
      <c r="D43" s="72"/>
    </row>
    <row r="44" spans="1:4" ht="15.75">
      <c r="A44" s="15" t="s">
        <v>308</v>
      </c>
      <c r="B44" s="14">
        <v>90266.55</v>
      </c>
      <c r="C44" s="14">
        <v>91121.53</v>
      </c>
      <c r="D44" s="14">
        <v>91924.76</v>
      </c>
    </row>
    <row r="45" spans="1:4" ht="15.75">
      <c r="A45" s="15" t="s">
        <v>401</v>
      </c>
      <c r="B45" s="14">
        <f>10785.63+0</f>
        <v>10785.63</v>
      </c>
      <c r="C45" s="14">
        <f>14050+1000</f>
        <v>15050</v>
      </c>
      <c r="D45" s="14">
        <f>15050+1000</f>
        <v>16050</v>
      </c>
    </row>
    <row r="46" spans="1:4" ht="15.75">
      <c r="A46" s="15" t="s">
        <v>402</v>
      </c>
      <c r="B46" s="14">
        <v>0</v>
      </c>
      <c r="C46" s="14">
        <v>0</v>
      </c>
      <c r="D46" s="14">
        <v>0</v>
      </c>
    </row>
    <row r="47" spans="1:4" ht="15.75">
      <c r="A47" s="15" t="s">
        <v>403</v>
      </c>
      <c r="B47" s="14">
        <v>738.33</v>
      </c>
      <c r="C47" s="14">
        <v>3600</v>
      </c>
      <c r="D47" s="14">
        <v>0</v>
      </c>
    </row>
    <row r="48" spans="1:4" ht="15.75">
      <c r="A48" s="15"/>
      <c r="B48" s="14"/>
      <c r="C48" s="14"/>
      <c r="D48" s="14"/>
    </row>
    <row r="49" spans="1:4" ht="15.75">
      <c r="A49" s="83" t="s">
        <v>363</v>
      </c>
      <c r="B49" s="260">
        <f>SUM(B44:B47)</f>
        <v>101790.51000000001</v>
      </c>
      <c r="C49" s="260">
        <f>SUM(C44:C47)</f>
        <v>109771.53</v>
      </c>
      <c r="D49" s="260">
        <f>SUM(D44:D47)</f>
        <v>107974.76</v>
      </c>
    </row>
    <row r="50" spans="1:4" ht="15.75">
      <c r="A50" s="100" t="s">
        <v>229</v>
      </c>
      <c r="B50" s="72"/>
      <c r="C50" s="72"/>
      <c r="D50" s="72"/>
    </row>
    <row r="51" spans="1:4" ht="15.75">
      <c r="A51" s="15" t="s">
        <v>308</v>
      </c>
      <c r="B51" s="14">
        <v>1025613.13</v>
      </c>
      <c r="C51" s="14">
        <v>1139578.7</v>
      </c>
      <c r="D51" s="14">
        <v>1146896.27</v>
      </c>
    </row>
    <row r="52" spans="1:4" ht="15.75">
      <c r="A52" s="15" t="s">
        <v>401</v>
      </c>
      <c r="B52" s="14">
        <f>27547.06+73968.24</f>
        <v>101515.3</v>
      </c>
      <c r="C52" s="14">
        <f>31325+84750</f>
        <v>116075</v>
      </c>
      <c r="D52" s="14">
        <f>32325+92750</f>
        <v>125075</v>
      </c>
    </row>
    <row r="53" spans="1:4" ht="15.75">
      <c r="A53" s="15" t="s">
        <v>402</v>
      </c>
      <c r="B53" s="14">
        <v>253554.97</v>
      </c>
      <c r="C53" s="14">
        <v>229800</v>
      </c>
      <c r="D53" s="14">
        <v>243100</v>
      </c>
    </row>
    <row r="54" spans="1:4" ht="15.75">
      <c r="A54" s="15" t="s">
        <v>403</v>
      </c>
      <c r="B54" s="14">
        <v>11283</v>
      </c>
      <c r="C54" s="14">
        <v>5900</v>
      </c>
      <c r="D54" s="14">
        <v>3400</v>
      </c>
    </row>
    <row r="55" spans="1:4" ht="15.75">
      <c r="A55" s="15"/>
      <c r="B55" s="14"/>
      <c r="C55" s="14"/>
      <c r="D55" s="14"/>
    </row>
    <row r="56" spans="1:4" ht="15.75">
      <c r="A56" s="83" t="s">
        <v>363</v>
      </c>
      <c r="B56" s="260">
        <f>SUM(B51:B54)</f>
        <v>1391966.4</v>
      </c>
      <c r="C56" s="260">
        <f>SUM(C51:C54)</f>
        <v>1491353.7</v>
      </c>
      <c r="D56" s="260">
        <f>SUM(D51:D54)</f>
        <v>1518471.27</v>
      </c>
    </row>
    <row r="57" spans="1:4" ht="15.75">
      <c r="A57" s="100" t="s">
        <v>230</v>
      </c>
      <c r="B57" s="72"/>
      <c r="C57" s="72"/>
      <c r="D57" s="72"/>
    </row>
    <row r="58" spans="1:4" ht="15.75">
      <c r="A58" s="15" t="s">
        <v>90</v>
      </c>
      <c r="B58" s="14">
        <v>470000</v>
      </c>
      <c r="C58" s="14">
        <v>470000</v>
      </c>
      <c r="D58" s="14">
        <v>470000</v>
      </c>
    </row>
    <row r="59" spans="1:4" ht="15.75">
      <c r="A59" s="15" t="s">
        <v>11</v>
      </c>
      <c r="B59" s="14">
        <v>164764.38</v>
      </c>
      <c r="C59" s="14">
        <v>144000</v>
      </c>
      <c r="D59" s="14">
        <v>144000</v>
      </c>
    </row>
    <row r="60" spans="1:4" ht="15.75">
      <c r="A60" s="15" t="s">
        <v>89</v>
      </c>
      <c r="B60" s="14">
        <v>6000</v>
      </c>
      <c r="C60" s="14">
        <v>6000</v>
      </c>
      <c r="D60" s="14">
        <v>6000</v>
      </c>
    </row>
    <row r="61" spans="1:4" ht="15.75">
      <c r="A61" s="15" t="s">
        <v>88</v>
      </c>
      <c r="B61" s="18">
        <v>1268642</v>
      </c>
      <c r="C61" s="14">
        <v>1550000</v>
      </c>
      <c r="D61" s="14">
        <v>1550000</v>
      </c>
    </row>
    <row r="62" spans="1:4" ht="15.75">
      <c r="A62" s="15" t="s">
        <v>88</v>
      </c>
      <c r="B62" s="14">
        <v>2297057</v>
      </c>
      <c r="C62" s="14">
        <v>1788375</v>
      </c>
      <c r="D62" s="14">
        <v>1777411</v>
      </c>
    </row>
    <row r="63" spans="1:4" ht="15.75">
      <c r="A63" s="83" t="s">
        <v>363</v>
      </c>
      <c r="B63" s="260">
        <f>SUM(B58:B62)</f>
        <v>4206463.38</v>
      </c>
      <c r="C63" s="260">
        <f>SUM(C58:C62)</f>
        <v>3958375</v>
      </c>
      <c r="D63" s="260">
        <f>SUM(D58:D62)</f>
        <v>3947411</v>
      </c>
    </row>
    <row r="64" spans="1:4" ht="15.75">
      <c r="A64" s="21"/>
      <c r="B64" s="72"/>
      <c r="C64" s="72"/>
      <c r="D64" s="72"/>
    </row>
    <row r="65" spans="1:4" ht="16.5" thickBot="1">
      <c r="A65" s="83" t="s">
        <v>409</v>
      </c>
      <c r="B65" s="261">
        <f>B15+B22+B29+B35+B42+B49+B56+B63</f>
        <v>5838027.75</v>
      </c>
      <c r="C65" s="261">
        <f>C15+C22+C29+C35+C42+C49+C56+C63</f>
        <v>5741945.23</v>
      </c>
      <c r="D65" s="261">
        <f>D15+D22+D29+D35+D42+D49+D56+D63</f>
        <v>5762457.03</v>
      </c>
    </row>
    <row r="66" spans="1:4" ht="16.5" thickTop="1">
      <c r="A66" s="21"/>
      <c r="B66" s="72"/>
      <c r="C66" s="72"/>
      <c r="D66" s="72"/>
    </row>
    <row r="67" spans="1:4" ht="15.75">
      <c r="A67" s="23" t="s">
        <v>408</v>
      </c>
      <c r="B67" s="99" t="s">
        <v>234</v>
      </c>
      <c r="C67" s="72"/>
      <c r="D67" s="72"/>
    </row>
  </sheetData>
  <sheetProtection/>
  <printOptions/>
  <pageMargins left="0.5" right="0.5" top="1" bottom="0.5" header="0.5" footer="0.5"/>
  <pageSetup blackAndWhite="1" fitToHeight="1" fitToWidth="1" horizontalDpi="600" verticalDpi="600" orientation="portrait" scale="65" r:id="rId1"/>
  <headerFooter alignWithMargins="0">
    <oddHeader>&amp;RState of Kansas
Coffeyville</oddHeader>
    <oddFooter>&amp;Lrevised 8/06/07</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D67"/>
  <sheetViews>
    <sheetView view="pageBreakPreview" zoomScaleSheetLayoutView="100" zoomScalePageLayoutView="0" workbookViewId="0" topLeftCell="A40">
      <selection activeCell="D31" sqref="D31"/>
    </sheetView>
  </sheetViews>
  <sheetFormatPr defaultColWidth="8.796875" defaultRowHeight="15"/>
  <cols>
    <col min="1" max="1" width="28.296875" style="2" customWidth="1"/>
    <col min="2" max="3" width="16.3984375" style="2" customWidth="1"/>
    <col min="4" max="4" width="16.3984375" style="2" bestFit="1" customWidth="1"/>
    <col min="5" max="16384" width="8.8984375" style="2" customWidth="1"/>
  </cols>
  <sheetData>
    <row r="1" spans="1:4" ht="15.75">
      <c r="A1" s="72" t="str">
        <f>inputPrYr!D2</f>
        <v>City of Coffeyville</v>
      </c>
      <c r="B1" s="21"/>
      <c r="C1" s="92"/>
      <c r="D1" s="21">
        <f>inputPrYr!C5</f>
        <v>2012</v>
      </c>
    </row>
    <row r="2" spans="1:4" ht="15.75">
      <c r="A2" s="21"/>
      <c r="B2" s="21"/>
      <c r="C2" s="21"/>
      <c r="D2" s="92"/>
    </row>
    <row r="3" spans="1:4" ht="15.75">
      <c r="A3" s="90" t="s">
        <v>467</v>
      </c>
      <c r="B3" s="98"/>
      <c r="C3" s="98"/>
      <c r="D3" s="98"/>
    </row>
    <row r="4" spans="1:4" ht="15.75">
      <c r="A4" s="92" t="s">
        <v>391</v>
      </c>
      <c r="B4" s="93" t="s">
        <v>412</v>
      </c>
      <c r="C4" s="33" t="s">
        <v>556</v>
      </c>
      <c r="D4" s="33" t="s">
        <v>557</v>
      </c>
    </row>
    <row r="5" spans="1:4" ht="15.75">
      <c r="A5" s="20" t="s">
        <v>309</v>
      </c>
      <c r="B5" s="145">
        <f>D1-2</f>
        <v>2010</v>
      </c>
      <c r="C5" s="145">
        <f>D1-1</f>
        <v>2011</v>
      </c>
      <c r="D5" s="145">
        <f>D1</f>
        <v>2012</v>
      </c>
    </row>
    <row r="6" spans="1:4" ht="15.75">
      <c r="A6" s="83" t="s">
        <v>400</v>
      </c>
      <c r="B6" s="40"/>
      <c r="C6" s="40"/>
      <c r="D6" s="40"/>
    </row>
    <row r="7" spans="1:4" ht="15.75">
      <c r="A7" s="100" t="s">
        <v>231</v>
      </c>
      <c r="B7" s="40"/>
      <c r="C7" s="40"/>
      <c r="D7" s="40"/>
    </row>
    <row r="8" spans="1:4" ht="15.75">
      <c r="A8" s="15" t="s">
        <v>87</v>
      </c>
      <c r="B8" s="14">
        <v>160191.08</v>
      </c>
      <c r="C8" s="14">
        <v>155000</v>
      </c>
      <c r="D8" s="14">
        <v>155000</v>
      </c>
    </row>
    <row r="9" spans="1:4" ht="15.75">
      <c r="A9" s="15"/>
      <c r="B9" s="14"/>
      <c r="C9" s="14"/>
      <c r="D9" s="14"/>
    </row>
    <row r="10" spans="1:4" ht="15.75">
      <c r="A10" s="15"/>
      <c r="B10" s="14"/>
      <c r="C10" s="14"/>
      <c r="D10" s="14"/>
    </row>
    <row r="11" spans="1:4" ht="15.75">
      <c r="A11" s="15"/>
      <c r="B11" s="14"/>
      <c r="C11" s="14"/>
      <c r="D11" s="14"/>
    </row>
    <row r="12" spans="1:4" ht="15.75">
      <c r="A12" s="15"/>
      <c r="B12" s="14"/>
      <c r="C12" s="14"/>
      <c r="D12" s="14"/>
    </row>
    <row r="13" spans="1:4" ht="15.75">
      <c r="A13" s="8"/>
      <c r="B13" s="14"/>
      <c r="C13" s="14"/>
      <c r="D13" s="14"/>
    </row>
    <row r="14" spans="1:4" ht="15.75">
      <c r="A14" s="8"/>
      <c r="B14" s="14"/>
      <c r="C14" s="14"/>
      <c r="D14" s="14"/>
    </row>
    <row r="15" spans="1:4" ht="15.75">
      <c r="A15" s="83" t="s">
        <v>363</v>
      </c>
      <c r="B15" s="260">
        <f>SUM(B8:B14)</f>
        <v>160191.08</v>
      </c>
      <c r="C15" s="260">
        <f>SUM(C8:C14)</f>
        <v>155000</v>
      </c>
      <c r="D15" s="260">
        <f>SUM(D8:D14)</f>
        <v>155000</v>
      </c>
    </row>
    <row r="16" spans="1:4" ht="15.75">
      <c r="A16" s="101" t="s">
        <v>232</v>
      </c>
      <c r="B16" s="72"/>
      <c r="C16" s="72"/>
      <c r="D16" s="72"/>
    </row>
    <row r="17" spans="1:4" ht="15.75">
      <c r="A17" s="15" t="s">
        <v>85</v>
      </c>
      <c r="B17" s="14">
        <f>1601910.92/2</f>
        <v>800955.46</v>
      </c>
      <c r="C17" s="14">
        <v>775000</v>
      </c>
      <c r="D17" s="14">
        <v>775000</v>
      </c>
    </row>
    <row r="18" spans="1:4" ht="15.75">
      <c r="A18" s="15" t="s">
        <v>86</v>
      </c>
      <c r="B18" s="14">
        <f>1601910.92/2</f>
        <v>800955.46</v>
      </c>
      <c r="C18" s="14">
        <v>775000</v>
      </c>
      <c r="D18" s="14">
        <v>775000</v>
      </c>
    </row>
    <row r="19" spans="1:4" ht="15.75">
      <c r="A19" s="15"/>
      <c r="B19" s="14"/>
      <c r="C19" s="14"/>
      <c r="D19" s="14"/>
    </row>
    <row r="20" spans="1:4" ht="15.75">
      <c r="A20" s="15"/>
      <c r="B20" s="14"/>
      <c r="C20" s="14"/>
      <c r="D20" s="14"/>
    </row>
    <row r="21" spans="1:4" ht="15.75">
      <c r="A21" s="15"/>
      <c r="B21" s="14"/>
      <c r="C21" s="14"/>
      <c r="D21" s="14"/>
    </row>
    <row r="22" spans="1:4" ht="15.75">
      <c r="A22" s="83" t="s">
        <v>363</v>
      </c>
      <c r="B22" s="260">
        <f>SUM(B17:B20)</f>
        <v>1601910.92</v>
      </c>
      <c r="C22" s="260">
        <f>SUM(C17:C20)</f>
        <v>1550000</v>
      </c>
      <c r="D22" s="260">
        <f>SUM(D17:D20)</f>
        <v>1550000</v>
      </c>
    </row>
    <row r="23" spans="1:4" ht="15.75">
      <c r="A23" s="100" t="s">
        <v>80</v>
      </c>
      <c r="B23" s="72"/>
      <c r="C23" s="72"/>
      <c r="D23" s="72"/>
    </row>
    <row r="24" spans="1:4" ht="15.75">
      <c r="A24" s="15" t="s">
        <v>401</v>
      </c>
      <c r="B24" s="14">
        <v>51165</v>
      </c>
      <c r="C24" s="14">
        <v>81855</v>
      </c>
      <c r="D24" s="14">
        <v>78155</v>
      </c>
    </row>
    <row r="25" spans="1:4" ht="15.75">
      <c r="A25" s="15" t="s">
        <v>402</v>
      </c>
      <c r="B25" s="14">
        <v>0</v>
      </c>
      <c r="C25" s="14">
        <v>0</v>
      </c>
      <c r="D25" s="14">
        <v>6160</v>
      </c>
    </row>
    <row r="26" spans="1:4" ht="15.75">
      <c r="A26" s="15" t="s">
        <v>320</v>
      </c>
      <c r="B26" s="14">
        <v>0</v>
      </c>
      <c r="C26" s="14">
        <v>6000</v>
      </c>
      <c r="D26" s="14">
        <v>6000</v>
      </c>
    </row>
    <row r="27" spans="1:4" ht="15.75">
      <c r="A27" s="15" t="s">
        <v>321</v>
      </c>
      <c r="B27" s="14">
        <v>6000</v>
      </c>
      <c r="C27" s="14">
        <v>0</v>
      </c>
      <c r="D27" s="14">
        <v>0</v>
      </c>
    </row>
    <row r="28" spans="1:4" ht="15.75">
      <c r="A28" s="15"/>
      <c r="B28" s="14"/>
      <c r="C28" s="14"/>
      <c r="D28" s="14"/>
    </row>
    <row r="29" spans="1:4" ht="15.75">
      <c r="A29" s="83" t="s">
        <v>363</v>
      </c>
      <c r="B29" s="260">
        <f>SUM(B24:B27)</f>
        <v>57165</v>
      </c>
      <c r="C29" s="260">
        <f>SUM(C24:C27)</f>
        <v>87855</v>
      </c>
      <c r="D29" s="260">
        <f>SUM(D24:D27)</f>
        <v>90315</v>
      </c>
    </row>
    <row r="30" spans="1:4" ht="15.75">
      <c r="A30" s="100" t="s">
        <v>71</v>
      </c>
      <c r="B30" s="72"/>
      <c r="C30" s="72"/>
      <c r="D30" s="72"/>
    </row>
    <row r="31" spans="1:4" ht="15.75">
      <c r="A31" s="15" t="s">
        <v>403</v>
      </c>
      <c r="B31" s="14">
        <v>0</v>
      </c>
      <c r="C31" s="14">
        <f>+'010'!D9-3689368.99-68288</f>
        <v>148225.00999999978</v>
      </c>
      <c r="D31" s="14">
        <f>4669+111</f>
        <v>4780</v>
      </c>
    </row>
    <row r="32" spans="1:4" ht="15.75">
      <c r="A32" s="15"/>
      <c r="B32" s="14"/>
      <c r="C32" s="14"/>
      <c r="D32" s="14"/>
    </row>
    <row r="33" spans="1:4" ht="15.75">
      <c r="A33" s="15"/>
      <c r="B33" s="14"/>
      <c r="C33" s="14"/>
      <c r="D33" s="14"/>
    </row>
    <row r="34" spans="1:4" ht="15.75">
      <c r="A34" s="15"/>
      <c r="B34" s="14"/>
      <c r="C34" s="14"/>
      <c r="D34" s="14"/>
    </row>
    <row r="35" spans="1:4" ht="15.75">
      <c r="A35" s="83" t="s">
        <v>363</v>
      </c>
      <c r="B35" s="260">
        <f>SUM(B31:B34)</f>
        <v>0</v>
      </c>
      <c r="C35" s="260">
        <f>SUM(C31:C34)</f>
        <v>148225.00999999978</v>
      </c>
      <c r="D35" s="260">
        <f>SUM(D31:D34)</f>
        <v>4780</v>
      </c>
    </row>
    <row r="36" spans="1:4" ht="15.75">
      <c r="A36" s="100"/>
      <c r="B36" s="72"/>
      <c r="C36" s="72"/>
      <c r="D36" s="72"/>
    </row>
    <row r="37" spans="1:4" ht="15.75">
      <c r="A37" s="15"/>
      <c r="B37" s="14"/>
      <c r="C37" s="14"/>
      <c r="D37" s="14"/>
    </row>
    <row r="38" spans="1:4" ht="15.75">
      <c r="A38" s="15"/>
      <c r="B38" s="14"/>
      <c r="C38" s="14"/>
      <c r="D38" s="14"/>
    </row>
    <row r="39" spans="1:4" ht="15.75">
      <c r="A39" s="15"/>
      <c r="B39" s="14"/>
      <c r="C39" s="14"/>
      <c r="D39" s="14"/>
    </row>
    <row r="40" spans="1:4" ht="15.75">
      <c r="A40" s="15"/>
      <c r="B40" s="14"/>
      <c r="C40" s="14"/>
      <c r="D40" s="14"/>
    </row>
    <row r="41" spans="1:4" ht="15.75">
      <c r="A41" s="15"/>
      <c r="B41" s="14"/>
      <c r="C41" s="14"/>
      <c r="D41" s="14"/>
    </row>
    <row r="42" spans="1:4" ht="15.75">
      <c r="A42" s="83" t="s">
        <v>363</v>
      </c>
      <c r="B42" s="260">
        <f>SUM(B37:B40)</f>
        <v>0</v>
      </c>
      <c r="C42" s="260">
        <f>SUM(C37:C40)</f>
        <v>0</v>
      </c>
      <c r="D42" s="260">
        <f>SUM(D37:D40)</f>
        <v>0</v>
      </c>
    </row>
    <row r="43" spans="1:4" ht="15.75">
      <c r="A43" s="100"/>
      <c r="B43" s="72"/>
      <c r="C43" s="72"/>
      <c r="D43" s="72"/>
    </row>
    <row r="44" spans="1:4" ht="15.75">
      <c r="A44" s="15"/>
      <c r="B44" s="14"/>
      <c r="C44" s="14"/>
      <c r="D44" s="14"/>
    </row>
    <row r="45" spans="1:4" ht="15.75">
      <c r="A45" s="15"/>
      <c r="B45" s="14"/>
      <c r="C45" s="14"/>
      <c r="D45" s="14"/>
    </row>
    <row r="46" spans="1:4" ht="15.75">
      <c r="A46" s="15"/>
      <c r="B46" s="14"/>
      <c r="C46" s="14"/>
      <c r="D46" s="14"/>
    </row>
    <row r="47" spans="1:4" ht="15.75">
      <c r="A47" s="15"/>
      <c r="B47" s="14"/>
      <c r="C47" s="14"/>
      <c r="D47" s="14"/>
    </row>
    <row r="48" spans="1:4" ht="15.75">
      <c r="A48" s="15"/>
      <c r="B48" s="14"/>
      <c r="C48" s="14"/>
      <c r="D48" s="14"/>
    </row>
    <row r="49" spans="1:4" ht="15.75">
      <c r="A49" s="83" t="s">
        <v>363</v>
      </c>
      <c r="B49" s="260">
        <f>SUM(B44:B47)</f>
        <v>0</v>
      </c>
      <c r="C49" s="260">
        <f>SUM(C44:C47)</f>
        <v>0</v>
      </c>
      <c r="D49" s="260">
        <f>SUM(D44:D47)</f>
        <v>0</v>
      </c>
    </row>
    <row r="50" spans="1:4" ht="15.75">
      <c r="A50" s="100"/>
      <c r="B50" s="72"/>
      <c r="C50" s="72"/>
      <c r="D50" s="72"/>
    </row>
    <row r="51" spans="1:4" ht="15.75">
      <c r="A51" s="15"/>
      <c r="B51" s="14"/>
      <c r="C51" s="14"/>
      <c r="D51" s="14"/>
    </row>
    <row r="52" spans="1:4" ht="15.75">
      <c r="A52" s="15"/>
      <c r="B52" s="14"/>
      <c r="C52" s="14"/>
      <c r="D52" s="14"/>
    </row>
    <row r="53" spans="1:4" ht="15.75">
      <c r="A53" s="15"/>
      <c r="B53" s="14"/>
      <c r="C53" s="14"/>
      <c r="D53" s="14"/>
    </row>
    <row r="54" spans="1:4" ht="15.75">
      <c r="A54" s="15"/>
      <c r="B54" s="14"/>
      <c r="C54" s="14"/>
      <c r="D54" s="14"/>
    </row>
    <row r="55" spans="1:4" ht="15.75">
      <c r="A55" s="15"/>
      <c r="B55" s="14"/>
      <c r="C55" s="14"/>
      <c r="D55" s="14"/>
    </row>
    <row r="56" spans="1:4" ht="15.75">
      <c r="A56" s="83" t="s">
        <v>363</v>
      </c>
      <c r="B56" s="260">
        <f>SUM(B51:B54)</f>
        <v>0</v>
      </c>
      <c r="C56" s="260">
        <f>SUM(C51:C54)</f>
        <v>0</v>
      </c>
      <c r="D56" s="260">
        <f>SUM(D51:D54)</f>
        <v>0</v>
      </c>
    </row>
    <row r="57" spans="1:4" ht="15.75">
      <c r="A57" s="100"/>
      <c r="B57" s="72"/>
      <c r="C57" s="72"/>
      <c r="D57" s="72"/>
    </row>
    <row r="58" spans="1:4" ht="15.75">
      <c r="A58" s="15"/>
      <c r="B58" s="14"/>
      <c r="C58" s="14"/>
      <c r="D58" s="14"/>
    </row>
    <row r="59" spans="1:4" ht="15.75">
      <c r="A59" s="15"/>
      <c r="B59" s="14"/>
      <c r="C59" s="14"/>
      <c r="D59" s="14"/>
    </row>
    <row r="60" spans="1:4" ht="15.75">
      <c r="A60" s="15"/>
      <c r="B60" s="14"/>
      <c r="C60" s="14"/>
      <c r="D60" s="14"/>
    </row>
    <row r="61" spans="1:4" ht="15.75">
      <c r="A61" s="15"/>
      <c r="B61" s="14"/>
      <c r="C61" s="14"/>
      <c r="D61" s="14"/>
    </row>
    <row r="62" spans="1:4" ht="15.75">
      <c r="A62" s="15"/>
      <c r="B62" s="14"/>
      <c r="C62" s="14"/>
      <c r="D62" s="14"/>
    </row>
    <row r="63" spans="1:4" ht="15.75">
      <c r="A63" s="83" t="s">
        <v>363</v>
      </c>
      <c r="B63" s="260">
        <f>SUM(B58:B61)</f>
        <v>0</v>
      </c>
      <c r="C63" s="260">
        <f>SUM(C58:C61)</f>
        <v>0</v>
      </c>
      <c r="D63" s="260">
        <f>SUM(D58:D61)</f>
        <v>0</v>
      </c>
    </row>
    <row r="64" spans="1:4" ht="15.75">
      <c r="A64" s="21"/>
      <c r="B64" s="72"/>
      <c r="C64" s="72"/>
      <c r="D64" s="72"/>
    </row>
    <row r="65" spans="1:4" ht="16.5" thickBot="1">
      <c r="A65" s="83" t="s">
        <v>409</v>
      </c>
      <c r="B65" s="261">
        <f>B15+B22+B29+B35+B42+B49+B56+B63</f>
        <v>1819267</v>
      </c>
      <c r="C65" s="261">
        <f>C15+C22+C29+C35+C42+C49+C56+C63</f>
        <v>1941080.0099999998</v>
      </c>
      <c r="D65" s="261">
        <f>D15+D22+D29+D35+D42+D49+D56+D63</f>
        <v>1800095</v>
      </c>
    </row>
    <row r="66" spans="1:4" ht="16.5" thickTop="1">
      <c r="A66" s="21"/>
      <c r="B66" s="72"/>
      <c r="C66" s="72"/>
      <c r="D66" s="72"/>
    </row>
    <row r="67" spans="1:4" ht="15.75">
      <c r="A67" s="23" t="s">
        <v>408</v>
      </c>
      <c r="B67" s="99" t="s">
        <v>235</v>
      </c>
      <c r="C67" s="72"/>
      <c r="D67" s="72"/>
    </row>
  </sheetData>
  <sheetProtection/>
  <printOptions/>
  <pageMargins left="0.5" right="0.5" top="1" bottom="0.5" header="0.5" footer="0.5"/>
  <pageSetup blackAndWhite="1" fitToHeight="1" fitToWidth="1" horizontalDpi="600" verticalDpi="600" orientation="portrait" scale="65" r:id="rId1"/>
  <headerFooter alignWithMargins="0">
    <oddHeader>&amp;RState of Kansas
Coffeyville</oddHeader>
    <oddFooter>&amp;Lrevised 8/06/07</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F74"/>
  <sheetViews>
    <sheetView view="pageBreakPreview" zoomScaleSheetLayoutView="100" zoomScalePageLayoutView="0" workbookViewId="0" topLeftCell="A16">
      <selection activeCell="C47" sqref="C47"/>
    </sheetView>
  </sheetViews>
  <sheetFormatPr defaultColWidth="8.796875" defaultRowHeight="15"/>
  <cols>
    <col min="1" max="1" width="28.796875" style="7" customWidth="1"/>
    <col min="2" max="2" width="9.59765625" style="7" customWidth="1"/>
    <col min="3" max="4" width="16.3984375" style="7" customWidth="1"/>
    <col min="5" max="5" width="16.3984375" style="7" bestFit="1" customWidth="1"/>
    <col min="6" max="16384" width="8.8984375" style="7" customWidth="1"/>
  </cols>
  <sheetData>
    <row r="1" spans="1:5" ht="15.75">
      <c r="A1" s="72" t="str">
        <f>inputPrYr!D2</f>
        <v>City of Coffeyville</v>
      </c>
      <c r="B1" s="72"/>
      <c r="C1" s="21"/>
      <c r="D1" s="21"/>
      <c r="E1" s="142">
        <f>inputPrYr!$C$5</f>
        <v>2012</v>
      </c>
    </row>
    <row r="2" spans="1:5" ht="15.75">
      <c r="A2" s="21"/>
      <c r="B2" s="21"/>
      <c r="C2" s="21"/>
      <c r="D2" s="21"/>
      <c r="E2" s="24"/>
    </row>
    <row r="3" spans="1:5" ht="15.75">
      <c r="A3" s="90" t="s">
        <v>698</v>
      </c>
      <c r="B3" s="90"/>
      <c r="C3" s="94"/>
      <c r="D3" s="94"/>
      <c r="E3" s="143"/>
    </row>
    <row r="4" spans="1:5" ht="15.75">
      <c r="A4" s="21"/>
      <c r="B4" s="21"/>
      <c r="C4" s="144"/>
      <c r="D4" s="144"/>
      <c r="E4" s="144"/>
    </row>
    <row r="5" spans="1:5" ht="15.75">
      <c r="A5" s="25" t="s">
        <v>391</v>
      </c>
      <c r="B5" s="25"/>
      <c r="C5" s="93" t="s">
        <v>412</v>
      </c>
      <c r="D5" s="33" t="s">
        <v>556</v>
      </c>
      <c r="E5" s="33" t="s">
        <v>557</v>
      </c>
    </row>
    <row r="6" spans="1:5" ht="15.75">
      <c r="A6" s="137" t="s">
        <v>571</v>
      </c>
      <c r="B6" s="137"/>
      <c r="C6" s="146">
        <f>E1-2</f>
        <v>2010</v>
      </c>
      <c r="D6" s="146">
        <f>E1-1</f>
        <v>2011</v>
      </c>
      <c r="E6" s="146">
        <f>E1</f>
        <v>2012</v>
      </c>
    </row>
    <row r="7" spans="1:5" ht="15.75">
      <c r="A7" s="37" t="s">
        <v>527</v>
      </c>
      <c r="B7" s="309"/>
      <c r="C7" s="325">
        <v>3452703.88</v>
      </c>
      <c r="D7" s="148">
        <f>C67</f>
        <v>384978.1499999999</v>
      </c>
      <c r="E7" s="148">
        <f>D67</f>
        <v>82440.76000000024</v>
      </c>
    </row>
    <row r="8" spans="1:5" ht="15.75">
      <c r="A8" s="308" t="s">
        <v>529</v>
      </c>
      <c r="B8" s="309"/>
      <c r="C8" s="326"/>
      <c r="D8" s="148"/>
      <c r="E8" s="148"/>
    </row>
    <row r="9" spans="1:5" ht="15.75">
      <c r="A9" s="37" t="s">
        <v>392</v>
      </c>
      <c r="B9" s="309"/>
      <c r="C9" s="325"/>
      <c r="D9" s="149">
        <f>inputPrYr!D17</f>
        <v>0</v>
      </c>
      <c r="E9" s="97" t="s">
        <v>380</v>
      </c>
    </row>
    <row r="10" spans="1:5" ht="15.75">
      <c r="A10" s="37" t="s">
        <v>393</v>
      </c>
      <c r="B10" s="309"/>
      <c r="C10" s="325"/>
      <c r="D10" s="147"/>
      <c r="E10" s="147"/>
    </row>
    <row r="11" spans="1:5" ht="15.75">
      <c r="A11" s="37" t="s">
        <v>394</v>
      </c>
      <c r="B11" s="309"/>
      <c r="C11" s="325"/>
      <c r="D11" s="147"/>
      <c r="E11" s="149" t="str">
        <f>mvalloc!C8</f>
        <v>  </v>
      </c>
    </row>
    <row r="12" spans="1:5" ht="15.75">
      <c r="A12" s="37" t="s">
        <v>395</v>
      </c>
      <c r="B12" s="309"/>
      <c r="C12" s="325"/>
      <c r="D12" s="147"/>
      <c r="E12" s="149" t="str">
        <f>mvalloc!D8</f>
        <v> </v>
      </c>
    </row>
    <row r="13" spans="1:5" ht="15.75">
      <c r="A13" s="322" t="s">
        <v>504</v>
      </c>
      <c r="B13" s="309"/>
      <c r="C13" s="325"/>
      <c r="D13" s="147"/>
      <c r="E13" s="149" t="str">
        <f>mvalloc!E8</f>
        <v> </v>
      </c>
    </row>
    <row r="14" spans="1:5" ht="15.75">
      <c r="A14" s="322" t="s">
        <v>575</v>
      </c>
      <c r="B14" s="309"/>
      <c r="C14" s="325"/>
      <c r="D14" s="147"/>
      <c r="E14" s="149" t="str">
        <f>mvalloc!F8</f>
        <v> </v>
      </c>
    </row>
    <row r="15" spans="1:5" ht="15.75">
      <c r="A15" s="322"/>
      <c r="B15" s="309"/>
      <c r="C15" s="325"/>
      <c r="D15" s="147"/>
      <c r="E15" s="149"/>
    </row>
    <row r="16" spans="1:5" ht="15.75">
      <c r="A16" s="322"/>
      <c r="B16" s="309"/>
      <c r="C16" s="325"/>
      <c r="D16" s="147"/>
      <c r="E16" s="149"/>
    </row>
    <row r="17" spans="1:5" ht="15.75">
      <c r="A17" s="323" t="s">
        <v>215</v>
      </c>
      <c r="B17" s="310"/>
      <c r="C17" s="325">
        <v>0</v>
      </c>
      <c r="D17" s="147">
        <v>0</v>
      </c>
      <c r="E17" s="147">
        <v>0</v>
      </c>
    </row>
    <row r="18" spans="1:5" ht="15.75">
      <c r="A18" s="323" t="s">
        <v>14</v>
      </c>
      <c r="B18" s="310"/>
      <c r="C18" s="325">
        <v>0</v>
      </c>
      <c r="D18" s="147">
        <v>2800000</v>
      </c>
      <c r="E18" s="150">
        <v>0</v>
      </c>
    </row>
    <row r="19" spans="1:5" ht="15.75">
      <c r="A19" s="323" t="s">
        <v>115</v>
      </c>
      <c r="B19" s="310"/>
      <c r="C19" s="325">
        <v>0</v>
      </c>
      <c r="D19" s="147">
        <v>0</v>
      </c>
      <c r="E19" s="147">
        <v>170000</v>
      </c>
    </row>
    <row r="20" spans="1:5" ht="15.75">
      <c r="A20" s="323" t="s">
        <v>322</v>
      </c>
      <c r="B20" s="310"/>
      <c r="C20" s="325">
        <v>0</v>
      </c>
      <c r="D20" s="147">
        <v>0</v>
      </c>
      <c r="E20" s="147">
        <v>100000</v>
      </c>
    </row>
    <row r="21" spans="1:5" ht="15.75">
      <c r="A21" s="323"/>
      <c r="B21" s="310"/>
      <c r="C21" s="325"/>
      <c r="D21" s="147"/>
      <c r="E21" s="147"/>
    </row>
    <row r="22" spans="1:5" ht="15.75">
      <c r="A22" s="323"/>
      <c r="B22" s="310"/>
      <c r="C22" s="325"/>
      <c r="D22" s="147"/>
      <c r="E22" s="147"/>
    </row>
    <row r="23" spans="1:5" ht="15.75">
      <c r="A23" s="323"/>
      <c r="B23" s="310"/>
      <c r="C23" s="325"/>
      <c r="D23" s="147"/>
      <c r="E23" s="147"/>
    </row>
    <row r="24" spans="1:5" ht="15.75">
      <c r="A24" s="323"/>
      <c r="B24" s="310"/>
      <c r="C24" s="325"/>
      <c r="D24" s="147"/>
      <c r="E24" s="147"/>
    </row>
    <row r="25" spans="1:5" ht="15.75">
      <c r="A25" s="323"/>
      <c r="B25" s="310"/>
      <c r="C25" s="325"/>
      <c r="D25" s="147"/>
      <c r="E25" s="147"/>
    </row>
    <row r="26" spans="1:5" ht="15.75">
      <c r="A26" s="323"/>
      <c r="B26" s="310"/>
      <c r="C26" s="325"/>
      <c r="D26" s="147"/>
      <c r="E26" s="147"/>
    </row>
    <row r="27" spans="1:5" ht="15.75">
      <c r="A27" s="323"/>
      <c r="B27" s="310"/>
      <c r="C27" s="325"/>
      <c r="D27" s="147"/>
      <c r="E27" s="147"/>
    </row>
    <row r="28" spans="1:5" ht="15.75">
      <c r="A28" s="323"/>
      <c r="B28" s="310"/>
      <c r="C28" s="325"/>
      <c r="D28" s="147"/>
      <c r="E28" s="147"/>
    </row>
    <row r="29" spans="1:5" ht="15.75">
      <c r="A29" s="323"/>
      <c r="B29" s="310"/>
      <c r="C29" s="325"/>
      <c r="D29" s="147"/>
      <c r="E29" s="147"/>
    </row>
    <row r="30" spans="1:5" ht="15.75">
      <c r="A30" s="323"/>
      <c r="B30" s="310"/>
      <c r="C30" s="325"/>
      <c r="D30" s="147"/>
      <c r="E30" s="147"/>
    </row>
    <row r="31" spans="1:5" ht="15.75">
      <c r="A31" s="323"/>
      <c r="B31" s="310"/>
      <c r="C31" s="325"/>
      <c r="D31" s="147"/>
      <c r="E31" s="147"/>
    </row>
    <row r="32" spans="1:5" ht="15.75">
      <c r="A32" s="324" t="s">
        <v>396</v>
      </c>
      <c r="B32" s="310"/>
      <c r="C32" s="325">
        <v>0</v>
      </c>
      <c r="D32" s="147">
        <v>0</v>
      </c>
      <c r="E32" s="147">
        <v>0</v>
      </c>
    </row>
    <row r="33" spans="1:5" ht="15.75">
      <c r="A33" s="321" t="s">
        <v>703</v>
      </c>
      <c r="B33" s="317"/>
      <c r="C33" s="325"/>
      <c r="D33" s="325"/>
      <c r="E33" s="325"/>
    </row>
    <row r="34" spans="1:5" ht="15.75">
      <c r="A34" s="311" t="s">
        <v>705</v>
      </c>
      <c r="B34" s="317"/>
      <c r="C34" s="355">
        <f>IF(C35*0.1&lt;C33,"Exceed 10% Rule","")</f>
      </c>
      <c r="D34" s="355">
        <f>IF(D35*0.1&lt;D33,"Exceed 10% Rule","")</f>
      </c>
      <c r="E34" s="355">
        <f>IF(E35*0.1&lt;E33,"Exceed 10% Rule","")</f>
      </c>
    </row>
    <row r="35" spans="1:5" ht="15.75">
      <c r="A35" s="151" t="s">
        <v>397</v>
      </c>
      <c r="B35" s="309"/>
      <c r="C35" s="279">
        <f>SUM(C9:C33)</f>
        <v>0</v>
      </c>
      <c r="D35" s="277">
        <f>SUM(D9:D33)</f>
        <v>2800000</v>
      </c>
      <c r="E35" s="278">
        <f>SUM(E9:E33)</f>
        <v>270000</v>
      </c>
    </row>
    <row r="36" spans="1:5" ht="15.75">
      <c r="A36" s="151" t="s">
        <v>398</v>
      </c>
      <c r="B36" s="309"/>
      <c r="C36" s="279">
        <f>C7+C35</f>
        <v>3452703.88</v>
      </c>
      <c r="D36" s="279">
        <f>D7+D35</f>
        <v>3184978.15</v>
      </c>
      <c r="E36" s="276">
        <f>E7+E35</f>
        <v>352440.76000000024</v>
      </c>
    </row>
    <row r="37" spans="1:5" ht="15.75">
      <c r="A37" s="308" t="s">
        <v>400</v>
      </c>
      <c r="B37" s="309"/>
      <c r="C37" s="327"/>
      <c r="D37" s="149"/>
      <c r="E37" s="149"/>
    </row>
    <row r="38" spans="1:5" ht="15.75">
      <c r="A38" s="301" t="s">
        <v>92</v>
      </c>
      <c r="B38" s="310"/>
      <c r="C38" s="325">
        <v>1958500.73</v>
      </c>
      <c r="D38" s="147">
        <v>0</v>
      </c>
      <c r="E38" s="147">
        <v>2440.76</v>
      </c>
    </row>
    <row r="39" spans="1:5" ht="15.75">
      <c r="A39" s="301" t="s">
        <v>95</v>
      </c>
      <c r="B39" s="310"/>
      <c r="C39" s="325">
        <v>1014000</v>
      </c>
      <c r="D39" s="147">
        <v>0</v>
      </c>
      <c r="E39" s="147">
        <v>0</v>
      </c>
    </row>
    <row r="40" spans="1:5" ht="15.75">
      <c r="A40" s="301" t="s">
        <v>153</v>
      </c>
      <c r="B40" s="310"/>
      <c r="C40" s="325">
        <v>95225</v>
      </c>
      <c r="D40" s="147">
        <v>95225</v>
      </c>
      <c r="E40" s="147">
        <v>0</v>
      </c>
    </row>
    <row r="41" spans="1:5" ht="15.75">
      <c r="A41" s="301" t="s">
        <v>154</v>
      </c>
      <c r="B41" s="310"/>
      <c r="C41" s="325">
        <v>0</v>
      </c>
      <c r="D41" s="147">
        <v>2930000</v>
      </c>
      <c r="E41" s="147">
        <v>0</v>
      </c>
    </row>
    <row r="42" spans="1:5" ht="15.75">
      <c r="A42" s="301" t="s">
        <v>155</v>
      </c>
      <c r="B42" s="310"/>
      <c r="C42" s="325">
        <v>0</v>
      </c>
      <c r="D42" s="147">
        <v>40883.78</v>
      </c>
      <c r="E42" s="147">
        <v>39412.06</v>
      </c>
    </row>
    <row r="43" spans="1:5" ht="15.75">
      <c r="A43" s="301" t="s">
        <v>156</v>
      </c>
      <c r="B43" s="310"/>
      <c r="C43" s="325">
        <v>0</v>
      </c>
      <c r="D43" s="147">
        <v>36428.61</v>
      </c>
      <c r="E43" s="147">
        <v>37900.33</v>
      </c>
    </row>
    <row r="44" spans="1:5" ht="15.75">
      <c r="A44" s="301" t="s">
        <v>185</v>
      </c>
      <c r="B44" s="310"/>
      <c r="C44" s="325">
        <v>0</v>
      </c>
      <c r="D44" s="147">
        <v>0</v>
      </c>
      <c r="E44" s="147">
        <v>272687.61</v>
      </c>
    </row>
    <row r="45" spans="1:5" ht="15.75">
      <c r="A45" s="301" t="s">
        <v>186</v>
      </c>
      <c r="B45" s="310"/>
      <c r="C45" s="325">
        <v>0</v>
      </c>
      <c r="D45" s="147">
        <v>0</v>
      </c>
      <c r="E45" s="147">
        <v>0</v>
      </c>
    </row>
    <row r="46" spans="1:5" ht="15.75">
      <c r="A46" s="301"/>
      <c r="B46" s="310"/>
      <c r="C46" s="325"/>
      <c r="D46" s="147"/>
      <c r="E46" s="147"/>
    </row>
    <row r="47" spans="1:5" ht="15.75">
      <c r="A47" s="301"/>
      <c r="B47" s="310"/>
      <c r="C47" s="325"/>
      <c r="D47" s="147"/>
      <c r="E47" s="147"/>
    </row>
    <row r="48" spans="1:5" ht="15.75">
      <c r="A48" s="301"/>
      <c r="B48" s="310"/>
      <c r="C48" s="325"/>
      <c r="D48" s="147"/>
      <c r="E48" s="147"/>
    </row>
    <row r="49" spans="1:5" ht="15.75">
      <c r="A49" s="301"/>
      <c r="B49" s="310"/>
      <c r="C49" s="325"/>
      <c r="D49" s="147"/>
      <c r="E49" s="147"/>
    </row>
    <row r="50" spans="1:5" ht="15.75">
      <c r="A50" s="301"/>
      <c r="B50" s="310"/>
      <c r="C50" s="325"/>
      <c r="D50" s="147"/>
      <c r="E50" s="147"/>
    </row>
    <row r="51" spans="1:5" ht="15.75">
      <c r="A51" s="301"/>
      <c r="B51" s="310"/>
      <c r="C51" s="325"/>
      <c r="D51" s="147"/>
      <c r="E51" s="147"/>
    </row>
    <row r="52" spans="1:5" ht="15.75">
      <c r="A52" s="301"/>
      <c r="B52" s="310"/>
      <c r="C52" s="325"/>
      <c r="D52" s="147"/>
      <c r="E52" s="147"/>
    </row>
    <row r="53" spans="1:5" ht="15.75">
      <c r="A53" s="301"/>
      <c r="B53" s="310"/>
      <c r="C53" s="325"/>
      <c r="D53" s="147"/>
      <c r="E53" s="147"/>
    </row>
    <row r="54" spans="1:5" ht="15.75">
      <c r="A54" s="301"/>
      <c r="B54" s="310"/>
      <c r="C54" s="325"/>
      <c r="D54" s="147"/>
      <c r="E54" s="147"/>
    </row>
    <row r="55" spans="1:5" ht="15.75">
      <c r="A55" s="301"/>
      <c r="B55" s="310"/>
      <c r="C55" s="325"/>
      <c r="D55" s="147"/>
      <c r="E55" s="147"/>
    </row>
    <row r="56" spans="1:5" ht="15.75">
      <c r="A56" s="301"/>
      <c r="B56" s="310"/>
      <c r="C56" s="325"/>
      <c r="D56" s="147"/>
      <c r="E56" s="147"/>
    </row>
    <row r="57" spans="1:5" ht="15.75">
      <c r="A57" s="301"/>
      <c r="B57" s="310"/>
      <c r="C57" s="325"/>
      <c r="D57" s="147"/>
      <c r="E57" s="147"/>
    </row>
    <row r="58" spans="1:5" ht="15.75">
      <c r="A58" s="301"/>
      <c r="B58" s="310"/>
      <c r="C58" s="325"/>
      <c r="D58" s="147"/>
      <c r="E58" s="147"/>
    </row>
    <row r="59" spans="1:5" ht="15.75">
      <c r="A59" s="301"/>
      <c r="B59" s="310"/>
      <c r="C59" s="325"/>
      <c r="D59" s="147"/>
      <c r="E59" s="147"/>
    </row>
    <row r="60" spans="1:5" ht="15.75">
      <c r="A60" s="301"/>
      <c r="B60" s="310"/>
      <c r="C60" s="325"/>
      <c r="D60" s="147"/>
      <c r="E60" s="147"/>
    </row>
    <row r="61" spans="1:5" ht="15.75">
      <c r="A61" s="301"/>
      <c r="B61" s="310"/>
      <c r="C61" s="325"/>
      <c r="D61" s="147"/>
      <c r="E61" s="147"/>
    </row>
    <row r="62" spans="1:5" ht="15.75">
      <c r="A62" s="301"/>
      <c r="B62" s="310"/>
      <c r="C62" s="325"/>
      <c r="D62" s="147"/>
      <c r="E62" s="147"/>
    </row>
    <row r="63" spans="1:5" ht="15.75">
      <c r="A63" s="319" t="s">
        <v>702</v>
      </c>
      <c r="B63" s="317"/>
      <c r="C63" s="325"/>
      <c r="D63" s="147"/>
      <c r="E63" s="356">
        <f>nhood!E7</f>
      </c>
    </row>
    <row r="64" spans="1:5" ht="15.75">
      <c r="A64" s="319" t="s">
        <v>703</v>
      </c>
      <c r="B64" s="317"/>
      <c r="C64" s="325"/>
      <c r="D64" s="325"/>
      <c r="E64" s="325"/>
    </row>
    <row r="65" spans="1:5" ht="15.75">
      <c r="A65" s="319" t="s">
        <v>704</v>
      </c>
      <c r="B65" s="317"/>
      <c r="C65" s="355">
        <f>IF(C66*0.1&lt;C64,"Exceed 10% Rule","")</f>
      </c>
      <c r="D65" s="355">
        <f>IF(D66*0.1&lt;D64,"Exceed 10% Rule","")</f>
      </c>
      <c r="E65" s="355">
        <f>IF(E66*0.1&lt;E64,"Exceed 10% Rule","")</f>
      </c>
    </row>
    <row r="66" spans="1:5" ht="15.75">
      <c r="A66" s="151" t="s">
        <v>404</v>
      </c>
      <c r="B66" s="309"/>
      <c r="C66" s="279">
        <f>SUM(C38:C64)</f>
        <v>3067725.73</v>
      </c>
      <c r="D66" s="277">
        <f>SUM(D38:D64)</f>
        <v>3102537.3899999997</v>
      </c>
      <c r="E66" s="278">
        <f>SUM(E38:E64)</f>
        <v>352440.76</v>
      </c>
    </row>
    <row r="67" spans="1:5" ht="15.75">
      <c r="A67" s="37" t="s">
        <v>528</v>
      </c>
      <c r="B67" s="309"/>
      <c r="C67" s="280">
        <f>C36-C66</f>
        <v>384978.1499999999</v>
      </c>
      <c r="D67" s="280">
        <f>D36-D66</f>
        <v>82440.76000000024</v>
      </c>
      <c r="E67" s="97" t="s">
        <v>380</v>
      </c>
    </row>
    <row r="68" spans="1:6" ht="15.75">
      <c r="A68" s="23" t="str">
        <f>CONCATENATE("",E1-2," Budget Authority Limited Amount:")</f>
        <v>2010 Budget Authority Limited Amount:</v>
      </c>
      <c r="B68" s="338">
        <f>+inputOth!B60</f>
        <v>3309225</v>
      </c>
      <c r="C68" s="21"/>
      <c r="D68" s="24" t="s">
        <v>405</v>
      </c>
      <c r="E68" s="9">
        <v>0</v>
      </c>
      <c r="F68" s="296">
        <f>IF(E66/0.95-E66&lt;E68,"Exceeds 5%","")</f>
      </c>
    </row>
    <row r="69" spans="1:5" ht="15.75">
      <c r="A69" s="23" t="str">
        <f>CONCATENATE("Violation of Budget Law for ",E1-2,":")</f>
        <v>Violation of Budget Law for 2010:</v>
      </c>
      <c r="B69" s="339">
        <f>IF(C66&gt;B68,"Yes","")</f>
      </c>
      <c r="C69" s="21"/>
      <c r="D69" s="24" t="s">
        <v>691</v>
      </c>
      <c r="E69" s="85">
        <f>E66+E68</f>
        <v>352440.76</v>
      </c>
    </row>
    <row r="70" spans="1:5" ht="15.75">
      <c r="A70" s="23" t="str">
        <f>CONCATENATE("Possible Cash Violation for ",E1-2,":")</f>
        <v>Possible Cash Violation for 2010:</v>
      </c>
      <c r="B70" s="339">
        <f>IF(C67&lt;0,"Yes","")</f>
      </c>
      <c r="C70" s="21"/>
      <c r="D70" s="24" t="s">
        <v>406</v>
      </c>
      <c r="E70" s="262">
        <f>IF(E69-E36&gt;0,E69-E36,0)</f>
        <v>0</v>
      </c>
    </row>
    <row r="71" spans="1:5" ht="15.75">
      <c r="A71" s="465" t="s">
        <v>615</v>
      </c>
      <c r="B71" s="465"/>
      <c r="C71" s="466"/>
      <c r="D71" s="228">
        <f>(inputOth!E46)</f>
        <v>0</v>
      </c>
      <c r="E71" s="85">
        <f>ROUND(IF(D71&gt;0,(E70*D71),0),0)</f>
        <v>0</v>
      </c>
    </row>
    <row r="72" spans="1:5" ht="15.75">
      <c r="A72" s="21"/>
      <c r="B72" s="21"/>
      <c r="C72" s="463" t="str">
        <f>CONCATENATE("Amount of  ",E1-1," Ad Valorem Tax")</f>
        <v>Amount of  2011 Ad Valorem Tax</v>
      </c>
      <c r="D72" s="467"/>
      <c r="E72" s="262">
        <f>E70+E71</f>
        <v>0</v>
      </c>
    </row>
    <row r="73" spans="1:5" ht="15.75">
      <c r="A73" s="24"/>
      <c r="B73" s="24"/>
      <c r="C73" s="21"/>
      <c r="D73" s="21"/>
      <c r="E73" s="21"/>
    </row>
    <row r="74" spans="1:5" ht="15.75">
      <c r="A74" s="23"/>
      <c r="B74" s="23" t="s">
        <v>408</v>
      </c>
      <c r="C74" s="100">
        <v>8</v>
      </c>
      <c r="D74" s="21"/>
      <c r="E74" s="21"/>
    </row>
  </sheetData>
  <sheetProtection/>
  <mergeCells count="2">
    <mergeCell ref="A71:C71"/>
    <mergeCell ref="C72:D72"/>
  </mergeCells>
  <conditionalFormatting sqref="C33">
    <cfRule type="cellIs" priority="1" dxfId="157" operator="greaterThan" stopIfTrue="1">
      <formula>$C$35*0.1</formula>
    </cfRule>
  </conditionalFormatting>
  <conditionalFormatting sqref="D33">
    <cfRule type="cellIs" priority="2" dxfId="157" operator="greaterThan" stopIfTrue="1">
      <formula>$D$35*0.1</formula>
    </cfRule>
  </conditionalFormatting>
  <conditionalFormatting sqref="E33">
    <cfRule type="cellIs" priority="3" dxfId="157" operator="greaterThan" stopIfTrue="1">
      <formula>$E$35*0.1</formula>
    </cfRule>
  </conditionalFormatting>
  <conditionalFormatting sqref="C64">
    <cfRule type="cellIs" priority="4" dxfId="157" operator="greaterThan" stopIfTrue="1">
      <formula>$C$66*0.1</formula>
    </cfRule>
  </conditionalFormatting>
  <conditionalFormatting sqref="D64">
    <cfRule type="cellIs" priority="5" dxfId="157" operator="greaterThan" stopIfTrue="1">
      <formula>$D$66*0.1</formula>
    </cfRule>
  </conditionalFormatting>
  <conditionalFormatting sqref="E64">
    <cfRule type="cellIs" priority="6" dxfId="157" operator="greaterThan" stopIfTrue="1">
      <formula>$E$66*0.1</formula>
    </cfRule>
  </conditionalFormatting>
  <conditionalFormatting sqref="E68">
    <cfRule type="cellIs" priority="7" dxfId="157" operator="greaterThan" stopIfTrue="1">
      <formula>$E$66/0.95-$E$66</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Coffeyville</oddHeader>
    <oddFooter>&amp;Lrevised 8/06/07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F75"/>
  <sheetViews>
    <sheetView view="pageBreakPreview" zoomScaleSheetLayoutView="100" zoomScalePageLayoutView="0" workbookViewId="0" topLeftCell="A1">
      <selection activeCell="E33" sqref="E33"/>
    </sheetView>
  </sheetViews>
  <sheetFormatPr defaultColWidth="8.796875" defaultRowHeight="15"/>
  <cols>
    <col min="1" max="1" width="28.796875" style="7" customWidth="1"/>
    <col min="2" max="2" width="9.59765625" style="7" customWidth="1"/>
    <col min="3" max="4" width="16.3984375" style="7" customWidth="1"/>
    <col min="5" max="5" width="16.3984375" style="7" bestFit="1" customWidth="1"/>
    <col min="6" max="16384" width="8.8984375" style="7"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465</v>
      </c>
      <c r="B3" s="90"/>
      <c r="C3" s="94"/>
      <c r="D3" s="94"/>
      <c r="E3" s="95"/>
    </row>
    <row r="4" spans="1:5" ht="15.75">
      <c r="A4" s="21"/>
      <c r="B4" s="21"/>
      <c r="C4" s="96"/>
      <c r="D4" s="96"/>
      <c r="E4" s="96"/>
    </row>
    <row r="5" spans="1:5" ht="15.75">
      <c r="A5" s="25" t="s">
        <v>391</v>
      </c>
      <c r="B5" s="25"/>
      <c r="C5" s="93" t="s">
        <v>412</v>
      </c>
      <c r="D5" s="33" t="s">
        <v>556</v>
      </c>
      <c r="E5" s="33" t="s">
        <v>557</v>
      </c>
    </row>
    <row r="6" spans="1:5" ht="15.75">
      <c r="A6" s="137" t="str">
        <f>inputPrYr!B19</f>
        <v>Library</v>
      </c>
      <c r="B6" s="137"/>
      <c r="C6" s="145">
        <f>E1-2</f>
        <v>2010</v>
      </c>
      <c r="D6" s="145">
        <f>E1-1</f>
        <v>2011</v>
      </c>
      <c r="E6" s="145">
        <f>E1</f>
        <v>2012</v>
      </c>
    </row>
    <row r="7" spans="1:5" ht="15.75">
      <c r="A7" s="311" t="s">
        <v>527</v>
      </c>
      <c r="B7" s="317"/>
      <c r="C7" s="313">
        <v>352.11</v>
      </c>
      <c r="D7" s="85">
        <f>C32</f>
        <v>16948.829999999958</v>
      </c>
      <c r="E7" s="85">
        <f>D32</f>
        <v>3870.829999999958</v>
      </c>
    </row>
    <row r="8" spans="1:5" ht="15.75">
      <c r="A8" s="316" t="s">
        <v>529</v>
      </c>
      <c r="B8" s="317"/>
      <c r="C8" s="305"/>
      <c r="D8" s="40"/>
      <c r="E8" s="40"/>
    </row>
    <row r="9" spans="1:6" ht="15.75">
      <c r="A9" s="37" t="s">
        <v>392</v>
      </c>
      <c r="B9" s="317"/>
      <c r="C9" s="313">
        <v>321136.11</v>
      </c>
      <c r="D9" s="85">
        <f>+inputPrYr!D19</f>
        <v>330404</v>
      </c>
      <c r="E9" s="97" t="s">
        <v>380</v>
      </c>
      <c r="F9" s="376">
        <f>+D9-306832</f>
        <v>23572</v>
      </c>
    </row>
    <row r="10" spans="1:5" ht="15.75">
      <c r="A10" s="37" t="s">
        <v>393</v>
      </c>
      <c r="B10" s="317"/>
      <c r="C10" s="313">
        <v>7230.67</v>
      </c>
      <c r="D10" s="9">
        <v>10000</v>
      </c>
      <c r="E10" s="9">
        <f>10000-0.4</f>
        <v>9999.6</v>
      </c>
    </row>
    <row r="11" spans="1:5" ht="15.75">
      <c r="A11" s="37" t="s">
        <v>394</v>
      </c>
      <c r="B11" s="317"/>
      <c r="C11" s="313">
        <v>15436.93</v>
      </c>
      <c r="D11" s="9">
        <v>19455</v>
      </c>
      <c r="E11" s="85">
        <f>mvalloc!C9</f>
        <v>16631</v>
      </c>
    </row>
    <row r="12" spans="1:5" ht="15.75">
      <c r="A12" s="37" t="s">
        <v>395</v>
      </c>
      <c r="B12" s="317"/>
      <c r="C12" s="313">
        <v>137.89</v>
      </c>
      <c r="D12" s="9">
        <v>156</v>
      </c>
      <c r="E12" s="85">
        <f>mvalloc!D9</f>
        <v>156</v>
      </c>
    </row>
    <row r="13" spans="1:5" ht="15.75">
      <c r="A13" s="321" t="s">
        <v>504</v>
      </c>
      <c r="B13" s="317"/>
      <c r="C13" s="313">
        <v>276.7</v>
      </c>
      <c r="D13" s="9">
        <v>135</v>
      </c>
      <c r="E13" s="85">
        <f>mvalloc!E9</f>
        <v>181</v>
      </c>
    </row>
    <row r="14" spans="1:5" ht="15.75">
      <c r="A14" s="322" t="s">
        <v>575</v>
      </c>
      <c r="B14" s="317"/>
      <c r="C14" s="313">
        <v>0</v>
      </c>
      <c r="D14" s="9">
        <v>0</v>
      </c>
      <c r="E14" s="85">
        <f>mvalloc!F9</f>
        <v>0</v>
      </c>
    </row>
    <row r="15" spans="1:5" ht="15.75">
      <c r="A15" s="301" t="s">
        <v>284</v>
      </c>
      <c r="B15" s="318"/>
      <c r="C15" s="313">
        <v>29.7</v>
      </c>
      <c r="D15" s="9">
        <v>2</v>
      </c>
      <c r="E15" s="9">
        <f>2-0.49</f>
        <v>1.51</v>
      </c>
    </row>
    <row r="16" spans="1:5" ht="15.75">
      <c r="A16" s="301"/>
      <c r="B16" s="318"/>
      <c r="C16" s="313"/>
      <c r="D16" s="9"/>
      <c r="E16" s="9"/>
    </row>
    <row r="17" spans="1:5" ht="15.75">
      <c r="A17" s="312" t="s">
        <v>396</v>
      </c>
      <c r="B17" s="318"/>
      <c r="C17" s="313"/>
      <c r="D17" s="9"/>
      <c r="E17" s="9"/>
    </row>
    <row r="18" spans="1:5" ht="15.75">
      <c r="A18" s="321" t="s">
        <v>703</v>
      </c>
      <c r="B18" s="317"/>
      <c r="C18" s="313"/>
      <c r="D18" s="313"/>
      <c r="E18" s="313"/>
    </row>
    <row r="19" spans="1:5" ht="15.75">
      <c r="A19" s="311" t="s">
        <v>705</v>
      </c>
      <c r="B19" s="317"/>
      <c r="C19" s="355">
        <f>IF(C20*0.1&lt;C18,"Exceed 10% Rule","")</f>
      </c>
      <c r="D19" s="355">
        <f>IF(D20*0.1&lt;D18,"Exceed 10% Rule","")</f>
      </c>
      <c r="E19" s="355">
        <f>IF(E20*0.1&lt;E18,"Exceed 10% Rule","")</f>
      </c>
    </row>
    <row r="20" spans="1:5" ht="15.75">
      <c r="A20" s="151" t="s">
        <v>397</v>
      </c>
      <c r="B20" s="317"/>
      <c r="C20" s="314">
        <f>SUM(C9:C18)</f>
        <v>344248</v>
      </c>
      <c r="D20" s="263">
        <f>SUM(D9:D18)</f>
        <v>360152</v>
      </c>
      <c r="E20" s="263">
        <f>SUM(E9:E18)</f>
        <v>26969.109999999997</v>
      </c>
    </row>
    <row r="21" spans="1:5" ht="15.75">
      <c r="A21" s="151" t="s">
        <v>398</v>
      </c>
      <c r="B21" s="317"/>
      <c r="C21" s="315">
        <f>C7+C20</f>
        <v>344600.11</v>
      </c>
      <c r="D21" s="262">
        <f>D7+D20</f>
        <v>377100.82999999996</v>
      </c>
      <c r="E21" s="262">
        <f>E7+E20</f>
        <v>30839.939999999955</v>
      </c>
    </row>
    <row r="22" spans="1:5" ht="15.75">
      <c r="A22" s="375" t="s">
        <v>400</v>
      </c>
      <c r="B22" s="352"/>
      <c r="C22" s="38"/>
      <c r="D22" s="42"/>
      <c r="E22" s="42"/>
    </row>
    <row r="23" spans="1:5" ht="15.75">
      <c r="A23" s="301" t="s">
        <v>72</v>
      </c>
      <c r="B23" s="318"/>
      <c r="C23" s="313">
        <v>322319.46</v>
      </c>
      <c r="D23" s="9">
        <v>260616</v>
      </c>
      <c r="E23" s="9">
        <v>261223</v>
      </c>
    </row>
    <row r="24" spans="1:5" ht="15.75">
      <c r="A24" s="301" t="s">
        <v>73</v>
      </c>
      <c r="B24" s="318"/>
      <c r="C24" s="313">
        <v>509.04</v>
      </c>
      <c r="D24" s="9">
        <v>82122</v>
      </c>
      <c r="E24" s="9">
        <v>87892</v>
      </c>
    </row>
    <row r="25" spans="1:5" ht="15.75">
      <c r="A25" s="301" t="s">
        <v>92</v>
      </c>
      <c r="B25" s="318"/>
      <c r="C25" s="313">
        <v>4214.78</v>
      </c>
      <c r="D25" s="9">
        <v>4420</v>
      </c>
      <c r="E25" s="9">
        <v>4820</v>
      </c>
    </row>
    <row r="26" spans="1:5" ht="15.75">
      <c r="A26" s="301" t="s">
        <v>74</v>
      </c>
      <c r="B26" s="318"/>
      <c r="C26" s="313">
        <v>608</v>
      </c>
      <c r="D26" s="9">
        <v>2500</v>
      </c>
      <c r="E26" s="9">
        <v>24950.45</v>
      </c>
    </row>
    <row r="27" spans="1:5" ht="15.75">
      <c r="A27" s="301" t="s">
        <v>71</v>
      </c>
      <c r="B27" s="318"/>
      <c r="C27" s="313">
        <v>0</v>
      </c>
      <c r="D27" s="9">
        <f>+D9-306832</f>
        <v>23572</v>
      </c>
      <c r="E27" s="9">
        <v>436</v>
      </c>
    </row>
    <row r="28" spans="1:5" ht="15.75">
      <c r="A28" s="319" t="s">
        <v>702</v>
      </c>
      <c r="B28" s="317"/>
      <c r="C28" s="313"/>
      <c r="D28" s="9"/>
      <c r="E28" s="262">
        <f>nhood!E8</f>
      </c>
    </row>
    <row r="29" spans="1:5" ht="15.75">
      <c r="A29" s="319" t="s">
        <v>703</v>
      </c>
      <c r="B29" s="317"/>
      <c r="C29" s="313"/>
      <c r="D29" s="313"/>
      <c r="E29" s="313"/>
    </row>
    <row r="30" spans="1:5" ht="15.75">
      <c r="A30" s="319" t="s">
        <v>704</v>
      </c>
      <c r="B30" s="317"/>
      <c r="C30" s="355">
        <f>IF(C31*0.1&lt;C29,"Exceed 10% Rule","")</f>
      </c>
      <c r="D30" s="355">
        <f>IF(D31*0.1&lt;D29,"Exceed 10% Rule","")</f>
      </c>
      <c r="E30" s="355">
        <f>IF(E31*0.1&lt;E29,"Exceed 10% Rule","")</f>
      </c>
    </row>
    <row r="31" spans="1:5" ht="15.75">
      <c r="A31" s="151" t="s">
        <v>404</v>
      </c>
      <c r="B31" s="317"/>
      <c r="C31" s="314">
        <f>SUM(C23:C29)</f>
        <v>327651.28</v>
      </c>
      <c r="D31" s="263">
        <f>SUM(D23:D29)</f>
        <v>373230</v>
      </c>
      <c r="E31" s="263">
        <f>SUM(E23:E29)</f>
        <v>379321.45</v>
      </c>
    </row>
    <row r="32" spans="1:5" ht="15.75">
      <c r="A32" s="37" t="s">
        <v>528</v>
      </c>
      <c r="B32" s="317"/>
      <c r="C32" s="315">
        <f>C21-C31</f>
        <v>16948.829999999958</v>
      </c>
      <c r="D32" s="262">
        <f>D21-D31</f>
        <v>3870.829999999958</v>
      </c>
      <c r="E32" s="97" t="s">
        <v>380</v>
      </c>
    </row>
    <row r="33" spans="1:6" ht="15.75">
      <c r="A33" s="23" t="str">
        <f>CONCATENATE("",E1-2," Budget Authority Limited Amount:")</f>
        <v>2010 Budget Authority Limited Amount:</v>
      </c>
      <c r="B33" s="338">
        <f>inputOth!B61</f>
        <v>362253</v>
      </c>
      <c r="C33" s="21"/>
      <c r="D33" s="24" t="s">
        <v>405</v>
      </c>
      <c r="E33" s="9">
        <f>5000-436</f>
        <v>4564</v>
      </c>
      <c r="F33" s="296">
        <f>IF(E31/0.95-E31&lt;E33,"Exceeds 5%","")</f>
      </c>
    </row>
    <row r="34" spans="1:5" ht="15.75">
      <c r="A34" s="23" t="str">
        <f>CONCATENATE("Violation of Budget Law for ",E1-2,":")</f>
        <v>Violation of Budget Law for 2010:</v>
      </c>
      <c r="B34" s="339">
        <f>IF(C31&gt;B33,"Yes","")</f>
      </c>
      <c r="C34" s="21"/>
      <c r="D34" s="24" t="s">
        <v>691</v>
      </c>
      <c r="E34" s="85">
        <f>E31+E33</f>
        <v>383885.45</v>
      </c>
    </row>
    <row r="35" spans="1:5" ht="15.75">
      <c r="A35" s="23" t="str">
        <f>CONCATENATE("Possible Cash Violation for ",E1-2,":")</f>
        <v>Possible Cash Violation for 2010:</v>
      </c>
      <c r="B35" s="339">
        <f>IF(C32&lt;0,"Yes","")</f>
      </c>
      <c r="C35" s="21"/>
      <c r="D35" s="24" t="s">
        <v>406</v>
      </c>
      <c r="E35" s="262">
        <f>IF(E34-E21&gt;0,E34-E21,0)</f>
        <v>353045.51000000007</v>
      </c>
    </row>
    <row r="36" spans="1:5" ht="15.75">
      <c r="A36" s="465" t="s">
        <v>615</v>
      </c>
      <c r="B36" s="465"/>
      <c r="C36" s="466"/>
      <c r="D36" s="228">
        <f>(inputOth!E46)</f>
        <v>0</v>
      </c>
      <c r="E36" s="85">
        <f>ROUND(IF(D36&gt;0,(E35*D36),0),0)</f>
        <v>0</v>
      </c>
    </row>
    <row r="37" spans="1:6" ht="15.75">
      <c r="A37" s="24"/>
      <c r="B37" s="24"/>
      <c r="C37" s="463" t="str">
        <f>CONCATENATE("Amount of  ",E1-1," Ad Valorem Tax")</f>
        <v>Amount of  2011 Ad Valorem Tax</v>
      </c>
      <c r="D37" s="467"/>
      <c r="E37" s="411">
        <f>E35+E36</f>
        <v>353045.51000000007</v>
      </c>
      <c r="F37" s="376">
        <f>+E37-353045.62</f>
        <v>-0.1099999999278225</v>
      </c>
    </row>
    <row r="38" spans="1:5" ht="15.75">
      <c r="A38" s="21"/>
      <c r="B38" s="21"/>
      <c r="C38" s="463"/>
      <c r="D38" s="468"/>
      <c r="E38" s="106"/>
    </row>
    <row r="39" spans="1:5" ht="15.75">
      <c r="A39" s="25" t="s">
        <v>391</v>
      </c>
      <c r="B39" s="25"/>
      <c r="C39" s="96"/>
      <c r="D39" s="96"/>
      <c r="E39" s="96"/>
    </row>
    <row r="40" spans="1:5" ht="15.75">
      <c r="A40" s="21"/>
      <c r="B40" s="21"/>
      <c r="C40" s="93" t="s">
        <v>412</v>
      </c>
      <c r="D40" s="33" t="s">
        <v>556</v>
      </c>
      <c r="E40" s="33" t="s">
        <v>557</v>
      </c>
    </row>
    <row r="41" spans="1:5" ht="15.75">
      <c r="A41" s="137" t="str">
        <f>(inputPrYr!B20)</f>
        <v>Employee Benefits</v>
      </c>
      <c r="B41" s="137"/>
      <c r="C41" s="145">
        <f>E1-2</f>
        <v>2010</v>
      </c>
      <c r="D41" s="145">
        <f>E1-1</f>
        <v>2011</v>
      </c>
      <c r="E41" s="145">
        <f>E1</f>
        <v>2012</v>
      </c>
    </row>
    <row r="42" spans="1:5" ht="15.75">
      <c r="A42" s="311" t="s">
        <v>527</v>
      </c>
      <c r="B42" s="317"/>
      <c r="C42" s="313">
        <v>0</v>
      </c>
      <c r="D42" s="85">
        <f>C67</f>
        <v>0</v>
      </c>
      <c r="E42" s="85">
        <f>D67</f>
        <v>0</v>
      </c>
    </row>
    <row r="43" spans="1:5" ht="15.75">
      <c r="A43" s="316" t="s">
        <v>529</v>
      </c>
      <c r="B43" s="317"/>
      <c r="C43" s="305"/>
      <c r="D43" s="40"/>
      <c r="E43" s="40"/>
    </row>
    <row r="44" spans="1:5" ht="15.75">
      <c r="A44" s="37" t="s">
        <v>392</v>
      </c>
      <c r="B44" s="317"/>
      <c r="C44" s="313">
        <v>0</v>
      </c>
      <c r="D44" s="85">
        <f>inputPrYr!D20</f>
        <v>0</v>
      </c>
      <c r="E44" s="97" t="s">
        <v>380</v>
      </c>
    </row>
    <row r="45" spans="1:5" ht="15.75">
      <c r="A45" s="37" t="s">
        <v>393</v>
      </c>
      <c r="B45" s="317"/>
      <c r="C45" s="313">
        <v>0</v>
      </c>
      <c r="D45" s="9">
        <v>0</v>
      </c>
      <c r="E45" s="9">
        <v>0</v>
      </c>
    </row>
    <row r="46" spans="1:5" ht="15.75">
      <c r="A46" s="37" t="s">
        <v>394</v>
      </c>
      <c r="B46" s="317"/>
      <c r="C46" s="313">
        <v>0</v>
      </c>
      <c r="D46" s="9">
        <v>0</v>
      </c>
      <c r="E46" s="85" t="str">
        <f>mvalloc!C10</f>
        <v>  </v>
      </c>
    </row>
    <row r="47" spans="1:5" ht="15.75">
      <c r="A47" s="37" t="s">
        <v>395</v>
      </c>
      <c r="B47" s="317"/>
      <c r="C47" s="313">
        <v>0</v>
      </c>
      <c r="D47" s="9">
        <v>0</v>
      </c>
      <c r="E47" s="85" t="str">
        <f>mvalloc!D10</f>
        <v> </v>
      </c>
    </row>
    <row r="48" spans="1:5" ht="15.75">
      <c r="A48" s="321" t="s">
        <v>504</v>
      </c>
      <c r="B48" s="317"/>
      <c r="C48" s="313">
        <v>0</v>
      </c>
      <c r="D48" s="9">
        <v>0</v>
      </c>
      <c r="E48" s="85" t="str">
        <f>mvalloc!E10</f>
        <v> </v>
      </c>
    </row>
    <row r="49" spans="1:5" ht="15.75">
      <c r="A49" s="322" t="s">
        <v>575</v>
      </c>
      <c r="B49" s="317"/>
      <c r="C49" s="313">
        <v>0</v>
      </c>
      <c r="D49" s="9">
        <v>0</v>
      </c>
      <c r="E49" s="85" t="str">
        <f>mvalloc!F10</f>
        <v> </v>
      </c>
    </row>
    <row r="50" spans="1:5" ht="15.75">
      <c r="A50" s="301" t="s">
        <v>284</v>
      </c>
      <c r="B50" s="318"/>
      <c r="C50" s="313">
        <v>0</v>
      </c>
      <c r="D50" s="9">
        <v>0</v>
      </c>
      <c r="E50" s="9">
        <v>0</v>
      </c>
    </row>
    <row r="51" spans="1:5" ht="15.75">
      <c r="A51" s="301"/>
      <c r="B51" s="318"/>
      <c r="C51" s="313"/>
      <c r="D51" s="9"/>
      <c r="E51" s="9"/>
    </row>
    <row r="52" spans="1:5" ht="15.75">
      <c r="A52" s="312" t="s">
        <v>396</v>
      </c>
      <c r="B52" s="318"/>
      <c r="C52" s="313"/>
      <c r="D52" s="9"/>
      <c r="E52" s="9"/>
    </row>
    <row r="53" spans="1:5" ht="15.75">
      <c r="A53" s="321" t="s">
        <v>703</v>
      </c>
      <c r="B53" s="317"/>
      <c r="C53" s="313"/>
      <c r="D53" s="313"/>
      <c r="E53" s="313"/>
    </row>
    <row r="54" spans="1:5" ht="15.75">
      <c r="A54" s="311" t="s">
        <v>705</v>
      </c>
      <c r="B54" s="317"/>
      <c r="C54" s="355">
        <f>IF(C55*0.1&lt;C53,"Exceed 10% Rule","")</f>
      </c>
      <c r="D54" s="355">
        <f>IF(D55*0.1&lt;D53,"Exceed 10% Rule","")</f>
      </c>
      <c r="E54" s="355">
        <f>IF(E55*0.1&lt;E53,"Exceed 10% Rule","")</f>
      </c>
    </row>
    <row r="55" spans="1:5" ht="15.75">
      <c r="A55" s="151" t="s">
        <v>397</v>
      </c>
      <c r="B55" s="317"/>
      <c r="C55" s="314">
        <f>SUM(C44:C53)</f>
        <v>0</v>
      </c>
      <c r="D55" s="263">
        <f>SUM(D44:D53)</f>
        <v>0</v>
      </c>
      <c r="E55" s="263">
        <f>SUM(E44:E53)</f>
        <v>0</v>
      </c>
    </row>
    <row r="56" spans="1:5" ht="15.75">
      <c r="A56" s="151" t="s">
        <v>398</v>
      </c>
      <c r="B56" s="317"/>
      <c r="C56" s="314">
        <f>C42+C55</f>
        <v>0</v>
      </c>
      <c r="D56" s="263">
        <f>D42+D55</f>
        <v>0</v>
      </c>
      <c r="E56" s="263">
        <f>E42+E55</f>
        <v>0</v>
      </c>
    </row>
    <row r="57" spans="1:5" ht="15.75">
      <c r="A57" s="37" t="s">
        <v>400</v>
      </c>
      <c r="B57" s="317"/>
      <c r="C57" s="38"/>
      <c r="D57" s="42"/>
      <c r="E57" s="42"/>
    </row>
    <row r="58" spans="1:5" ht="15.75">
      <c r="A58" s="301"/>
      <c r="B58" s="318"/>
      <c r="C58" s="313"/>
      <c r="D58" s="9"/>
      <c r="E58" s="9"/>
    </row>
    <row r="59" spans="1:5" ht="15.75">
      <c r="A59" s="301"/>
      <c r="B59" s="318"/>
      <c r="C59" s="313"/>
      <c r="D59" s="9"/>
      <c r="E59" s="9"/>
    </row>
    <row r="60" spans="1:5" ht="15.75">
      <c r="A60" s="301"/>
      <c r="B60" s="318"/>
      <c r="C60" s="313"/>
      <c r="D60" s="9"/>
      <c r="E60" s="9"/>
    </row>
    <row r="61" spans="1:5" ht="15.75">
      <c r="A61" s="301"/>
      <c r="B61" s="318"/>
      <c r="C61" s="313"/>
      <c r="D61" s="9"/>
      <c r="E61" s="9"/>
    </row>
    <row r="62" spans="1:5" ht="15.75">
      <c r="A62" s="301"/>
      <c r="B62" s="318"/>
      <c r="C62" s="313"/>
      <c r="D62" s="9"/>
      <c r="E62" s="9"/>
    </row>
    <row r="63" spans="1:5" ht="15.75">
      <c r="A63" s="319" t="s">
        <v>702</v>
      </c>
      <c r="B63" s="317"/>
      <c r="C63" s="313"/>
      <c r="D63" s="9"/>
      <c r="E63" s="262">
        <f>nhood!E9</f>
      </c>
    </row>
    <row r="64" spans="1:5" ht="15.75">
      <c r="A64" s="319" t="s">
        <v>703</v>
      </c>
      <c r="B64" s="317"/>
      <c r="C64" s="313"/>
      <c r="D64" s="313"/>
      <c r="E64" s="313"/>
    </row>
    <row r="65" spans="1:5" ht="15.75">
      <c r="A65" s="319" t="s">
        <v>704</v>
      </c>
      <c r="B65" s="317"/>
      <c r="C65" s="355">
        <f>IF(C66*0.1&lt;C64,"Exceed 10% Rule","")</f>
      </c>
      <c r="D65" s="355">
        <f>IF(D66*0.1&lt;D64,"Exceed 10% Rule","")</f>
      </c>
      <c r="E65" s="355">
        <f>IF(E66*0.1&lt;E64,"Exceed 10% Rule","")</f>
      </c>
    </row>
    <row r="66" spans="1:5" ht="15.75">
      <c r="A66" s="151" t="s">
        <v>404</v>
      </c>
      <c r="B66" s="317"/>
      <c r="C66" s="314">
        <f>SUM(C58:C64)</f>
        <v>0</v>
      </c>
      <c r="D66" s="263">
        <f>SUM(D58:D64)</f>
        <v>0</v>
      </c>
      <c r="E66" s="263">
        <f>SUM(E58:E64)</f>
        <v>0</v>
      </c>
    </row>
    <row r="67" spans="1:5" ht="15.75">
      <c r="A67" s="37" t="s">
        <v>528</v>
      </c>
      <c r="B67" s="317"/>
      <c r="C67" s="315">
        <f>C56-C66</f>
        <v>0</v>
      </c>
      <c r="D67" s="262">
        <f>D56-D66</f>
        <v>0</v>
      </c>
      <c r="E67" s="97" t="s">
        <v>380</v>
      </c>
    </row>
    <row r="68" spans="1:6" ht="15.75">
      <c r="A68" s="23" t="str">
        <f>CONCATENATE("",E1-2," Budget Authority Limited Amount:")</f>
        <v>2010 Budget Authority Limited Amount:</v>
      </c>
      <c r="B68" s="338">
        <f>inputOth!B62</f>
        <v>0</v>
      </c>
      <c r="C68" s="65"/>
      <c r="D68" s="24" t="s">
        <v>405</v>
      </c>
      <c r="E68" s="9">
        <v>0</v>
      </c>
      <c r="F68" s="296">
        <f>IF(E66/0.95-E66&lt;E68,"Exceeds 5%","")</f>
      </c>
    </row>
    <row r="69" spans="1:5" ht="15.75">
      <c r="A69" s="23" t="str">
        <f>CONCATENATE("Violation of Budget Law for ",E1-2,":")</f>
        <v>Violation of Budget Law for 2010:</v>
      </c>
      <c r="B69" s="339">
        <f>IF(C66&gt;B68,"Yes","")</f>
      </c>
      <c r="C69" s="65"/>
      <c r="D69" s="24" t="s">
        <v>691</v>
      </c>
      <c r="E69" s="85">
        <f>E66+E68</f>
        <v>0</v>
      </c>
    </row>
    <row r="70" spans="1:5" ht="15.75">
      <c r="A70" s="23" t="str">
        <f>CONCATENATE("Possible Cash Violation for ",E1-2,":")</f>
        <v>Possible Cash Violation for 2010:</v>
      </c>
      <c r="B70" s="339">
        <f>IF(C67&lt;0,"Yes","")</f>
      </c>
      <c r="C70" s="21"/>
      <c r="D70" s="24" t="s">
        <v>406</v>
      </c>
      <c r="E70" s="262">
        <f>IF(E69-E56&gt;0,E69-E56,0)</f>
        <v>0</v>
      </c>
    </row>
    <row r="71" spans="1:5" ht="15.75">
      <c r="A71" s="465" t="s">
        <v>615</v>
      </c>
      <c r="B71" s="465"/>
      <c r="C71" s="466"/>
      <c r="D71" s="229">
        <f>(inputOth!E46)</f>
        <v>0</v>
      </c>
      <c r="E71" s="85">
        <f>ROUND(IF(D71&gt;0,(E70*D71),0),0)</f>
        <v>0</v>
      </c>
    </row>
    <row r="72" spans="1:5" ht="16.5" thickBot="1">
      <c r="A72" s="21"/>
      <c r="B72" s="21"/>
      <c r="C72" s="463" t="str">
        <f>CONCATENATE("Amount of  ",E1-1," Ad Valorem Tax")</f>
        <v>Amount of  2011 Ad Valorem Tax</v>
      </c>
      <c r="D72" s="467"/>
      <c r="E72" s="264">
        <f>E70+E71</f>
        <v>0</v>
      </c>
    </row>
    <row r="73" spans="1:5" ht="16.5" thickTop="1">
      <c r="A73" s="21"/>
      <c r="B73" s="21"/>
      <c r="C73" s="374"/>
      <c r="D73" s="374"/>
      <c r="E73" s="374"/>
    </row>
    <row r="74" spans="1:5" ht="15.75">
      <c r="A74" s="24"/>
      <c r="B74" s="24" t="s">
        <v>408</v>
      </c>
      <c r="C74" s="100">
        <v>9</v>
      </c>
      <c r="D74" s="21"/>
      <c r="E74" s="21"/>
    </row>
    <row r="75" spans="1:2" ht="15.75">
      <c r="A75" s="2"/>
      <c r="B75" s="2"/>
    </row>
  </sheetData>
  <sheetProtection/>
  <mergeCells count="5">
    <mergeCell ref="C72:D72"/>
    <mergeCell ref="A36:C36"/>
    <mergeCell ref="A71:C71"/>
    <mergeCell ref="C38:D38"/>
    <mergeCell ref="C37:D37"/>
  </mergeCells>
  <conditionalFormatting sqref="C64">
    <cfRule type="cellIs" priority="1" dxfId="157" operator="greaterThan" stopIfTrue="1">
      <formula>$C$66*0.1</formula>
    </cfRule>
  </conditionalFormatting>
  <conditionalFormatting sqref="D64">
    <cfRule type="cellIs" priority="2" dxfId="157" operator="greaterThan" stopIfTrue="1">
      <formula>$D$66*0.1</formula>
    </cfRule>
  </conditionalFormatting>
  <conditionalFormatting sqref="E64">
    <cfRule type="cellIs" priority="3" dxfId="157" operator="greaterThan" stopIfTrue="1">
      <formula>$E$66*0.1</formula>
    </cfRule>
  </conditionalFormatting>
  <conditionalFormatting sqref="E68">
    <cfRule type="cellIs" priority="4" dxfId="157" operator="greaterThan" stopIfTrue="1">
      <formula>$E$66/0.95-$E$66</formula>
    </cfRule>
  </conditionalFormatting>
  <conditionalFormatting sqref="C53">
    <cfRule type="cellIs" priority="5" dxfId="157" operator="greaterThan" stopIfTrue="1">
      <formula>$C$55*0.1</formula>
    </cfRule>
  </conditionalFormatting>
  <conditionalFormatting sqref="D53">
    <cfRule type="cellIs" priority="6" dxfId="157" operator="greaterThan" stopIfTrue="1">
      <formula>$D$55*0.1</formula>
    </cfRule>
  </conditionalFormatting>
  <conditionalFormatting sqref="E53">
    <cfRule type="cellIs" priority="7" dxfId="157" operator="greaterThan" stopIfTrue="1">
      <formula>$E$55*0.1</formula>
    </cfRule>
  </conditionalFormatting>
  <conditionalFormatting sqref="C29">
    <cfRule type="cellIs" priority="8" dxfId="157" operator="greaterThan" stopIfTrue="1">
      <formula>$C$31*0.1</formula>
    </cfRule>
  </conditionalFormatting>
  <conditionalFormatting sqref="D29">
    <cfRule type="cellIs" priority="9" dxfId="157" operator="greaterThan" stopIfTrue="1">
      <formula>$D$31*0.1</formula>
    </cfRule>
  </conditionalFormatting>
  <conditionalFormatting sqref="E29">
    <cfRule type="cellIs" priority="10" dxfId="157" operator="greaterThan" stopIfTrue="1">
      <formula>$E$31*0.1</formula>
    </cfRule>
  </conditionalFormatting>
  <conditionalFormatting sqref="E33">
    <cfRule type="cellIs" priority="11" dxfId="157" operator="greaterThan" stopIfTrue="1">
      <formula>$E$31/0.95-$E$31</formula>
    </cfRule>
  </conditionalFormatting>
  <conditionalFormatting sqref="C18">
    <cfRule type="cellIs" priority="12" dxfId="157" operator="greaterThan" stopIfTrue="1">
      <formula>$C$20*0.1</formula>
    </cfRule>
  </conditionalFormatting>
  <conditionalFormatting sqref="D18">
    <cfRule type="cellIs" priority="13" dxfId="157" operator="greaterThan" stopIfTrue="1">
      <formula>$D$20*0.1</formula>
    </cfRule>
  </conditionalFormatting>
  <conditionalFormatting sqref="E18">
    <cfRule type="cellIs" priority="14" dxfId="157" operator="greaterThan" stopIfTrue="1">
      <formula>$E$20*0.1</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Coffeyville</oddHeader>
    <oddFooter>&amp;Lrevised 8/06/07</oddFooter>
  </headerFooter>
</worksheet>
</file>

<file path=xl/worksheets/sheet2.xml><?xml version="1.0" encoding="utf-8"?>
<worksheet xmlns="http://schemas.openxmlformats.org/spreadsheetml/2006/main" xmlns:r="http://schemas.openxmlformats.org/officeDocument/2006/relationships">
  <dimension ref="A1:E130"/>
  <sheetViews>
    <sheetView view="pageBreakPreview" zoomScaleSheetLayoutView="100" zoomScalePageLayoutView="0" workbookViewId="0" topLeftCell="A1">
      <selection activeCell="D16" sqref="D16"/>
    </sheetView>
  </sheetViews>
  <sheetFormatPr defaultColWidth="8.796875" defaultRowHeight="15"/>
  <cols>
    <col min="1" max="1" width="15.796875" style="7" customWidth="1"/>
    <col min="2" max="2" width="20.796875" style="7" customWidth="1"/>
    <col min="3" max="3" width="9.796875" style="7" customWidth="1"/>
    <col min="4" max="4" width="15.09765625" style="7" customWidth="1"/>
    <col min="5" max="5" width="15.796875" style="7" customWidth="1"/>
    <col min="6" max="16384" width="8.8984375" style="7" customWidth="1"/>
  </cols>
  <sheetData>
    <row r="1" spans="1:5" ht="15.75">
      <c r="A1" s="435" t="s">
        <v>358</v>
      </c>
      <c r="B1" s="436"/>
      <c r="C1" s="436"/>
      <c r="D1" s="436"/>
      <c r="E1" s="436"/>
    </row>
    <row r="2" spans="1:5" ht="15.75">
      <c r="A2" s="22" t="s">
        <v>37</v>
      </c>
      <c r="B2" s="21"/>
      <c r="C2" s="21"/>
      <c r="D2" s="254" t="s">
        <v>267</v>
      </c>
      <c r="E2" s="255"/>
    </row>
    <row r="3" spans="1:5" ht="15.75">
      <c r="A3" s="22" t="s">
        <v>38</v>
      </c>
      <c r="B3" s="21"/>
      <c r="C3" s="21"/>
      <c r="D3" s="256" t="s">
        <v>194</v>
      </c>
      <c r="E3" s="257"/>
    </row>
    <row r="4" spans="1:5" ht="15.75">
      <c r="A4" s="25"/>
      <c r="B4" s="21"/>
      <c r="C4" s="21"/>
      <c r="D4" s="182"/>
      <c r="E4" s="21"/>
    </row>
    <row r="5" spans="1:5" ht="15.75">
      <c r="A5" s="22" t="s">
        <v>578</v>
      </c>
      <c r="B5" s="21"/>
      <c r="C5" s="253">
        <v>2012</v>
      </c>
      <c r="D5" s="182"/>
      <c r="E5" s="21"/>
    </row>
    <row r="6" spans="1:5" ht="15.75">
      <c r="A6" s="21"/>
      <c r="B6" s="21"/>
      <c r="C6" s="21"/>
      <c r="D6" s="21"/>
      <c r="E6" s="21"/>
    </row>
    <row r="7" spans="1:5" ht="31.5">
      <c r="A7" s="110" t="s">
        <v>678</v>
      </c>
      <c r="B7" s="116"/>
      <c r="C7" s="116"/>
      <c r="D7" s="116"/>
      <c r="E7" s="116"/>
    </row>
    <row r="8" spans="1:5" ht="15.75">
      <c r="A8" s="110" t="s">
        <v>677</v>
      </c>
      <c r="B8" s="116"/>
      <c r="C8" s="116"/>
      <c r="D8" s="116"/>
      <c r="E8" s="116"/>
    </row>
    <row r="9" spans="1:5" ht="15.75">
      <c r="A9" s="110"/>
      <c r="B9" s="116"/>
      <c r="C9" s="116"/>
      <c r="D9" s="116"/>
      <c r="E9" s="116"/>
    </row>
    <row r="10" spans="1:5" ht="15.75">
      <c r="A10" s="433" t="s">
        <v>651</v>
      </c>
      <c r="B10" s="434"/>
      <c r="C10" s="434"/>
      <c r="D10" s="434"/>
      <c r="E10" s="434"/>
    </row>
    <row r="11" spans="1:5" ht="15.75">
      <c r="A11" s="21"/>
      <c r="B11" s="21"/>
      <c r="C11" s="21"/>
      <c r="D11" s="21"/>
      <c r="E11" s="21"/>
    </row>
    <row r="12" spans="1:5" ht="15.75">
      <c r="A12" s="183" t="s">
        <v>652</v>
      </c>
      <c r="B12" s="126"/>
      <c r="C12" s="21"/>
      <c r="D12" s="21"/>
      <c r="E12" s="21"/>
    </row>
    <row r="13" spans="1:5" ht="15.75">
      <c r="A13" s="123" t="str">
        <f>CONCATENATE("the ",C5-1," Budget, Certificate Page:")</f>
        <v>the 2011 Budget, Certificate Page:</v>
      </c>
      <c r="B13" s="124"/>
      <c r="C13" s="21"/>
      <c r="D13" s="21"/>
      <c r="E13" s="21"/>
    </row>
    <row r="14" spans="1:5" ht="15.75">
      <c r="A14" s="21"/>
      <c r="B14" s="21"/>
      <c r="C14" s="21"/>
      <c r="D14" s="238" t="s">
        <v>613</v>
      </c>
      <c r="E14" s="168"/>
    </row>
    <row r="15" spans="1:5" ht="15.75">
      <c r="A15" s="25" t="s">
        <v>359</v>
      </c>
      <c r="B15" s="21"/>
      <c r="C15" s="49" t="s">
        <v>360</v>
      </c>
      <c r="D15" s="239" t="str">
        <f>CONCATENATE("in ",C5-2," Budget")</f>
        <v>in 2010 Budget</v>
      </c>
      <c r="E15" s="168"/>
    </row>
    <row r="16" spans="1:5" ht="15.75">
      <c r="A16" s="21"/>
      <c r="B16" s="44" t="s">
        <v>361</v>
      </c>
      <c r="C16" s="42" t="s">
        <v>531</v>
      </c>
      <c r="D16" s="9">
        <v>3905882</v>
      </c>
      <c r="E16" s="168"/>
    </row>
    <row r="17" spans="1:5" ht="15.75">
      <c r="A17" s="21"/>
      <c r="B17" s="44" t="s">
        <v>571</v>
      </c>
      <c r="C17" s="42" t="s">
        <v>579</v>
      </c>
      <c r="D17" s="9">
        <v>0</v>
      </c>
      <c r="E17" s="168"/>
    </row>
    <row r="18" spans="1:5" ht="15.75">
      <c r="A18" s="25" t="s">
        <v>362</v>
      </c>
      <c r="B18" s="21"/>
      <c r="C18" s="21"/>
      <c r="D18" s="21"/>
      <c r="E18" s="168"/>
    </row>
    <row r="19" spans="1:5" ht="15.75">
      <c r="A19" s="21"/>
      <c r="B19" s="8" t="s">
        <v>193</v>
      </c>
      <c r="C19" s="8"/>
      <c r="D19" s="9">
        <v>330404</v>
      </c>
      <c r="E19" s="168"/>
    </row>
    <row r="20" spans="1:5" ht="15.75">
      <c r="A20" s="21"/>
      <c r="B20" s="8" t="s">
        <v>67</v>
      </c>
      <c r="C20" s="8"/>
      <c r="D20" s="9">
        <v>0</v>
      </c>
      <c r="E20" s="168"/>
    </row>
    <row r="21" spans="1:5" ht="15.75">
      <c r="A21" s="21"/>
      <c r="B21" s="8"/>
      <c r="C21" s="8"/>
      <c r="D21" s="9"/>
      <c r="E21" s="168"/>
    </row>
    <row r="22" spans="1:5" ht="15.75">
      <c r="A22" s="21"/>
      <c r="B22" s="8"/>
      <c r="C22" s="8"/>
      <c r="D22" s="9"/>
      <c r="E22" s="168"/>
    </row>
    <row r="23" spans="1:5" ht="15.75">
      <c r="A23" s="21"/>
      <c r="B23" s="8"/>
      <c r="C23" s="8"/>
      <c r="D23" s="9"/>
      <c r="E23" s="168"/>
    </row>
    <row r="24" spans="1:5" ht="15.75">
      <c r="A24" s="21"/>
      <c r="B24" s="8"/>
      <c r="C24" s="8"/>
      <c r="D24" s="9"/>
      <c r="E24" s="168"/>
    </row>
    <row r="25" spans="1:5" ht="15.75">
      <c r="A25" s="21"/>
      <c r="B25" s="8"/>
      <c r="C25" s="8"/>
      <c r="D25" s="9"/>
      <c r="E25" s="168"/>
    </row>
    <row r="26" spans="1:5" ht="15.75">
      <c r="A26" s="21"/>
      <c r="B26" s="8"/>
      <c r="C26" s="8"/>
      <c r="D26" s="9"/>
      <c r="E26" s="168"/>
    </row>
    <row r="27" spans="1:5" ht="15.75">
      <c r="A27" s="21"/>
      <c r="B27" s="8"/>
      <c r="C27" s="8"/>
      <c r="D27" s="9"/>
      <c r="E27" s="168"/>
    </row>
    <row r="28" spans="1:5" ht="15.75">
      <c r="A28" s="21"/>
      <c r="B28" s="8"/>
      <c r="C28" s="8"/>
      <c r="D28" s="9"/>
      <c r="E28" s="168"/>
    </row>
    <row r="29" spans="1:5" ht="15.75">
      <c r="A29" s="111" t="str">
        <f>CONCATENATE("Total Tax Levy Funds for ",C5-1," Budgeted Year")</f>
        <v>Total Tax Levy Funds for 2011 Budgeted Year</v>
      </c>
      <c r="B29" s="20"/>
      <c r="C29" s="117"/>
      <c r="D29" s="258">
        <f>SUM(D16:D28)</f>
        <v>4236286</v>
      </c>
      <c r="E29" s="168"/>
    </row>
    <row r="30" spans="1:5" ht="15.75">
      <c r="A30" s="130"/>
      <c r="B30" s="106"/>
      <c r="C30" s="106"/>
      <c r="D30" s="137"/>
      <c r="E30" s="168"/>
    </row>
    <row r="31" spans="1:5" ht="15.75">
      <c r="A31" s="25" t="s">
        <v>584</v>
      </c>
      <c r="B31" s="21"/>
      <c r="C31" s="21"/>
      <c r="D31" s="21"/>
      <c r="E31" s="21"/>
    </row>
    <row r="32" spans="1:5" ht="15.75">
      <c r="A32" s="21"/>
      <c r="B32" s="42" t="s">
        <v>506</v>
      </c>
      <c r="C32" s="21"/>
      <c r="D32" s="21"/>
      <c r="E32" s="21"/>
    </row>
    <row r="33" spans="1:5" ht="15.75">
      <c r="A33" s="21"/>
      <c r="B33" s="8" t="s">
        <v>195</v>
      </c>
      <c r="C33" s="21"/>
      <c r="D33" s="21"/>
      <c r="E33" s="21"/>
    </row>
    <row r="34" spans="1:5" ht="15.75">
      <c r="A34" s="21"/>
      <c r="B34" s="8" t="s">
        <v>79</v>
      </c>
      <c r="C34" s="21"/>
      <c r="D34" s="21"/>
      <c r="E34" s="21"/>
    </row>
    <row r="35" spans="1:5" ht="15.75">
      <c r="A35" s="21"/>
      <c r="B35" s="8" t="s">
        <v>196</v>
      </c>
      <c r="C35" s="21"/>
      <c r="D35" s="21"/>
      <c r="E35" s="21"/>
    </row>
    <row r="36" spans="1:5" ht="15.75">
      <c r="A36" s="21"/>
      <c r="B36" s="8" t="s">
        <v>197</v>
      </c>
      <c r="C36" s="21"/>
      <c r="D36" s="21"/>
      <c r="E36" s="21"/>
    </row>
    <row r="37" spans="1:5" ht="15.75">
      <c r="A37" s="21"/>
      <c r="B37" s="8" t="s">
        <v>198</v>
      </c>
      <c r="C37" s="21"/>
      <c r="D37" s="21"/>
      <c r="E37" s="21"/>
    </row>
    <row r="38" spans="1:5" ht="15.75">
      <c r="A38" s="21"/>
      <c r="B38" s="8" t="s">
        <v>199</v>
      </c>
      <c r="C38" s="21"/>
      <c r="D38" s="21"/>
      <c r="E38" s="21"/>
    </row>
    <row r="39" spans="1:5" ht="15.75">
      <c r="A39" s="21"/>
      <c r="B39" s="8" t="s">
        <v>200</v>
      </c>
      <c r="C39" s="21"/>
      <c r="D39" s="21"/>
      <c r="E39" s="21"/>
    </row>
    <row r="40" spans="1:5" ht="15.75">
      <c r="A40" s="21"/>
      <c r="B40" s="8" t="s">
        <v>201</v>
      </c>
      <c r="C40" s="21"/>
      <c r="D40" s="21"/>
      <c r="E40" s="21"/>
    </row>
    <row r="41" spans="1:5" ht="15.75">
      <c r="A41" s="21"/>
      <c r="B41" s="8" t="s">
        <v>236</v>
      </c>
      <c r="C41" s="21"/>
      <c r="D41" s="21"/>
      <c r="E41" s="21"/>
    </row>
    <row r="42" spans="1:5" ht="15.75">
      <c r="A42" s="21"/>
      <c r="B42" s="10" t="s">
        <v>237</v>
      </c>
      <c r="C42" s="21"/>
      <c r="D42" s="21"/>
      <c r="E42" s="21"/>
    </row>
    <row r="43" spans="1:5" ht="15.75">
      <c r="A43" s="21"/>
      <c r="B43" s="10" t="s">
        <v>238</v>
      </c>
      <c r="C43" s="21"/>
      <c r="D43" s="21"/>
      <c r="E43" s="21"/>
    </row>
    <row r="44" spans="1:5" ht="15.75">
      <c r="A44" s="21"/>
      <c r="B44" s="10" t="s">
        <v>259</v>
      </c>
      <c r="C44" s="21"/>
      <c r="D44" s="21"/>
      <c r="E44" s="21"/>
    </row>
    <row r="45" spans="1:5" ht="15.75">
      <c r="A45" s="21"/>
      <c r="B45" s="10" t="s">
        <v>258</v>
      </c>
      <c r="C45" s="21"/>
      <c r="D45" s="21"/>
      <c r="E45" s="21"/>
    </row>
    <row r="46" spans="1:5" ht="15.75">
      <c r="A46" s="21"/>
      <c r="B46" s="10" t="s">
        <v>241</v>
      </c>
      <c r="C46" s="21"/>
      <c r="D46" s="21"/>
      <c r="E46" s="21"/>
    </row>
    <row r="47" spans="1:5" ht="15.75">
      <c r="A47" s="21"/>
      <c r="B47" s="10" t="s">
        <v>242</v>
      </c>
      <c r="C47" s="21"/>
      <c r="D47" s="21"/>
      <c r="E47" s="21"/>
    </row>
    <row r="48" spans="1:5" ht="15.75">
      <c r="A48" s="21"/>
      <c r="B48" s="10" t="s">
        <v>243</v>
      </c>
      <c r="C48" s="21"/>
      <c r="D48" s="21"/>
      <c r="E48" s="21"/>
    </row>
    <row r="49" spans="1:5" ht="15.75">
      <c r="A49" s="21"/>
      <c r="B49" s="10" t="s">
        <v>239</v>
      </c>
      <c r="C49" s="21"/>
      <c r="D49" s="21"/>
      <c r="E49" s="21"/>
    </row>
    <row r="50" spans="1:5" ht="15.75">
      <c r="A50" s="21"/>
      <c r="B50" s="10" t="s">
        <v>240</v>
      </c>
      <c r="C50" s="21"/>
      <c r="D50" s="21"/>
      <c r="E50" s="21"/>
    </row>
    <row r="51" spans="1:5" ht="15.75">
      <c r="A51" s="21" t="s">
        <v>619</v>
      </c>
      <c r="B51" s="191"/>
      <c r="C51" s="21"/>
      <c r="D51" s="21"/>
      <c r="E51" s="21"/>
    </row>
    <row r="52" spans="1:5" ht="15.75">
      <c r="A52" s="21">
        <v>1</v>
      </c>
      <c r="B52" s="10" t="s">
        <v>244</v>
      </c>
      <c r="C52" s="21"/>
      <c r="D52" s="21"/>
      <c r="E52" s="21"/>
    </row>
    <row r="53" spans="1:5" ht="15.75">
      <c r="A53" s="21">
        <v>2</v>
      </c>
      <c r="B53" s="10" t="s">
        <v>245</v>
      </c>
      <c r="C53" s="21"/>
      <c r="D53" s="21"/>
      <c r="E53" s="21"/>
    </row>
    <row r="54" spans="1:5" ht="15.75">
      <c r="A54" s="21">
        <v>3</v>
      </c>
      <c r="B54" s="10"/>
      <c r="C54" s="21"/>
      <c r="D54" s="21"/>
      <c r="E54" s="21"/>
    </row>
    <row r="55" spans="1:5" ht="15.75">
      <c r="A55" s="21">
        <v>4</v>
      </c>
      <c r="B55" s="10"/>
      <c r="C55" s="21"/>
      <c r="D55" s="21"/>
      <c r="E55" s="21"/>
    </row>
    <row r="56" spans="1:5" ht="15.75">
      <c r="A56" s="21" t="s">
        <v>620</v>
      </c>
      <c r="B56" s="191"/>
      <c r="C56" s="21"/>
      <c r="D56" s="21"/>
      <c r="E56" s="21"/>
    </row>
    <row r="57" spans="1:5" ht="15.75">
      <c r="A57" s="21">
        <v>1</v>
      </c>
      <c r="B57" s="10" t="s">
        <v>246</v>
      </c>
      <c r="C57" s="21"/>
      <c r="D57" s="21"/>
      <c r="E57" s="21"/>
    </row>
    <row r="58" spans="1:5" ht="15.75">
      <c r="A58" s="21">
        <v>2</v>
      </c>
      <c r="B58" s="10" t="s">
        <v>247</v>
      </c>
      <c r="C58" s="21"/>
      <c r="D58" s="21"/>
      <c r="E58" s="21"/>
    </row>
    <row r="59" spans="1:5" ht="15.75">
      <c r="A59" s="21">
        <v>3</v>
      </c>
      <c r="B59" s="10" t="s">
        <v>248</v>
      </c>
      <c r="C59" s="21"/>
      <c r="D59" s="21"/>
      <c r="E59" s="21"/>
    </row>
    <row r="60" spans="1:5" ht="15.75">
      <c r="A60" s="21">
        <v>4</v>
      </c>
      <c r="B60" s="10" t="s">
        <v>249</v>
      </c>
      <c r="C60" s="21"/>
      <c r="D60" s="21"/>
      <c r="E60" s="21"/>
    </row>
    <row r="61" spans="1:5" ht="15.75">
      <c r="A61" s="21">
        <v>5</v>
      </c>
      <c r="B61" s="10" t="s">
        <v>251</v>
      </c>
      <c r="C61" s="21"/>
      <c r="D61" s="21"/>
      <c r="E61" s="21"/>
    </row>
    <row r="62" spans="1:5" ht="15.75">
      <c r="A62" s="21" t="s">
        <v>621</v>
      </c>
      <c r="B62" s="191"/>
      <c r="C62" s="21"/>
      <c r="D62" s="21"/>
      <c r="E62" s="21"/>
    </row>
    <row r="63" spans="1:5" ht="15.75">
      <c r="A63" s="21">
        <v>1</v>
      </c>
      <c r="B63" s="10" t="s">
        <v>252</v>
      </c>
      <c r="C63" s="21"/>
      <c r="D63" s="21"/>
      <c r="E63" s="21"/>
    </row>
    <row r="64" spans="1:5" ht="15.75">
      <c r="A64" s="21">
        <v>2</v>
      </c>
      <c r="B64" s="10" t="s">
        <v>253</v>
      </c>
      <c r="C64" s="21"/>
      <c r="D64" s="21"/>
      <c r="E64" s="21"/>
    </row>
    <row r="65" spans="1:5" ht="15.75">
      <c r="A65" s="21">
        <v>3</v>
      </c>
      <c r="B65" s="10" t="s">
        <v>250</v>
      </c>
      <c r="C65" s="21"/>
      <c r="D65" s="21"/>
      <c r="E65" s="21"/>
    </row>
    <row r="66" spans="1:5" ht="15.75">
      <c r="A66" s="21">
        <v>4</v>
      </c>
      <c r="B66" s="10" t="s">
        <v>231</v>
      </c>
      <c r="C66" s="21"/>
      <c r="D66" s="21"/>
      <c r="E66" s="21"/>
    </row>
    <row r="67" spans="1:5" ht="15.75">
      <c r="A67" s="21">
        <v>5</v>
      </c>
      <c r="B67" s="10" t="s">
        <v>254</v>
      </c>
      <c r="C67" s="21"/>
      <c r="D67" s="21"/>
      <c r="E67" s="21"/>
    </row>
    <row r="68" spans="1:5" ht="15.75">
      <c r="A68" s="21" t="s">
        <v>622</v>
      </c>
      <c r="B68" s="191"/>
      <c r="C68" s="21"/>
      <c r="D68" s="21"/>
      <c r="E68" s="21"/>
    </row>
    <row r="69" spans="1:5" ht="15.75">
      <c r="A69" s="21">
        <v>1</v>
      </c>
      <c r="B69" s="10" t="s">
        <v>230</v>
      </c>
      <c r="C69" s="21"/>
      <c r="D69" s="21"/>
      <c r="E69" s="21"/>
    </row>
    <row r="70" spans="1:5" ht="15.75">
      <c r="A70" s="21">
        <v>2</v>
      </c>
      <c r="B70" s="10" t="s">
        <v>255</v>
      </c>
      <c r="C70" s="21"/>
      <c r="D70" s="21"/>
      <c r="E70" s="21"/>
    </row>
    <row r="71" spans="1:5" ht="15.75">
      <c r="A71" s="21">
        <v>3</v>
      </c>
      <c r="B71" s="10" t="s">
        <v>256</v>
      </c>
      <c r="C71" s="21"/>
      <c r="D71" s="21"/>
      <c r="E71" s="21"/>
    </row>
    <row r="72" spans="1:5" ht="15.75">
      <c r="A72" s="21">
        <v>4</v>
      </c>
      <c r="B72" s="10" t="s">
        <v>257</v>
      </c>
      <c r="C72" s="21"/>
      <c r="D72" s="21"/>
      <c r="E72" s="21"/>
    </row>
    <row r="73" spans="1:5" ht="15.75">
      <c r="A73" s="21">
        <v>5</v>
      </c>
      <c r="B73" s="10" t="s">
        <v>260</v>
      </c>
      <c r="C73" s="21"/>
      <c r="D73" s="21"/>
      <c r="E73" s="21"/>
    </row>
    <row r="74" spans="1:5" ht="15.75">
      <c r="A74" s="21" t="s">
        <v>623</v>
      </c>
      <c r="B74" s="191"/>
      <c r="C74" s="21"/>
      <c r="D74" s="21"/>
      <c r="E74" s="21"/>
    </row>
    <row r="75" spans="1:5" ht="15.75">
      <c r="A75" s="21">
        <v>1</v>
      </c>
      <c r="B75" s="10" t="s">
        <v>261</v>
      </c>
      <c r="C75" s="21"/>
      <c r="D75" s="21"/>
      <c r="E75" s="21"/>
    </row>
    <row r="76" spans="1:5" ht="15.75">
      <c r="A76" s="21">
        <v>2</v>
      </c>
      <c r="B76" s="10" t="s">
        <v>263</v>
      </c>
      <c r="C76" s="21"/>
      <c r="D76" s="21"/>
      <c r="E76" s="21"/>
    </row>
    <row r="77" spans="1:5" ht="15.75">
      <c r="A77" s="21">
        <v>3</v>
      </c>
      <c r="B77" s="10" t="s">
        <v>262</v>
      </c>
      <c r="C77" s="21"/>
      <c r="D77" s="21"/>
      <c r="E77" s="21"/>
    </row>
    <row r="78" spans="1:5" ht="15.75">
      <c r="A78" s="21">
        <v>4</v>
      </c>
      <c r="B78" s="10" t="s">
        <v>264</v>
      </c>
      <c r="C78" s="21"/>
      <c r="D78" s="21"/>
      <c r="E78" s="21"/>
    </row>
    <row r="79" spans="1:5" ht="15.75">
      <c r="A79" s="21">
        <v>5</v>
      </c>
      <c r="B79" s="10" t="s">
        <v>265</v>
      </c>
      <c r="C79" s="21"/>
      <c r="D79" s="21"/>
      <c r="E79" s="21"/>
    </row>
    <row r="80" spans="1:5" ht="15.75">
      <c r="A80" s="21" t="s">
        <v>17</v>
      </c>
      <c r="B80" s="191"/>
      <c r="C80" s="21"/>
      <c r="D80" s="21"/>
      <c r="E80" s="21"/>
    </row>
    <row r="81" spans="1:5" ht="15.75">
      <c r="A81" s="21">
        <v>1</v>
      </c>
      <c r="B81" s="10" t="s">
        <v>18</v>
      </c>
      <c r="C81" s="21"/>
      <c r="D81" s="21"/>
      <c r="E81" s="21"/>
    </row>
    <row r="82" spans="1:5" ht="15.75">
      <c r="A82" s="21">
        <v>2</v>
      </c>
      <c r="B82" s="10"/>
      <c r="C82" s="21"/>
      <c r="D82" s="21"/>
      <c r="E82" s="21"/>
    </row>
    <row r="83" spans="1:5" ht="15.75">
      <c r="A83" s="21">
        <v>3</v>
      </c>
      <c r="B83" s="10"/>
      <c r="C83" s="21"/>
      <c r="D83" s="21"/>
      <c r="E83" s="21"/>
    </row>
    <row r="84" spans="1:5" ht="15.75">
      <c r="A84" s="21">
        <v>4</v>
      </c>
      <c r="B84" s="10"/>
      <c r="C84" s="21"/>
      <c r="D84" s="21"/>
      <c r="E84" s="21"/>
    </row>
    <row r="85" spans="1:5" ht="15.75">
      <c r="A85" s="21">
        <v>5</v>
      </c>
      <c r="B85" s="10"/>
      <c r="C85" s="21"/>
      <c r="D85" s="21"/>
      <c r="E85" s="21"/>
    </row>
    <row r="86" spans="1:5" ht="15.75">
      <c r="A86" s="130"/>
      <c r="B86" s="106"/>
      <c r="C86" s="106"/>
      <c r="D86" s="106"/>
      <c r="E86" s="169"/>
    </row>
    <row r="87" spans="1:5" ht="15.75">
      <c r="A87" s="21"/>
      <c r="B87" s="21"/>
      <c r="C87" s="21"/>
      <c r="D87" s="21"/>
      <c r="E87" s="21"/>
    </row>
    <row r="88" spans="1:5" ht="15.75">
      <c r="A88" s="21"/>
      <c r="B88" s="21"/>
      <c r="C88" s="21"/>
      <c r="D88" s="184" t="str">
        <f>CONCATENATE("",C5-3," Tax Levy Rate")</f>
        <v>2009 Tax Levy Rate</v>
      </c>
      <c r="E88" s="21"/>
    </row>
    <row r="89" spans="1:5" ht="15.75">
      <c r="A89" s="123" t="str">
        <f>CONCATENATE("From the ",C5-1," Budget, Budget Summary Page")</f>
        <v>From the 2011 Budget, Budget Summary Page</v>
      </c>
      <c r="B89" s="124"/>
      <c r="C89" s="21"/>
      <c r="D89" s="185" t="str">
        <f>CONCATENATE("(",C5-2," Column)")</f>
        <v>(2010 Column)</v>
      </c>
      <c r="E89" s="21"/>
    </row>
    <row r="90" spans="1:5" ht="15.75">
      <c r="A90" s="21"/>
      <c r="B90" s="40" t="str">
        <f>B16</f>
        <v>General</v>
      </c>
      <c r="C90" s="21"/>
      <c r="D90" s="10">
        <v>36.655</v>
      </c>
      <c r="E90" s="21"/>
    </row>
    <row r="91" spans="1:5" ht="15.75">
      <c r="A91" s="21"/>
      <c r="B91" s="40" t="str">
        <f>B17</f>
        <v>Bond &amp; Interest</v>
      </c>
      <c r="C91" s="21"/>
      <c r="D91" s="10">
        <v>0</v>
      </c>
      <c r="E91" s="21"/>
    </row>
    <row r="92" spans="1:5" ht="15.75">
      <c r="A92" s="21"/>
      <c r="B92" s="40" t="str">
        <f>B19</f>
        <v>Library</v>
      </c>
      <c r="C92" s="21"/>
      <c r="D92" s="10">
        <v>3.145</v>
      </c>
      <c r="E92" s="21"/>
    </row>
    <row r="93" spans="1:5" ht="15.75">
      <c r="A93" s="21"/>
      <c r="B93" s="40" t="str">
        <f>B20</f>
        <v>Employee Benefits</v>
      </c>
      <c r="C93" s="21"/>
      <c r="D93" s="10">
        <v>0</v>
      </c>
      <c r="E93" s="21"/>
    </row>
    <row r="94" spans="1:5" ht="15.75">
      <c r="A94" s="21"/>
      <c r="B94" s="40">
        <f>B21</f>
        <v>0</v>
      </c>
      <c r="C94" s="21"/>
      <c r="D94" s="10"/>
      <c r="E94" s="21"/>
    </row>
    <row r="95" spans="1:5" ht="15.75">
      <c r="A95" s="21"/>
      <c r="B95" s="40">
        <f aca="true" t="shared" si="0" ref="B95:B101">B22</f>
        <v>0</v>
      </c>
      <c r="C95" s="21"/>
      <c r="D95" s="10"/>
      <c r="E95" s="21"/>
    </row>
    <row r="96" spans="1:5" ht="15.75">
      <c r="A96" s="21"/>
      <c r="B96" s="40">
        <f t="shared" si="0"/>
        <v>0</v>
      </c>
      <c r="C96" s="21"/>
      <c r="D96" s="10"/>
      <c r="E96" s="21"/>
    </row>
    <row r="97" spans="1:5" ht="15.75">
      <c r="A97" s="21"/>
      <c r="B97" s="40">
        <f t="shared" si="0"/>
        <v>0</v>
      </c>
      <c r="C97" s="21"/>
      <c r="D97" s="10"/>
      <c r="E97" s="21"/>
    </row>
    <row r="98" spans="1:5" ht="15.75">
      <c r="A98" s="21"/>
      <c r="B98" s="40">
        <f t="shared" si="0"/>
        <v>0</v>
      </c>
      <c r="C98" s="21"/>
      <c r="D98" s="10"/>
      <c r="E98" s="21"/>
    </row>
    <row r="99" spans="1:5" ht="15.75">
      <c r="A99" s="21"/>
      <c r="B99" s="40">
        <f t="shared" si="0"/>
        <v>0</v>
      </c>
      <c r="C99" s="21"/>
      <c r="D99" s="10"/>
      <c r="E99" s="21"/>
    </row>
    <row r="100" spans="1:5" ht="15.75">
      <c r="A100" s="21"/>
      <c r="B100" s="40">
        <f t="shared" si="0"/>
        <v>0</v>
      </c>
      <c r="C100" s="21"/>
      <c r="D100" s="10"/>
      <c r="E100" s="21"/>
    </row>
    <row r="101" spans="1:5" ht="15.75">
      <c r="A101" s="21"/>
      <c r="B101" s="40">
        <f t="shared" si="0"/>
        <v>0</v>
      </c>
      <c r="C101" s="21"/>
      <c r="D101" s="10"/>
      <c r="E101" s="21"/>
    </row>
    <row r="102" spans="1:5" ht="15.75">
      <c r="A102" s="111" t="s">
        <v>363</v>
      </c>
      <c r="B102" s="20"/>
      <c r="C102" s="117"/>
      <c r="D102" s="259">
        <f>SUM(D90:D101)</f>
        <v>39.800000000000004</v>
      </c>
      <c r="E102" s="21"/>
    </row>
    <row r="103" spans="1:5" ht="15.75">
      <c r="A103" s="21"/>
      <c r="B103" s="21"/>
      <c r="C103" s="21"/>
      <c r="D103" s="21"/>
      <c r="E103" s="21"/>
    </row>
    <row r="104" spans="1:5" ht="15.75">
      <c r="A104" s="234" t="str">
        <f>CONCATENATE("Total Levy Dollar Amount (",C5-2," budget column)")</f>
        <v>Total Levy Dollar Amount (2010 budget column)</v>
      </c>
      <c r="B104" s="235"/>
      <c r="C104" s="20"/>
      <c r="D104" s="117"/>
      <c r="E104" s="9">
        <v>4391083</v>
      </c>
    </row>
    <row r="105" spans="1:5" ht="15.75">
      <c r="A105" s="236" t="str">
        <f>CONCATENATE("Assessed Valuation for ",C5-3," (",C5-2," budget column)")</f>
        <v>Assessed Valuation for 2009 (2010 budget column)</v>
      </c>
      <c r="B105" s="237"/>
      <c r="C105" s="115"/>
      <c r="D105" s="38"/>
      <c r="E105" s="9">
        <v>106220975</v>
      </c>
    </row>
    <row r="106" spans="1:5" ht="15.75">
      <c r="A106" s="130"/>
      <c r="B106" s="106"/>
      <c r="C106" s="106"/>
      <c r="D106" s="106"/>
      <c r="E106" s="169"/>
    </row>
    <row r="107" spans="1:5" ht="15.75">
      <c r="A107" s="233" t="str">
        <f>CONCATENATE("From the ",C5-1," Budget, Budget Summary Page")</f>
        <v>From the 2011 Budget, Budget Summary Page</v>
      </c>
      <c r="B107" s="290"/>
      <c r="C107" s="21"/>
      <c r="D107" s="186"/>
      <c r="E107" s="65"/>
    </row>
    <row r="108" spans="1:5" ht="15.75">
      <c r="A108" s="126" t="s">
        <v>676</v>
      </c>
      <c r="B108" s="126"/>
      <c r="C108" s="136"/>
      <c r="D108" s="187">
        <f>C5-3</f>
        <v>2009</v>
      </c>
      <c r="E108" s="188">
        <f>C5-2</f>
        <v>2010</v>
      </c>
    </row>
    <row r="109" spans="1:5" ht="15.75">
      <c r="A109" s="291" t="s">
        <v>580</v>
      </c>
      <c r="B109" s="291"/>
      <c r="C109" s="189"/>
      <c r="D109" s="17">
        <v>9105000</v>
      </c>
      <c r="E109" s="17">
        <v>10215000</v>
      </c>
    </row>
    <row r="110" spans="1:5" ht="15.75">
      <c r="A110" s="292" t="s">
        <v>581</v>
      </c>
      <c r="B110" s="292"/>
      <c r="C110" s="190"/>
      <c r="D110" s="17">
        <v>2235000</v>
      </c>
      <c r="E110" s="17">
        <v>0</v>
      </c>
    </row>
    <row r="111" spans="1:5" ht="15.75">
      <c r="A111" s="292" t="s">
        <v>582</v>
      </c>
      <c r="B111" s="292"/>
      <c r="C111" s="190"/>
      <c r="D111" s="17">
        <v>14307836</v>
      </c>
      <c r="E111" s="17">
        <v>14559767</v>
      </c>
    </row>
    <row r="112" spans="1:5" ht="15.75">
      <c r="A112" s="292" t="s">
        <v>583</v>
      </c>
      <c r="B112" s="292"/>
      <c r="C112" s="190"/>
      <c r="D112" s="17">
        <v>2066894</v>
      </c>
      <c r="E112" s="17">
        <v>2028561</v>
      </c>
    </row>
    <row r="113" spans="1:5" ht="15.75">
      <c r="A113"/>
      <c r="B113"/>
      <c r="C113"/>
      <c r="D113"/>
      <c r="E113"/>
    </row>
    <row r="114" spans="1:5" ht="15.75">
      <c r="A114"/>
      <c r="B114"/>
      <c r="C114"/>
      <c r="D114"/>
      <c r="E114"/>
    </row>
    <row r="115" spans="1:5" ht="15.75">
      <c r="A115"/>
      <c r="B115"/>
      <c r="C115"/>
      <c r="D115"/>
      <c r="E115"/>
    </row>
    <row r="116" spans="1:5" ht="15.75">
      <c r="A116"/>
      <c r="B116"/>
      <c r="C116"/>
      <c r="D116"/>
      <c r="E116"/>
    </row>
    <row r="117" spans="1:5" ht="15.75">
      <c r="A117"/>
      <c r="B117"/>
      <c r="C117"/>
      <c r="D117"/>
      <c r="E117"/>
    </row>
    <row r="118" spans="1:5" ht="15.75">
      <c r="A118"/>
      <c r="B118"/>
      <c r="C118"/>
      <c r="D118"/>
      <c r="E118"/>
    </row>
    <row r="119" ht="15"/>
    <row r="120" spans="1:5" ht="15.75">
      <c r="A120"/>
      <c r="B120"/>
      <c r="C120"/>
      <c r="D120"/>
      <c r="E120"/>
    </row>
    <row r="121" spans="1:5" ht="15.75">
      <c r="A121"/>
      <c r="B121"/>
      <c r="C121"/>
      <c r="D121"/>
      <c r="E121"/>
    </row>
    <row r="122" spans="1:5" ht="15.75">
      <c r="A122"/>
      <c r="B122"/>
      <c r="C122"/>
      <c r="D122"/>
      <c r="E122"/>
    </row>
    <row r="123" spans="1:5" ht="15.75">
      <c r="A123"/>
      <c r="B123"/>
      <c r="C123"/>
      <c r="D123"/>
      <c r="E123"/>
    </row>
    <row r="124" spans="1:5" ht="15.75">
      <c r="A124"/>
      <c r="B124"/>
      <c r="C124"/>
      <c r="D124"/>
      <c r="E124"/>
    </row>
    <row r="125" spans="1:5" ht="15.75">
      <c r="A125"/>
      <c r="B125"/>
      <c r="C125"/>
      <c r="D125"/>
      <c r="E125"/>
    </row>
    <row r="126" spans="1:5" ht="15.75">
      <c r="A126"/>
      <c r="B126"/>
      <c r="C126"/>
      <c r="D126"/>
      <c r="E126"/>
    </row>
    <row r="127" spans="1:5" ht="15.75">
      <c r="A127"/>
      <c r="B127"/>
      <c r="C127"/>
      <c r="D127"/>
      <c r="E127"/>
    </row>
    <row r="128" spans="1:5" ht="15.75">
      <c r="A128"/>
      <c r="B128"/>
      <c r="C128"/>
      <c r="D128"/>
      <c r="E128"/>
    </row>
    <row r="129" spans="1:5" ht="15.75">
      <c r="A129"/>
      <c r="B129"/>
      <c r="C129"/>
      <c r="D129"/>
      <c r="E129"/>
    </row>
    <row r="130" spans="1:5" ht="15.75">
      <c r="A130"/>
      <c r="B130"/>
      <c r="C130"/>
      <c r="D130"/>
      <c r="E130"/>
    </row>
  </sheetData>
  <sheetProtection/>
  <mergeCells count="2">
    <mergeCell ref="A10:E10"/>
    <mergeCell ref="A1:E1"/>
  </mergeCells>
  <printOptions/>
  <pageMargins left="0.5" right="0.5" top="1" bottom="0.5" header="0.5" footer="0.25"/>
  <pageSetup blackAndWhite="1" fitToHeight="2" horizontalDpi="120" verticalDpi="120" orientation="portrait" scale="70" r:id="rId1"/>
  <headerFooter alignWithMargins="0">
    <oddFooter>&amp;Lrevised 8/06/07</oddFooter>
  </headerFooter>
  <rowBreaks count="1" manualBreakCount="1">
    <brk id="61" max="4" man="1"/>
  </rowBreaks>
</worksheet>
</file>

<file path=xl/worksheets/sheet20.xml><?xml version="1.0" encoding="utf-8"?>
<worksheet xmlns="http://schemas.openxmlformats.org/spreadsheetml/2006/main" xmlns:r="http://schemas.openxmlformats.org/officeDocument/2006/relationships">
  <sheetPr>
    <pageSetUpPr fitToPage="1"/>
  </sheetPr>
  <dimension ref="A1:G76"/>
  <sheetViews>
    <sheetView view="pageBreakPreview" zoomScaleSheetLayoutView="100" zoomScalePageLayoutView="0" workbookViewId="0" topLeftCell="A40">
      <selection activeCell="G65" sqref="G65"/>
    </sheetView>
  </sheetViews>
  <sheetFormatPr defaultColWidth="8.796875" defaultRowHeight="15"/>
  <cols>
    <col min="1" max="1" width="28.796875" style="7" customWidth="1"/>
    <col min="2" max="2" width="9.59765625" style="7" customWidth="1"/>
    <col min="3" max="4" width="16.3984375" style="7" customWidth="1"/>
    <col min="5" max="5" width="16.3984375" style="7" bestFit="1" customWidth="1"/>
    <col min="6" max="16384" width="8.8984375" style="7"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(inputPrYr!B32)</f>
        <v>Special Highway</v>
      </c>
      <c r="B5" s="137"/>
      <c r="C5" s="145">
        <f>E1-2</f>
        <v>2010</v>
      </c>
      <c r="D5" s="145">
        <f>E1-1</f>
        <v>2011</v>
      </c>
      <c r="E5" s="145">
        <f>E1</f>
        <v>2012</v>
      </c>
    </row>
    <row r="6" spans="1:5" ht="15.75">
      <c r="A6" s="311" t="s">
        <v>527</v>
      </c>
      <c r="B6" s="317"/>
      <c r="C6" s="313"/>
      <c r="D6" s="85">
        <f>C34</f>
        <v>0</v>
      </c>
      <c r="E6" s="85">
        <f>D34</f>
        <v>0</v>
      </c>
    </row>
    <row r="7" spans="1:5" ht="15.75">
      <c r="A7" s="316" t="s">
        <v>529</v>
      </c>
      <c r="B7" s="317"/>
      <c r="C7" s="305"/>
      <c r="D7" s="40"/>
      <c r="E7" s="40"/>
    </row>
    <row r="8" spans="1:5" ht="15.75">
      <c r="A8" s="319" t="s">
        <v>507</v>
      </c>
      <c r="B8" s="317"/>
      <c r="C8" s="313"/>
      <c r="D8" s="141"/>
      <c r="E8" s="85"/>
    </row>
    <row r="9" spans="1:5" ht="15.75">
      <c r="A9" s="320" t="s">
        <v>587</v>
      </c>
      <c r="B9" s="317"/>
      <c r="C9" s="313"/>
      <c r="D9" s="141"/>
      <c r="E9" s="141"/>
    </row>
    <row r="10" spans="1:5" ht="15.75">
      <c r="A10" s="301"/>
      <c r="B10" s="318"/>
      <c r="C10" s="313"/>
      <c r="D10" s="9"/>
      <c r="E10" s="9"/>
    </row>
    <row r="11" spans="1:5" ht="15.75">
      <c r="A11" s="301"/>
      <c r="B11" s="318"/>
      <c r="C11" s="313"/>
      <c r="D11" s="9"/>
      <c r="E11" s="9"/>
    </row>
    <row r="12" spans="1:5" ht="15.75">
      <c r="A12" s="301"/>
      <c r="B12" s="318"/>
      <c r="C12" s="313"/>
      <c r="D12" s="9"/>
      <c r="E12" s="9"/>
    </row>
    <row r="13" spans="1:5" ht="15.75">
      <c r="A13" s="301"/>
      <c r="B13" s="318"/>
      <c r="C13" s="313"/>
      <c r="D13" s="9"/>
      <c r="E13" s="9"/>
    </row>
    <row r="14" spans="1:5" ht="15.75">
      <c r="A14" s="301"/>
      <c r="B14" s="318"/>
      <c r="C14" s="313"/>
      <c r="D14" s="9"/>
      <c r="E14" s="9"/>
    </row>
    <row r="15" spans="1:5" ht="15.75">
      <c r="A15" s="312" t="s">
        <v>396</v>
      </c>
      <c r="B15" s="318"/>
      <c r="C15" s="313"/>
      <c r="D15" s="9"/>
      <c r="E15" s="9"/>
    </row>
    <row r="16" spans="1:5" ht="15.75">
      <c r="A16" s="321" t="s">
        <v>703</v>
      </c>
      <c r="B16" s="317"/>
      <c r="C16" s="313"/>
      <c r="D16" s="313"/>
      <c r="E16" s="313"/>
    </row>
    <row r="17" spans="1:5" ht="15.75">
      <c r="A17" s="311" t="s">
        <v>705</v>
      </c>
      <c r="B17" s="317"/>
      <c r="C17" s="355">
        <f>IF(C18*0.1&lt;C16,"Exceed 10% Rule","")</f>
      </c>
      <c r="D17" s="355">
        <f>IF(D18*0.1&lt;D16,"Exceed 10% Rule","")</f>
      </c>
      <c r="E17" s="355">
        <f>IF(E18*0.1&lt;E16,"Exceed 10% Rule","")</f>
      </c>
    </row>
    <row r="18" spans="1:5" ht="15.75">
      <c r="A18" s="151" t="s">
        <v>397</v>
      </c>
      <c r="B18" s="317"/>
      <c r="C18" s="314">
        <f>SUM(C8:C16)</f>
        <v>0</v>
      </c>
      <c r="D18" s="263">
        <f>SUM(D8:D16)</f>
        <v>0</v>
      </c>
      <c r="E18" s="263">
        <f>SUM(E8:E16)</f>
        <v>0</v>
      </c>
    </row>
    <row r="19" spans="1:5" ht="15.75">
      <c r="A19" s="151" t="s">
        <v>398</v>
      </c>
      <c r="B19" s="317"/>
      <c r="C19" s="314">
        <f>C6+C18</f>
        <v>0</v>
      </c>
      <c r="D19" s="263">
        <f>D6+D18</f>
        <v>0</v>
      </c>
      <c r="E19" s="263">
        <f>E6+E18</f>
        <v>0</v>
      </c>
    </row>
    <row r="20" spans="1:5" ht="15.75">
      <c r="A20" s="37" t="s">
        <v>400</v>
      </c>
      <c r="B20" s="317"/>
      <c r="C20" s="119"/>
      <c r="D20" s="85"/>
      <c r="E20" s="85"/>
    </row>
    <row r="21" spans="1:5" ht="15.75">
      <c r="A21" s="301"/>
      <c r="B21" s="318"/>
      <c r="C21" s="313"/>
      <c r="D21" s="9"/>
      <c r="E21" s="9"/>
    </row>
    <row r="22" spans="1:5" ht="15.75">
      <c r="A22" s="301"/>
      <c r="B22" s="318"/>
      <c r="C22" s="313"/>
      <c r="D22" s="9"/>
      <c r="E22" s="9"/>
    </row>
    <row r="23" spans="1:5" ht="15.75">
      <c r="A23" s="301"/>
      <c r="B23" s="318"/>
      <c r="C23" s="313"/>
      <c r="D23" s="9"/>
      <c r="E23" s="9"/>
    </row>
    <row r="24" spans="1:5" ht="15.75">
      <c r="A24" s="301"/>
      <c r="B24" s="318"/>
      <c r="C24" s="313"/>
      <c r="D24" s="9"/>
      <c r="E24" s="9"/>
    </row>
    <row r="25" spans="1:5" ht="15.75">
      <c r="A25" s="301"/>
      <c r="B25" s="318"/>
      <c r="C25" s="313"/>
      <c r="D25" s="9"/>
      <c r="E25" s="9"/>
    </row>
    <row r="26" spans="1:5" ht="15.75">
      <c r="A26" s="301"/>
      <c r="B26" s="318"/>
      <c r="C26" s="313"/>
      <c r="D26" s="9"/>
      <c r="E26" s="9"/>
    </row>
    <row r="27" spans="1:5" ht="15.75">
      <c r="A27" s="301"/>
      <c r="B27" s="318"/>
      <c r="C27" s="313"/>
      <c r="D27" s="9"/>
      <c r="E27" s="9"/>
    </row>
    <row r="28" spans="1:5" ht="15.75">
      <c r="A28" s="301"/>
      <c r="B28" s="318"/>
      <c r="C28" s="313"/>
      <c r="D28" s="9"/>
      <c r="E28" s="9"/>
    </row>
    <row r="29" spans="1:5" ht="15.75">
      <c r="A29" s="301"/>
      <c r="B29" s="318"/>
      <c r="C29" s="313"/>
      <c r="D29" s="9"/>
      <c r="E29" s="9"/>
    </row>
    <row r="30" spans="1:5" ht="15.75">
      <c r="A30" s="301"/>
      <c r="B30" s="318"/>
      <c r="C30" s="313"/>
      <c r="D30" s="9"/>
      <c r="E30" s="9"/>
    </row>
    <row r="31" spans="1:5" ht="15.75">
      <c r="A31" s="319" t="s">
        <v>703</v>
      </c>
      <c r="B31" s="317"/>
      <c r="C31" s="313"/>
      <c r="D31" s="313"/>
      <c r="E31" s="313"/>
    </row>
    <row r="32" spans="1:5" ht="15.75">
      <c r="A32" s="319" t="s">
        <v>704</v>
      </c>
      <c r="B32" s="317"/>
      <c r="C32" s="355">
        <f>IF(C33*0.1&lt;C31,"Exceed 10% Rule","")</f>
      </c>
      <c r="D32" s="355">
        <f>IF(D33*0.1&lt;D31,"Exceed 10% Rule","")</f>
      </c>
      <c r="E32" s="355">
        <f>IF(E33*0.1&lt;E31,"Exceed 10% Rule","")</f>
      </c>
    </row>
    <row r="33" spans="1:5" ht="15.75">
      <c r="A33" s="151" t="s">
        <v>404</v>
      </c>
      <c r="B33" s="317"/>
      <c r="C33" s="314">
        <f>SUM(C21:C31)</f>
        <v>0</v>
      </c>
      <c r="D33" s="263">
        <f>SUM(D21:D31)</f>
        <v>0</v>
      </c>
      <c r="E33" s="263">
        <f>SUM(E21:E31)</f>
        <v>0</v>
      </c>
    </row>
    <row r="34" spans="1:5" ht="15.75">
      <c r="A34" s="37" t="s">
        <v>528</v>
      </c>
      <c r="B34" s="317"/>
      <c r="C34" s="315">
        <f>C19-C33</f>
        <v>0</v>
      </c>
      <c r="D34" s="262">
        <f>D19-D33</f>
        <v>0</v>
      </c>
      <c r="E34" s="262">
        <f>E19-E33</f>
        <v>0</v>
      </c>
    </row>
    <row r="35" spans="1:5" ht="15.75">
      <c r="A35" s="23" t="str">
        <f>CONCATENATE("",E1-2," Budget Authority Limited Amount:")</f>
        <v>2010 Budget Authority Limited Amount:</v>
      </c>
      <c r="B35" s="338">
        <f>inputOth!B63</f>
        <v>0</v>
      </c>
      <c r="C35" s="65"/>
      <c r="D35" s="65"/>
      <c r="E35" s="65"/>
    </row>
    <row r="36" spans="1:5" ht="15.75">
      <c r="A36" s="23" t="str">
        <f>CONCATENATE("Violation of Budget Law for ",E1-2,":")</f>
        <v>Violation of Budget Law for 2010:</v>
      </c>
      <c r="B36" s="339">
        <f>IF(C33&gt;B35,"Yes","")</f>
      </c>
      <c r="C36" s="65"/>
      <c r="D36" s="65"/>
      <c r="E36" s="65"/>
    </row>
    <row r="37" spans="1:5" ht="15.75">
      <c r="A37" s="23" t="str">
        <f>CONCATENATE("Possible Cash Violation for ",E1-2,":")</f>
        <v>Possible Cash Violation for 2010:</v>
      </c>
      <c r="B37" s="339">
        <f>IF(C34&lt;0,"Yes","")</f>
      </c>
      <c r="C37" s="65"/>
      <c r="D37" s="65"/>
      <c r="E37" s="65"/>
    </row>
    <row r="38" spans="1:5" ht="15.75">
      <c r="A38" s="21"/>
      <c r="B38" s="21"/>
      <c r="C38" s="65"/>
      <c r="D38" s="65"/>
      <c r="E38" s="65"/>
    </row>
    <row r="39" spans="1:5" ht="15.75">
      <c r="A39" s="25" t="s">
        <v>391</v>
      </c>
      <c r="B39" s="25"/>
      <c r="C39" s="102"/>
      <c r="D39" s="102"/>
      <c r="E39" s="102"/>
    </row>
    <row r="40" spans="1:5" ht="15.75">
      <c r="A40" s="21"/>
      <c r="B40" s="21"/>
      <c r="C40" s="93" t="s">
        <v>412</v>
      </c>
      <c r="D40" s="33" t="s">
        <v>556</v>
      </c>
      <c r="E40" s="33" t="s">
        <v>557</v>
      </c>
    </row>
    <row r="41" spans="1:5" ht="15.75">
      <c r="A41" s="137" t="str">
        <f>(inputPrYr!B33)</f>
        <v>Local Alcohol Liquor</v>
      </c>
      <c r="B41" s="137"/>
      <c r="C41" s="145">
        <f>C5</f>
        <v>2010</v>
      </c>
      <c r="D41" s="145">
        <f>D5</f>
        <v>2011</v>
      </c>
      <c r="E41" s="145">
        <f>E5</f>
        <v>2012</v>
      </c>
    </row>
    <row r="42" spans="1:5" ht="15.75">
      <c r="A42" s="311" t="s">
        <v>527</v>
      </c>
      <c r="B42" s="317"/>
      <c r="C42" s="313">
        <v>79096.13</v>
      </c>
      <c r="D42" s="85">
        <f>C71</f>
        <v>92116.51</v>
      </c>
      <c r="E42" s="85">
        <f>D71</f>
        <v>98107.28999999998</v>
      </c>
    </row>
    <row r="43" spans="1:5" ht="15.75">
      <c r="A43" s="316" t="s">
        <v>529</v>
      </c>
      <c r="B43" s="317"/>
      <c r="C43" s="305"/>
      <c r="D43" s="40"/>
      <c r="E43" s="40"/>
    </row>
    <row r="44" spans="1:5" ht="15.75">
      <c r="A44" s="301" t="s">
        <v>147</v>
      </c>
      <c r="B44" s="318"/>
      <c r="C44" s="313">
        <v>19982.58</v>
      </c>
      <c r="D44" s="9">
        <v>20539.67</v>
      </c>
      <c r="E44" s="9">
        <v>19984</v>
      </c>
    </row>
    <row r="45" spans="1:5" ht="15.75">
      <c r="A45" s="301" t="s">
        <v>149</v>
      </c>
      <c r="B45" s="318"/>
      <c r="C45" s="313"/>
      <c r="D45" s="9"/>
      <c r="E45" s="9"/>
    </row>
    <row r="46" spans="1:5" ht="15.75">
      <c r="A46" s="301" t="s">
        <v>326</v>
      </c>
      <c r="B46" s="318"/>
      <c r="C46" s="313">
        <v>11989.53</v>
      </c>
      <c r="D46" s="9">
        <v>8215.88</v>
      </c>
      <c r="E46" s="9">
        <v>7993</v>
      </c>
    </row>
    <row r="47" spans="1:5" ht="15.75">
      <c r="A47" s="301" t="s">
        <v>150</v>
      </c>
      <c r="B47" s="318"/>
      <c r="C47" s="313">
        <v>3996.52</v>
      </c>
      <c r="D47" s="9">
        <v>4107.93</v>
      </c>
      <c r="E47" s="9">
        <v>3997</v>
      </c>
    </row>
    <row r="48" spans="1:5" ht="15.75">
      <c r="A48" s="301" t="s">
        <v>151</v>
      </c>
      <c r="B48" s="318"/>
      <c r="C48" s="313">
        <v>3996.52</v>
      </c>
      <c r="D48" s="9">
        <v>4107.93</v>
      </c>
      <c r="E48" s="9">
        <v>3997</v>
      </c>
    </row>
    <row r="49" spans="1:5" ht="15.75">
      <c r="A49" s="301" t="s">
        <v>325</v>
      </c>
      <c r="B49" s="318"/>
      <c r="C49" s="313">
        <v>0</v>
      </c>
      <c r="D49" s="9">
        <v>4108</v>
      </c>
      <c r="E49" s="9">
        <v>3997</v>
      </c>
    </row>
    <row r="50" spans="1:5" ht="15.75">
      <c r="A50" s="301" t="s">
        <v>13</v>
      </c>
      <c r="B50" s="318"/>
      <c r="C50" s="313">
        <v>1030</v>
      </c>
      <c r="D50" s="9">
        <v>1030</v>
      </c>
      <c r="E50" s="9">
        <v>1030</v>
      </c>
    </row>
    <row r="51" spans="1:5" ht="15.75">
      <c r="A51" s="312" t="s">
        <v>396</v>
      </c>
      <c r="B51" s="318"/>
      <c r="C51" s="313"/>
      <c r="D51" s="9"/>
      <c r="E51" s="9"/>
    </row>
    <row r="52" spans="1:5" ht="15.75">
      <c r="A52" s="321" t="s">
        <v>703</v>
      </c>
      <c r="B52" s="317"/>
      <c r="C52" s="313">
        <v>120</v>
      </c>
      <c r="D52" s="313"/>
      <c r="E52" s="313"/>
    </row>
    <row r="53" spans="1:5" ht="15.75">
      <c r="A53" s="311" t="s">
        <v>705</v>
      </c>
      <c r="B53" s="317"/>
      <c r="C53" s="355">
        <f>IF(C54*0.1&lt;C52,"Exceed 10% Rule","")</f>
      </c>
      <c r="D53" s="355">
        <f>IF(D54*0.1&lt;D52,"Exceed 10% Rule","")</f>
      </c>
      <c r="E53" s="355">
        <f>IF(E54*0.1&lt;E52,"Exceed 10% Rule","")</f>
      </c>
    </row>
    <row r="54" spans="1:6" ht="15.75">
      <c r="A54" s="151" t="s">
        <v>397</v>
      </c>
      <c r="B54" s="317"/>
      <c r="C54" s="314">
        <f>SUM(C44:C52)</f>
        <v>41115.149999999994</v>
      </c>
      <c r="D54" s="263">
        <f>SUM(D44:D52)</f>
        <v>42109.409999999996</v>
      </c>
      <c r="E54" s="263">
        <f>SUM(E44:E52)</f>
        <v>40998</v>
      </c>
      <c r="F54" s="376"/>
    </row>
    <row r="55" spans="1:5" ht="15.75">
      <c r="A55" s="151" t="s">
        <v>398</v>
      </c>
      <c r="B55" s="317"/>
      <c r="C55" s="314">
        <f>C42+C54</f>
        <v>120211.28</v>
      </c>
      <c r="D55" s="263">
        <f>D42+D54</f>
        <v>134225.91999999998</v>
      </c>
      <c r="E55" s="263">
        <f>E42+E54</f>
        <v>139105.28999999998</v>
      </c>
    </row>
    <row r="56" spans="1:5" ht="15.75">
      <c r="A56" s="37" t="s">
        <v>400</v>
      </c>
      <c r="B56" s="317"/>
      <c r="C56" s="119"/>
      <c r="D56" s="85"/>
      <c r="E56" s="85"/>
    </row>
    <row r="57" spans="1:5" ht="15.75">
      <c r="A57" s="301" t="s">
        <v>75</v>
      </c>
      <c r="B57" s="318"/>
      <c r="C57" s="313">
        <v>6485.44</v>
      </c>
      <c r="D57" s="9">
        <v>9500</v>
      </c>
      <c r="E57" s="9">
        <f>50756.78-3997</f>
        <v>46759.78</v>
      </c>
    </row>
    <row r="58" spans="1:5" ht="15.75">
      <c r="A58" s="301" t="s">
        <v>76</v>
      </c>
      <c r="B58" s="318"/>
      <c r="C58" s="313">
        <f>13616.29-C59</f>
        <v>3625</v>
      </c>
      <c r="D58" s="9">
        <f>14294.84-D59</f>
        <v>4025</v>
      </c>
      <c r="E58" s="9">
        <f>76357.45-E59</f>
        <v>66365.45</v>
      </c>
    </row>
    <row r="59" spans="1:5" ht="15.75">
      <c r="A59" s="301" t="s">
        <v>682</v>
      </c>
      <c r="B59" s="318"/>
      <c r="C59" s="313">
        <v>9991.29</v>
      </c>
      <c r="D59" s="9">
        <v>10269.84</v>
      </c>
      <c r="E59" s="9">
        <v>9992</v>
      </c>
    </row>
    <row r="60" spans="1:5" ht="15.75">
      <c r="A60" s="301" t="s">
        <v>77</v>
      </c>
      <c r="B60" s="318"/>
      <c r="C60" s="313">
        <v>3996.52</v>
      </c>
      <c r="D60" s="9">
        <v>4107.93</v>
      </c>
      <c r="E60" s="9">
        <v>3997</v>
      </c>
    </row>
    <row r="61" spans="1:5" ht="15.75">
      <c r="A61" s="301" t="s">
        <v>78</v>
      </c>
      <c r="B61" s="318"/>
      <c r="C61" s="313">
        <v>3996.52</v>
      </c>
      <c r="D61" s="9">
        <v>4107.93</v>
      </c>
      <c r="E61" s="9">
        <v>3997</v>
      </c>
    </row>
    <row r="62" spans="1:7" ht="15.75">
      <c r="A62" s="301" t="s">
        <v>327</v>
      </c>
      <c r="B62" s="318"/>
      <c r="C62" s="313">
        <v>0</v>
      </c>
      <c r="D62" s="9">
        <v>4107.93</v>
      </c>
      <c r="E62" s="9">
        <v>3997</v>
      </c>
      <c r="G62" s="7" t="s">
        <v>328</v>
      </c>
    </row>
    <row r="63" spans="1:7" ht="15.75">
      <c r="A63" s="301"/>
      <c r="B63" s="318"/>
      <c r="C63" s="313"/>
      <c r="D63" s="9"/>
      <c r="E63" s="9"/>
      <c r="G63" s="7" t="s">
        <v>329</v>
      </c>
    </row>
    <row r="64" spans="1:7" ht="15.75">
      <c r="A64" s="301"/>
      <c r="B64" s="318"/>
      <c r="C64" s="313"/>
      <c r="D64" s="9"/>
      <c r="E64" s="9"/>
      <c r="G64" s="7" t="s">
        <v>344</v>
      </c>
    </row>
    <row r="65" spans="1:5" ht="15.75">
      <c r="A65" s="301"/>
      <c r="B65" s="318"/>
      <c r="C65" s="313"/>
      <c r="D65" s="9"/>
      <c r="E65" s="9"/>
    </row>
    <row r="66" spans="1:5" ht="15.75">
      <c r="A66" s="301"/>
      <c r="B66" s="318"/>
      <c r="C66" s="313"/>
      <c r="D66" s="9"/>
      <c r="E66" s="9"/>
    </row>
    <row r="67" spans="1:5" ht="15.75">
      <c r="A67" s="301"/>
      <c r="B67" s="318"/>
      <c r="C67" s="313"/>
      <c r="D67" s="9"/>
      <c r="E67" s="9"/>
    </row>
    <row r="68" spans="1:5" ht="15.75">
      <c r="A68" s="319" t="s">
        <v>703</v>
      </c>
      <c r="B68" s="317"/>
      <c r="C68" s="313"/>
      <c r="D68" s="313"/>
      <c r="E68" s="313"/>
    </row>
    <row r="69" spans="1:5" ht="15.75">
      <c r="A69" s="319" t="s">
        <v>704</v>
      </c>
      <c r="B69" s="317"/>
      <c r="C69" s="355">
        <f>IF(C70*0.1&lt;C68,"Exceed 10% Rule","")</f>
      </c>
      <c r="D69" s="355">
        <f>IF(D70*0.1&lt;D68,"Exceed 10% Rule","")</f>
      </c>
      <c r="E69" s="355">
        <f>IF(E70*0.1&lt;E68,"Exceed 10% Rule","")</f>
      </c>
    </row>
    <row r="70" spans="1:5" ht="15.75">
      <c r="A70" s="151" t="s">
        <v>404</v>
      </c>
      <c r="B70" s="317"/>
      <c r="C70" s="314">
        <f>SUM(C57:C68)</f>
        <v>28094.77</v>
      </c>
      <c r="D70" s="263">
        <f>SUM(D57:D68)</f>
        <v>36118.630000000005</v>
      </c>
      <c r="E70" s="263">
        <f>SUM(E57:E68)</f>
        <v>135108.22999999998</v>
      </c>
    </row>
    <row r="71" spans="1:5" ht="15.75">
      <c r="A71" s="37" t="s">
        <v>528</v>
      </c>
      <c r="B71" s="317"/>
      <c r="C71" s="315">
        <f>C55-C70</f>
        <v>92116.51</v>
      </c>
      <c r="D71" s="262">
        <f>D55-D70</f>
        <v>98107.28999999998</v>
      </c>
      <c r="E71" s="262">
        <f>E55-E70</f>
        <v>3997.0599999999977</v>
      </c>
    </row>
    <row r="72" spans="1:5" ht="15.75">
      <c r="A72" s="23" t="str">
        <f>CONCATENATE("",E1-2," Budget Authority Limited Amount:")</f>
        <v>2010 Budget Authority Limited Amount:</v>
      </c>
      <c r="B72" s="338">
        <f>inputOth!B64</f>
        <v>130316</v>
      </c>
      <c r="C72" s="21"/>
      <c r="D72" s="21"/>
      <c r="E72" s="21"/>
    </row>
    <row r="73" spans="1:5" ht="15.75">
      <c r="A73" s="23" t="str">
        <f>CONCATENATE("Violation of Budget Law for ",E1-2,":")</f>
        <v>Violation of Budget Law for 2010:</v>
      </c>
      <c r="B73" s="339">
        <f>IF(C70&gt;B72,"Yes","")</f>
      </c>
      <c r="C73" s="21"/>
      <c r="D73" s="21"/>
      <c r="E73" s="21"/>
    </row>
    <row r="74" spans="1:5" ht="15.75">
      <c r="A74" s="23" t="str">
        <f>CONCATENATE("Possible Cash Violation for ",E1-2,":")</f>
        <v>Possible Cash Violation for 2010:</v>
      </c>
      <c r="B74" s="339">
        <f>IF(C71&lt;0,"Yes","")</f>
      </c>
      <c r="C74" s="21"/>
      <c r="D74" s="21"/>
      <c r="E74" s="21"/>
    </row>
    <row r="75" spans="1:5" ht="15.75">
      <c r="A75" s="21"/>
      <c r="B75" s="21"/>
      <c r="C75" s="21"/>
      <c r="D75" s="21"/>
      <c r="E75" s="21"/>
    </row>
    <row r="76" spans="1:5" ht="15.75">
      <c r="A76" s="24"/>
      <c r="B76" s="24" t="s">
        <v>408</v>
      </c>
      <c r="C76" s="100">
        <v>10</v>
      </c>
      <c r="D76" s="21"/>
      <c r="E76" s="21"/>
    </row>
  </sheetData>
  <sheetProtection/>
  <conditionalFormatting sqref="C68">
    <cfRule type="cellIs" priority="1" dxfId="157" operator="greaterThan" stopIfTrue="1">
      <formula>$C$70*0.1</formula>
    </cfRule>
  </conditionalFormatting>
  <conditionalFormatting sqref="D68">
    <cfRule type="cellIs" priority="2" dxfId="157" operator="greaterThan" stopIfTrue="1">
      <formula>$D$70*0.1</formula>
    </cfRule>
  </conditionalFormatting>
  <conditionalFormatting sqref="E68">
    <cfRule type="cellIs" priority="3" dxfId="157" operator="greaterThan" stopIfTrue="1">
      <formula>$E$70*0.1</formula>
    </cfRule>
  </conditionalFormatting>
  <conditionalFormatting sqref="C16">
    <cfRule type="cellIs" priority="4" dxfId="157" operator="greaterThan" stopIfTrue="1">
      <formula>$C$18*0.1</formula>
    </cfRule>
  </conditionalFormatting>
  <conditionalFormatting sqref="D16">
    <cfRule type="cellIs" priority="5" dxfId="157" operator="greaterThan" stopIfTrue="1">
      <formula>$D$18*0.1</formula>
    </cfRule>
  </conditionalFormatting>
  <conditionalFormatting sqref="E16">
    <cfRule type="cellIs" priority="6" dxfId="157" operator="greaterThan" stopIfTrue="1">
      <formula>$E$18*0.1</formula>
    </cfRule>
  </conditionalFormatting>
  <conditionalFormatting sqref="C31">
    <cfRule type="cellIs" priority="7" dxfId="157" operator="greaterThan" stopIfTrue="1">
      <formula>$C$33*0.1</formula>
    </cfRule>
  </conditionalFormatting>
  <conditionalFormatting sqref="D31">
    <cfRule type="cellIs" priority="8" dxfId="157" operator="greaterThan" stopIfTrue="1">
      <formula>$D$33*0.1</formula>
    </cfRule>
  </conditionalFormatting>
  <conditionalFormatting sqref="E31">
    <cfRule type="cellIs" priority="9" dxfId="157" operator="greaterThan" stopIfTrue="1">
      <formula>$E$33*0.1</formula>
    </cfRule>
  </conditionalFormatting>
  <conditionalFormatting sqref="C52">
    <cfRule type="cellIs" priority="10" dxfId="157" operator="greaterThan" stopIfTrue="1">
      <formula>$C$54*0.1</formula>
    </cfRule>
  </conditionalFormatting>
  <conditionalFormatting sqref="D52">
    <cfRule type="cellIs" priority="11" dxfId="157" operator="greaterThan" stopIfTrue="1">
      <formula>$D$54*0.1</formula>
    </cfRule>
  </conditionalFormatting>
  <conditionalFormatting sqref="E52">
    <cfRule type="cellIs" priority="12" dxfId="157" operator="greaterThan" stopIfTrue="1">
      <formula>$E$54*0.1</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Coffeyville</oddHeader>
    <oddFooter>&amp;Lrevised 8/06/07</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74"/>
  <sheetViews>
    <sheetView view="pageBreakPreview" zoomScaleSheetLayoutView="100" zoomScalePageLayoutView="0" workbookViewId="0" topLeftCell="A37">
      <selection activeCell="C43" sqref="C43"/>
    </sheetView>
  </sheetViews>
  <sheetFormatPr defaultColWidth="8.796875" defaultRowHeight="15"/>
  <cols>
    <col min="1" max="1" width="28.796875" style="7" customWidth="1"/>
    <col min="2" max="2" width="9.59765625" style="7" customWidth="1"/>
    <col min="3" max="4" width="16.3984375" style="7" customWidth="1"/>
    <col min="5" max="5" width="16.3984375" style="7" bestFit="1" customWidth="1"/>
    <col min="6" max="16384" width="8.8984375" style="7"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586</v>
      </c>
      <c r="D4" s="33" t="s">
        <v>556</v>
      </c>
      <c r="E4" s="33" t="s">
        <v>557</v>
      </c>
    </row>
    <row r="5" spans="1:5" ht="15.75">
      <c r="A5" s="137" t="str">
        <f>(inputPrYr!B34)</f>
        <v>Youth Activity Center</v>
      </c>
      <c r="B5" s="137"/>
      <c r="C5" s="145">
        <f>E1-2</f>
        <v>2010</v>
      </c>
      <c r="D5" s="145">
        <f>E1-1</f>
        <v>2011</v>
      </c>
      <c r="E5" s="145">
        <f>E1</f>
        <v>2012</v>
      </c>
    </row>
    <row r="6" spans="1:5" ht="15.75">
      <c r="A6" s="311" t="s">
        <v>527</v>
      </c>
      <c r="B6" s="317"/>
      <c r="C6" s="313">
        <v>5228.66</v>
      </c>
      <c r="D6" s="85">
        <f>C34</f>
        <v>5112.199999999997</v>
      </c>
      <c r="E6" s="85">
        <f>D34</f>
        <v>4624.5899999999965</v>
      </c>
    </row>
    <row r="7" spans="1:5" ht="15.75">
      <c r="A7" s="316" t="s">
        <v>529</v>
      </c>
      <c r="B7" s="317"/>
      <c r="C7" s="305"/>
      <c r="D7" s="40"/>
      <c r="E7" s="40"/>
    </row>
    <row r="8" spans="1:5" ht="15.75">
      <c r="A8" s="301" t="s">
        <v>81</v>
      </c>
      <c r="B8" s="318"/>
      <c r="C8" s="313">
        <v>2745</v>
      </c>
      <c r="D8" s="9">
        <v>3500</v>
      </c>
      <c r="E8" s="9">
        <v>3500</v>
      </c>
    </row>
    <row r="9" spans="1:5" ht="15.75">
      <c r="A9" s="301" t="s">
        <v>82</v>
      </c>
      <c r="B9" s="318"/>
      <c r="C9" s="313">
        <v>19.91</v>
      </c>
      <c r="D9" s="9">
        <v>150</v>
      </c>
      <c r="E9" s="9">
        <v>150</v>
      </c>
    </row>
    <row r="10" spans="1:5" ht="15.75">
      <c r="A10" s="301" t="s">
        <v>681</v>
      </c>
      <c r="B10" s="318"/>
      <c r="C10" s="313">
        <v>9991.29</v>
      </c>
      <c r="D10" s="9">
        <v>10269.84</v>
      </c>
      <c r="E10" s="9">
        <v>9992</v>
      </c>
    </row>
    <row r="11" spans="1:5" ht="15.75">
      <c r="A11" s="301" t="s">
        <v>57</v>
      </c>
      <c r="B11" s="318"/>
      <c r="C11" s="313">
        <v>0</v>
      </c>
      <c r="D11" s="9">
        <v>0</v>
      </c>
      <c r="E11" s="9">
        <v>0</v>
      </c>
    </row>
    <row r="12" spans="1:5" ht="15.75">
      <c r="A12" s="301" t="s">
        <v>115</v>
      </c>
      <c r="B12" s="318"/>
      <c r="C12" s="313">
        <v>21000</v>
      </c>
      <c r="D12" s="9">
        <v>25000</v>
      </c>
      <c r="E12" s="9">
        <v>25000</v>
      </c>
    </row>
    <row r="13" spans="1:5" ht="15.75">
      <c r="A13" s="301"/>
      <c r="B13" s="318"/>
      <c r="C13" s="313"/>
      <c r="D13" s="9"/>
      <c r="E13" s="9"/>
    </row>
    <row r="14" spans="1:5" ht="15.75">
      <c r="A14" s="312" t="s">
        <v>396</v>
      </c>
      <c r="B14" s="318"/>
      <c r="C14" s="313"/>
      <c r="D14" s="9"/>
      <c r="E14" s="9"/>
    </row>
    <row r="15" spans="1:5" ht="15.75">
      <c r="A15" s="321" t="s">
        <v>703</v>
      </c>
      <c r="B15" s="317"/>
      <c r="C15" s="313">
        <v>0</v>
      </c>
      <c r="D15" s="313"/>
      <c r="E15" s="313"/>
    </row>
    <row r="16" spans="1:5" ht="15.75">
      <c r="A16" s="311" t="s">
        <v>705</v>
      </c>
      <c r="B16" s="317"/>
      <c r="C16" s="355">
        <f>IF(C17*0.1&lt;C15,"Exceed 10% Rule","")</f>
      </c>
      <c r="D16" s="355">
        <f>IF(D17*0.1&lt;D15,"Exceed 10% Rule","")</f>
      </c>
      <c r="E16" s="355">
        <f>IF(E17*0.1&lt;E15,"Exceed 10% Rule","")</f>
      </c>
    </row>
    <row r="17" spans="1:5" ht="15.75">
      <c r="A17" s="151" t="s">
        <v>397</v>
      </c>
      <c r="B17" s="317"/>
      <c r="C17" s="314">
        <f>SUM(C8:C15)</f>
        <v>33756.2</v>
      </c>
      <c r="D17" s="263">
        <f>SUM(D8:D15)</f>
        <v>38919.84</v>
      </c>
      <c r="E17" s="263">
        <f>SUM(E8:E15)</f>
        <v>38642</v>
      </c>
    </row>
    <row r="18" spans="1:5" ht="15.75">
      <c r="A18" s="151" t="s">
        <v>398</v>
      </c>
      <c r="B18" s="317"/>
      <c r="C18" s="314">
        <f>C6+C17</f>
        <v>38984.86</v>
      </c>
      <c r="D18" s="263">
        <f>D6+D17</f>
        <v>44032.03999999999</v>
      </c>
      <c r="E18" s="263">
        <f>E6+E17</f>
        <v>43266.59</v>
      </c>
    </row>
    <row r="19" spans="1:5" ht="15.75">
      <c r="A19" s="375" t="s">
        <v>400</v>
      </c>
      <c r="B19" s="352"/>
      <c r="C19" s="119"/>
      <c r="D19" s="85"/>
      <c r="E19" s="85"/>
    </row>
    <row r="20" spans="1:5" ht="15.75">
      <c r="A20" s="312" t="s">
        <v>91</v>
      </c>
      <c r="B20" s="318"/>
      <c r="C20" s="313">
        <v>22564.02</v>
      </c>
      <c r="D20" s="9">
        <v>27089.95</v>
      </c>
      <c r="E20" s="9">
        <v>27001.24</v>
      </c>
    </row>
    <row r="21" spans="1:5" ht="15.75">
      <c r="A21" s="312" t="s">
        <v>93</v>
      </c>
      <c r="B21" s="318"/>
      <c r="C21" s="313">
        <f>25+9349.26+1241.47</f>
        <v>10615.73</v>
      </c>
      <c r="D21" s="9">
        <f>25+10288+500</f>
        <v>10813</v>
      </c>
      <c r="E21" s="9">
        <f>25+11538+1000</f>
        <v>12563</v>
      </c>
    </row>
    <row r="22" spans="1:5" ht="15.75">
      <c r="A22" s="312" t="s">
        <v>94</v>
      </c>
      <c r="B22" s="318"/>
      <c r="C22" s="313">
        <v>692.91</v>
      </c>
      <c r="D22" s="9">
        <v>754.5</v>
      </c>
      <c r="E22" s="9">
        <v>750</v>
      </c>
    </row>
    <row r="23" spans="1:5" ht="15.75">
      <c r="A23" s="312" t="s">
        <v>95</v>
      </c>
      <c r="B23" s="318"/>
      <c r="C23" s="313">
        <v>0</v>
      </c>
      <c r="D23" s="9">
        <v>750</v>
      </c>
      <c r="E23" s="9">
        <v>2952.35</v>
      </c>
    </row>
    <row r="24" spans="1:5" ht="15.75">
      <c r="A24" s="301"/>
      <c r="B24" s="318"/>
      <c r="C24" s="313"/>
      <c r="D24" s="9"/>
      <c r="E24" s="9"/>
    </row>
    <row r="25" spans="1:5" ht="15.75">
      <c r="A25" s="301"/>
      <c r="B25" s="318"/>
      <c r="C25" s="313"/>
      <c r="D25" s="9"/>
      <c r="E25" s="9"/>
    </row>
    <row r="26" spans="1:5" ht="15.75">
      <c r="A26" s="301"/>
      <c r="B26" s="318"/>
      <c r="C26" s="313"/>
      <c r="D26" s="9"/>
      <c r="E26" s="9"/>
    </row>
    <row r="27" spans="1:5" ht="15.75">
      <c r="A27" s="301"/>
      <c r="B27" s="318"/>
      <c r="C27" s="313"/>
      <c r="D27" s="9"/>
      <c r="E27" s="9"/>
    </row>
    <row r="28" spans="1:5" ht="15.75">
      <c r="A28" s="301"/>
      <c r="B28" s="318"/>
      <c r="C28" s="313"/>
      <c r="D28" s="9"/>
      <c r="E28" s="9"/>
    </row>
    <row r="29" spans="1:5" ht="15.75">
      <c r="A29" s="301"/>
      <c r="B29" s="318"/>
      <c r="C29" s="313"/>
      <c r="D29" s="9"/>
      <c r="E29" s="9"/>
    </row>
    <row r="30" spans="1:5" ht="15.75">
      <c r="A30" s="301"/>
      <c r="B30" s="318"/>
      <c r="C30" s="313"/>
      <c r="D30" s="9"/>
      <c r="E30" s="9"/>
    </row>
    <row r="31" spans="1:5" ht="15.75">
      <c r="A31" s="319" t="s">
        <v>703</v>
      </c>
      <c r="B31" s="317"/>
      <c r="C31" s="313"/>
      <c r="D31" s="313"/>
      <c r="E31" s="313"/>
    </row>
    <row r="32" spans="1:5" ht="15.75">
      <c r="A32" s="319" t="s">
        <v>704</v>
      </c>
      <c r="B32" s="317"/>
      <c r="C32" s="355">
        <f>IF(C33*0.1&lt;C31,"Exceed 10% Rule","")</f>
      </c>
      <c r="D32" s="355">
        <f>IF(D33*0.1&lt;D31,"Exceed 10% Rule","")</f>
      </c>
      <c r="E32" s="355">
        <f>IF(E33*0.1&lt;E31,"Exceed 10% Rule","")</f>
      </c>
    </row>
    <row r="33" spans="1:5" ht="15.75">
      <c r="A33" s="151" t="s">
        <v>404</v>
      </c>
      <c r="B33" s="317"/>
      <c r="C33" s="314">
        <f>SUM(C20:C31)</f>
        <v>33872.66</v>
      </c>
      <c r="D33" s="263">
        <f>SUM(D20:D31)</f>
        <v>39407.45</v>
      </c>
      <c r="E33" s="263">
        <f>SUM(E20:E31)</f>
        <v>43266.590000000004</v>
      </c>
    </row>
    <row r="34" spans="1:5" ht="15.75">
      <c r="A34" s="37" t="s">
        <v>528</v>
      </c>
      <c r="B34" s="317"/>
      <c r="C34" s="315">
        <f>C18-C33</f>
        <v>5112.199999999997</v>
      </c>
      <c r="D34" s="262">
        <f>D18-D33</f>
        <v>4624.5899999999965</v>
      </c>
      <c r="E34" s="262">
        <f>E18-E33</f>
        <v>0</v>
      </c>
    </row>
    <row r="35" spans="1:5" ht="15.75">
      <c r="A35" s="23" t="str">
        <f>CONCATENATE("",E1-2," Budget Authority Limited Amount:")</f>
        <v>2010 Budget Authority Limited Amount:</v>
      </c>
      <c r="B35" s="338">
        <f>inputOth!B65</f>
        <v>51864</v>
      </c>
      <c r="C35" s="65"/>
      <c r="D35" s="65"/>
      <c r="E35" s="65"/>
    </row>
    <row r="36" spans="1:5" ht="15.75">
      <c r="A36" s="23" t="str">
        <f>CONCATENATE("Violation of Budget Law for ",E1-2,":")</f>
        <v>Violation of Budget Law for 2010:</v>
      </c>
      <c r="B36" s="339">
        <f>IF(C33&gt;B35,"Yes","")</f>
      </c>
      <c r="C36" s="65"/>
      <c r="D36" s="65"/>
      <c r="E36" s="65"/>
    </row>
    <row r="37" spans="1:5" ht="15.75">
      <c r="A37" s="23" t="str">
        <f>CONCATENATE("Possible Cash Violation for ",E1-2,":")</f>
        <v>Possible Cash Violation for 2010:</v>
      </c>
      <c r="B37" s="339">
        <f>IF(C34&lt;0,"Yes","")</f>
      </c>
      <c r="C37" s="65"/>
      <c r="D37" s="65"/>
      <c r="E37" s="65"/>
    </row>
    <row r="38" spans="1:5" ht="15.75">
      <c r="A38" s="21"/>
      <c r="B38" s="21"/>
      <c r="C38" s="65"/>
      <c r="D38" s="65"/>
      <c r="E38" s="65"/>
    </row>
    <row r="39" spans="1:5" ht="15.75">
      <c r="A39" s="25" t="s">
        <v>391</v>
      </c>
      <c r="B39" s="25"/>
      <c r="C39" s="102"/>
      <c r="D39" s="102"/>
      <c r="E39" s="102"/>
    </row>
    <row r="40" spans="1:5" ht="15.75">
      <c r="A40" s="21"/>
      <c r="B40" s="21"/>
      <c r="C40" s="93" t="s">
        <v>412</v>
      </c>
      <c r="D40" s="33" t="s">
        <v>556</v>
      </c>
      <c r="E40" s="33" t="s">
        <v>557</v>
      </c>
    </row>
    <row r="41" spans="1:5" ht="15.75">
      <c r="A41" s="137" t="str">
        <f>(inputPrYr!B35)</f>
        <v>Community Development</v>
      </c>
      <c r="B41" s="137"/>
      <c r="C41" s="145">
        <f>C5</f>
        <v>2010</v>
      </c>
      <c r="D41" s="145">
        <f>D5</f>
        <v>2011</v>
      </c>
      <c r="E41" s="145">
        <f>E5</f>
        <v>2012</v>
      </c>
    </row>
    <row r="42" spans="1:5" ht="15.75">
      <c r="A42" s="311" t="s">
        <v>527</v>
      </c>
      <c r="B42" s="317"/>
      <c r="C42" s="313">
        <v>160955.08</v>
      </c>
      <c r="D42" s="85">
        <f>C69</f>
        <v>171303.53</v>
      </c>
      <c r="E42" s="85">
        <f>D69</f>
        <v>178143.53</v>
      </c>
    </row>
    <row r="43" spans="1:5" ht="15.75">
      <c r="A43" s="316" t="s">
        <v>529</v>
      </c>
      <c r="B43" s="317"/>
      <c r="C43" s="305"/>
      <c r="D43" s="40"/>
      <c r="E43" s="40"/>
    </row>
    <row r="44" spans="1:5" ht="15.75">
      <c r="A44" s="301" t="s">
        <v>157</v>
      </c>
      <c r="B44" s="318"/>
      <c r="C44" s="313">
        <v>9893.66</v>
      </c>
      <c r="D44" s="9">
        <f>6200+1000</f>
        <v>7200</v>
      </c>
      <c r="E44" s="9">
        <f>13000+1000</f>
        <v>14000</v>
      </c>
    </row>
    <row r="45" spans="1:5" ht="15.75">
      <c r="A45" s="301" t="s">
        <v>158</v>
      </c>
      <c r="B45" s="318"/>
      <c r="C45" s="313">
        <v>554.79</v>
      </c>
      <c r="D45" s="9">
        <f>140+50</f>
        <v>190</v>
      </c>
      <c r="E45" s="9">
        <f>992+50</f>
        <v>1042</v>
      </c>
    </row>
    <row r="46" spans="1:5" ht="15.75">
      <c r="A46" s="301" t="s">
        <v>98</v>
      </c>
      <c r="B46" s="318"/>
      <c r="C46" s="313">
        <v>0</v>
      </c>
      <c r="D46" s="9">
        <v>500</v>
      </c>
      <c r="E46" s="9">
        <v>0</v>
      </c>
    </row>
    <row r="47" spans="1:5" ht="15.75">
      <c r="A47" s="301" t="s">
        <v>445</v>
      </c>
      <c r="B47" s="318"/>
      <c r="C47" s="313">
        <v>0</v>
      </c>
      <c r="D47" s="9">
        <v>50</v>
      </c>
      <c r="E47" s="9">
        <v>50</v>
      </c>
    </row>
    <row r="48" spans="1:5" ht="15.75">
      <c r="A48" s="301"/>
      <c r="B48" s="318"/>
      <c r="C48" s="313"/>
      <c r="D48" s="9"/>
      <c r="E48" s="9"/>
    </row>
    <row r="49" spans="1:5" ht="15.75">
      <c r="A49" s="312" t="s">
        <v>396</v>
      </c>
      <c r="B49" s="318"/>
      <c r="C49" s="313"/>
      <c r="D49" s="9"/>
      <c r="E49" s="9"/>
    </row>
    <row r="50" spans="1:5" ht="15.75">
      <c r="A50" s="321" t="s">
        <v>703</v>
      </c>
      <c r="B50" s="317"/>
      <c r="C50" s="313"/>
      <c r="D50" s="313"/>
      <c r="E50" s="313"/>
    </row>
    <row r="51" spans="1:5" ht="15.75">
      <c r="A51" s="311" t="s">
        <v>705</v>
      </c>
      <c r="B51" s="317"/>
      <c r="C51" s="355">
        <f>IF(C52*0.1&lt;C50,"Exceed 10% Rule","")</f>
      </c>
      <c r="D51" s="355">
        <f>IF(D52*0.1&lt;D50,"Exceed 10% Rule","")</f>
      </c>
      <c r="E51" s="355">
        <f>IF(E52*0.1&lt;E50,"Exceed 10% Rule","")</f>
      </c>
    </row>
    <row r="52" spans="1:5" ht="15.75">
      <c r="A52" s="151" t="s">
        <v>397</v>
      </c>
      <c r="B52" s="317"/>
      <c r="C52" s="314">
        <f>SUM(C44:C50)</f>
        <v>10448.45</v>
      </c>
      <c r="D52" s="263">
        <f>SUM(D44:D50)</f>
        <v>7940</v>
      </c>
      <c r="E52" s="263">
        <f>SUM(E44:E50)</f>
        <v>15092</v>
      </c>
    </row>
    <row r="53" spans="1:5" ht="15.75">
      <c r="A53" s="151" t="s">
        <v>398</v>
      </c>
      <c r="B53" s="317"/>
      <c r="C53" s="314">
        <f>C42+C52</f>
        <v>171403.53</v>
      </c>
      <c r="D53" s="263">
        <f>D42+D52</f>
        <v>179243.53</v>
      </c>
      <c r="E53" s="263">
        <f>E42+E52</f>
        <v>193235.53</v>
      </c>
    </row>
    <row r="54" spans="1:5" ht="15.75">
      <c r="A54" s="37" t="s">
        <v>400</v>
      </c>
      <c r="B54" s="317"/>
      <c r="C54" s="119"/>
      <c r="D54" s="85"/>
      <c r="E54" s="85"/>
    </row>
    <row r="55" spans="1:5" ht="15.75">
      <c r="A55" s="312" t="s">
        <v>91</v>
      </c>
      <c r="B55" s="318"/>
      <c r="C55" s="313">
        <v>0</v>
      </c>
      <c r="D55" s="9">
        <v>0</v>
      </c>
      <c r="E55" s="9">
        <v>0</v>
      </c>
    </row>
    <row r="56" spans="1:5" ht="15.75">
      <c r="A56" s="312" t="s">
        <v>93</v>
      </c>
      <c r="B56" s="318"/>
      <c r="C56" s="313">
        <v>100</v>
      </c>
      <c r="D56" s="9">
        <v>1100</v>
      </c>
      <c r="E56" s="9">
        <f>169284.91+365.19+1036.95+296.24+500+4282.08+1000</f>
        <v>176765.37</v>
      </c>
    </row>
    <row r="57" spans="1:5" ht="15.75">
      <c r="A57" s="312" t="s">
        <v>95</v>
      </c>
      <c r="B57" s="318"/>
      <c r="C57" s="313">
        <v>0</v>
      </c>
      <c r="D57" s="9">
        <v>0</v>
      </c>
      <c r="E57" s="9">
        <v>16470.16</v>
      </c>
    </row>
    <row r="58" spans="1:5" ht="15.75">
      <c r="A58" s="312"/>
      <c r="B58" s="318"/>
      <c r="C58" s="313"/>
      <c r="D58" s="9"/>
      <c r="E58" s="9"/>
    </row>
    <row r="59" spans="1:5" ht="15.75">
      <c r="A59" s="312"/>
      <c r="B59" s="318"/>
      <c r="C59" s="313"/>
      <c r="D59" s="9"/>
      <c r="E59" s="9"/>
    </row>
    <row r="60" spans="1:5" ht="15.75">
      <c r="A60" s="312"/>
      <c r="B60" s="318"/>
      <c r="C60" s="313"/>
      <c r="D60" s="9"/>
      <c r="E60" s="9"/>
    </row>
    <row r="61" spans="1:5" ht="15.75">
      <c r="A61" s="312"/>
      <c r="B61" s="318"/>
      <c r="C61" s="313"/>
      <c r="D61" s="9"/>
      <c r="E61" s="9"/>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19" t="s">
        <v>703</v>
      </c>
      <c r="B66" s="317"/>
      <c r="C66" s="313"/>
      <c r="D66" s="313"/>
      <c r="E66" s="313"/>
    </row>
    <row r="67" spans="1:5" ht="15.75">
      <c r="A67" s="319" t="s">
        <v>704</v>
      </c>
      <c r="B67" s="317"/>
      <c r="C67" s="355">
        <f>IF(C68*0.1&lt;C66,"Exceed 10% Rule","")</f>
      </c>
      <c r="D67" s="355">
        <f>IF(D68*0.1&lt;D66,"Exceed 10% Rule","")</f>
      </c>
      <c r="E67" s="355">
        <f>IF(E68*0.1&lt;E66,"Exceed 10% Rule","")</f>
      </c>
    </row>
    <row r="68" spans="1:5" ht="15.75">
      <c r="A68" s="151" t="s">
        <v>404</v>
      </c>
      <c r="B68" s="317"/>
      <c r="C68" s="314">
        <f>SUM(C55:C66)</f>
        <v>100</v>
      </c>
      <c r="D68" s="263">
        <f>SUM(D55:D66)</f>
        <v>1100</v>
      </c>
      <c r="E68" s="263">
        <f>SUM(E55:E66)</f>
        <v>193235.53</v>
      </c>
    </row>
    <row r="69" spans="1:5" ht="15.75">
      <c r="A69" s="37" t="s">
        <v>528</v>
      </c>
      <c r="B69" s="317"/>
      <c r="C69" s="315">
        <f>C53-C68</f>
        <v>171303.53</v>
      </c>
      <c r="D69" s="262">
        <f>D53-D68</f>
        <v>178143.53</v>
      </c>
      <c r="E69" s="262">
        <f>E53-E68</f>
        <v>0</v>
      </c>
    </row>
    <row r="70" spans="1:5" ht="15.75">
      <c r="A70" s="23" t="str">
        <f>CONCATENATE("",E1-2," Budget Authority Limited Amount:")</f>
        <v>2010 Budget Authority Limited Amount:</v>
      </c>
      <c r="B70" s="338">
        <f>inputOth!B66</f>
        <v>187687</v>
      </c>
      <c r="C70" s="21"/>
      <c r="D70" s="21"/>
      <c r="E70" s="21"/>
    </row>
    <row r="71" spans="1:5" ht="15.75">
      <c r="A71" s="23" t="str">
        <f>CONCATENATE("Violation of Budget Law for ",E1-2,":")</f>
        <v>Violation of Budget Law for 2010:</v>
      </c>
      <c r="B71" s="339">
        <f>IF(C68&gt;B70,"Yes","")</f>
      </c>
      <c r="C71" s="21"/>
      <c r="D71" s="21"/>
      <c r="E71" s="21"/>
    </row>
    <row r="72" spans="1:5" ht="15.75">
      <c r="A72" s="23" t="str">
        <f>CONCATENATE("Possible Cash Violation for ",E1-2,":")</f>
        <v>Possible Cash Violation for 2010:</v>
      </c>
      <c r="B72" s="339">
        <f>IF(C69&lt;0,"Yes","")</f>
      </c>
      <c r="C72" s="21"/>
      <c r="D72" s="21"/>
      <c r="E72" s="21"/>
    </row>
    <row r="73" spans="1:5" ht="15.75">
      <c r="A73" s="21"/>
      <c r="B73" s="21"/>
      <c r="C73" s="21"/>
      <c r="D73" s="21"/>
      <c r="E73" s="21"/>
    </row>
    <row r="74" spans="1:5" ht="15.75">
      <c r="A74" s="24"/>
      <c r="B74" s="24" t="s">
        <v>408</v>
      </c>
      <c r="C74" s="100">
        <v>11</v>
      </c>
      <c r="D74" s="21"/>
      <c r="E74" s="21"/>
    </row>
  </sheetData>
  <sheetProtection/>
  <conditionalFormatting sqref="C31">
    <cfRule type="cellIs" priority="1" dxfId="157" operator="greaterThan" stopIfTrue="1">
      <formula>$C$33*0.1</formula>
    </cfRule>
  </conditionalFormatting>
  <conditionalFormatting sqref="D31">
    <cfRule type="cellIs" priority="2" dxfId="157" operator="greaterThan" stopIfTrue="1">
      <formula>$D$33*0.1</formula>
    </cfRule>
  </conditionalFormatting>
  <conditionalFormatting sqref="E31">
    <cfRule type="cellIs" priority="3" dxfId="157" operator="greaterThan" stopIfTrue="1">
      <formula>$E$33*0.1</formula>
    </cfRule>
  </conditionalFormatting>
  <conditionalFormatting sqref="C50">
    <cfRule type="cellIs" priority="4" dxfId="157" operator="greaterThan" stopIfTrue="1">
      <formula>$C$52*0.1</formula>
    </cfRule>
  </conditionalFormatting>
  <conditionalFormatting sqref="D50">
    <cfRule type="cellIs" priority="5" dxfId="157" operator="greaterThan" stopIfTrue="1">
      <formula>$D$52*0.1</formula>
    </cfRule>
  </conditionalFormatting>
  <conditionalFormatting sqref="E50">
    <cfRule type="cellIs" priority="6" dxfId="157" operator="greaterThan" stopIfTrue="1">
      <formula>$E$52*0.1</formula>
    </cfRule>
  </conditionalFormatting>
  <conditionalFormatting sqref="C66">
    <cfRule type="cellIs" priority="7" dxfId="157" operator="greaterThan" stopIfTrue="1">
      <formula>$C$68*0.1</formula>
    </cfRule>
  </conditionalFormatting>
  <conditionalFormatting sqref="D66">
    <cfRule type="cellIs" priority="8" dxfId="157" operator="greaterThan" stopIfTrue="1">
      <formula>$D$68*0.1</formula>
    </cfRule>
  </conditionalFormatting>
  <conditionalFormatting sqref="E66">
    <cfRule type="cellIs" priority="9" dxfId="157" operator="greaterThan" stopIfTrue="1">
      <formula>$E$68*0.1</formula>
    </cfRule>
  </conditionalFormatting>
  <conditionalFormatting sqref="C15">
    <cfRule type="cellIs" priority="10" dxfId="157" operator="greaterThan" stopIfTrue="1">
      <formula>$C$17*0.1</formula>
    </cfRule>
  </conditionalFormatting>
  <conditionalFormatting sqref="D15">
    <cfRule type="cellIs" priority="11" dxfId="157" operator="greaterThan" stopIfTrue="1">
      <formula>$D$17*0.1</formula>
    </cfRule>
  </conditionalFormatting>
  <conditionalFormatting sqref="E15">
    <cfRule type="cellIs" priority="12" dxfId="157" operator="greaterThan" stopIfTrue="1">
      <formula>$E$17*0.1</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Coffeyville</oddHeader>
    <oddFooter>&amp;Lrevised 8/06/07</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E74"/>
  <sheetViews>
    <sheetView view="pageBreakPreview" zoomScaleSheetLayoutView="100" zoomScalePageLayoutView="0" workbookViewId="0" topLeftCell="A1">
      <selection activeCell="C55" sqref="C55"/>
    </sheetView>
  </sheetViews>
  <sheetFormatPr defaultColWidth="8.796875" defaultRowHeight="15"/>
  <cols>
    <col min="1" max="1" width="28.796875" style="7" customWidth="1"/>
    <col min="2" max="2" width="9.59765625" style="7" customWidth="1"/>
    <col min="3" max="4" width="16.3984375" style="7" customWidth="1"/>
    <col min="5" max="5" width="16.3984375" style="7" bestFit="1" customWidth="1"/>
    <col min="6" max="16384" width="8.8984375" style="7"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(inputPrYr!B36)</f>
        <v>Police VIN</v>
      </c>
      <c r="B5" s="137"/>
      <c r="C5" s="145">
        <f>E1-2</f>
        <v>2010</v>
      </c>
      <c r="D5" s="145">
        <f>E1-1</f>
        <v>2011</v>
      </c>
      <c r="E5" s="145">
        <f>E1</f>
        <v>2012</v>
      </c>
    </row>
    <row r="6" spans="1:5" ht="15.75">
      <c r="A6" s="311" t="s">
        <v>527</v>
      </c>
      <c r="B6" s="317"/>
      <c r="C6" s="313">
        <v>309</v>
      </c>
      <c r="D6" s="85">
        <f>C33</f>
        <v>231</v>
      </c>
      <c r="E6" s="85">
        <f>D33</f>
        <v>312.25</v>
      </c>
    </row>
    <row r="7" spans="1:5" ht="15.75">
      <c r="A7" s="316" t="s">
        <v>529</v>
      </c>
      <c r="B7" s="317"/>
      <c r="C7" s="305"/>
      <c r="D7" s="40"/>
      <c r="E7" s="40"/>
    </row>
    <row r="8" spans="1:5" ht="15.75">
      <c r="A8" s="301" t="s">
        <v>101</v>
      </c>
      <c r="B8" s="318"/>
      <c r="C8" s="313">
        <v>11650</v>
      </c>
      <c r="D8" s="9">
        <v>14562.5</v>
      </c>
      <c r="E8" s="9">
        <v>16989.58</v>
      </c>
    </row>
    <row r="9" spans="1:5" ht="15.75">
      <c r="A9" s="301"/>
      <c r="B9" s="318"/>
      <c r="C9" s="313"/>
      <c r="D9" s="9"/>
      <c r="E9" s="9"/>
    </row>
    <row r="10" spans="1:5" ht="15.75">
      <c r="A10" s="301"/>
      <c r="B10" s="318"/>
      <c r="C10" s="313"/>
      <c r="D10" s="9"/>
      <c r="E10" s="9"/>
    </row>
    <row r="11" spans="1:5" ht="15.75">
      <c r="A11" s="301"/>
      <c r="B11" s="318"/>
      <c r="C11" s="313"/>
      <c r="D11" s="9"/>
      <c r="E11" s="9"/>
    </row>
    <row r="12" spans="1:5" ht="15.75">
      <c r="A12" s="301"/>
      <c r="B12" s="318"/>
      <c r="C12" s="313"/>
      <c r="D12" s="9"/>
      <c r="E12" s="9"/>
    </row>
    <row r="13" spans="1:5" ht="15.75">
      <c r="A13" s="301"/>
      <c r="B13" s="318"/>
      <c r="C13" s="313"/>
      <c r="D13" s="9"/>
      <c r="E13" s="9"/>
    </row>
    <row r="14" spans="1:5" ht="15.75">
      <c r="A14" s="312" t="s">
        <v>396</v>
      </c>
      <c r="B14" s="318"/>
      <c r="C14" s="313"/>
      <c r="D14" s="9"/>
      <c r="E14" s="9"/>
    </row>
    <row r="15" spans="1:5" ht="15.75">
      <c r="A15" s="321" t="s">
        <v>703</v>
      </c>
      <c r="B15" s="317"/>
      <c r="C15" s="313"/>
      <c r="D15" s="313"/>
      <c r="E15" s="313"/>
    </row>
    <row r="16" spans="1:5" ht="15.75">
      <c r="A16" s="311" t="s">
        <v>705</v>
      </c>
      <c r="B16" s="317"/>
      <c r="C16" s="355">
        <f>IF(C17*0.1&lt;C15,"Exceed 10% Rule","")</f>
      </c>
      <c r="D16" s="355">
        <f>IF(D17*0.1&lt;D15,"Exceed 10% Rule","")</f>
      </c>
      <c r="E16" s="355">
        <f>IF(E17*0.1&lt;E15,"Exceed 10% Rule","")</f>
      </c>
    </row>
    <row r="17" spans="1:5" ht="15.75">
      <c r="A17" s="151" t="s">
        <v>397</v>
      </c>
      <c r="B17" s="317"/>
      <c r="C17" s="314">
        <f>SUM(C8:C15)</f>
        <v>11650</v>
      </c>
      <c r="D17" s="263">
        <f>SUM(D8:D15)</f>
        <v>14562.5</v>
      </c>
      <c r="E17" s="263">
        <f>SUM(E8:E15)</f>
        <v>16989.58</v>
      </c>
    </row>
    <row r="18" spans="1:5" ht="15.75">
      <c r="A18" s="151" t="s">
        <v>398</v>
      </c>
      <c r="B18" s="317"/>
      <c r="C18" s="314">
        <f>C6+C17</f>
        <v>11959</v>
      </c>
      <c r="D18" s="263">
        <f>D6+D17</f>
        <v>14793.5</v>
      </c>
      <c r="E18" s="263">
        <f>E6+E17</f>
        <v>17301.83</v>
      </c>
    </row>
    <row r="19" spans="1:5" ht="15.75">
      <c r="A19" s="37" t="s">
        <v>400</v>
      </c>
      <c r="B19" s="317"/>
      <c r="C19" s="119"/>
      <c r="D19" s="85"/>
      <c r="E19" s="85"/>
    </row>
    <row r="20" spans="1:5" ht="15.75">
      <c r="A20" s="301" t="s">
        <v>93</v>
      </c>
      <c r="B20" s="318"/>
      <c r="C20" s="313">
        <f>1213+25-10</f>
        <v>1228</v>
      </c>
      <c r="D20" s="9">
        <v>14481.25</v>
      </c>
      <c r="E20" s="9">
        <v>17301.83</v>
      </c>
    </row>
    <row r="21" spans="1:5" ht="15.75">
      <c r="A21" s="301" t="s">
        <v>84</v>
      </c>
      <c r="B21" s="318"/>
      <c r="C21" s="313">
        <v>10500</v>
      </c>
      <c r="D21" s="9">
        <v>0</v>
      </c>
      <c r="E21" s="9">
        <v>0</v>
      </c>
    </row>
    <row r="22" spans="1:5" ht="15.75">
      <c r="A22" s="301"/>
      <c r="B22" s="318"/>
      <c r="C22" s="313"/>
      <c r="D22" s="9"/>
      <c r="E22" s="9"/>
    </row>
    <row r="23" spans="1:5" ht="15.75">
      <c r="A23" s="301"/>
      <c r="B23" s="318"/>
      <c r="C23" s="313"/>
      <c r="D23" s="9"/>
      <c r="E23" s="9"/>
    </row>
    <row r="24" spans="1:5" ht="15.75">
      <c r="A24" s="301"/>
      <c r="B24" s="318"/>
      <c r="C24" s="313"/>
      <c r="D24" s="9"/>
      <c r="E24" s="9"/>
    </row>
    <row r="25" spans="1:5" ht="15.75">
      <c r="A25" s="301"/>
      <c r="B25" s="318"/>
      <c r="C25" s="313"/>
      <c r="D25" s="9"/>
      <c r="E25" s="9"/>
    </row>
    <row r="26" spans="1:5" ht="15.75">
      <c r="A26" s="301"/>
      <c r="B26" s="318"/>
      <c r="C26" s="313"/>
      <c r="D26" s="9"/>
      <c r="E26" s="9"/>
    </row>
    <row r="27" spans="1:5" ht="15.75">
      <c r="A27" s="301"/>
      <c r="B27" s="318"/>
      <c r="C27" s="313"/>
      <c r="D27" s="9"/>
      <c r="E27" s="9"/>
    </row>
    <row r="28" spans="1:5" ht="15.75">
      <c r="A28" s="301"/>
      <c r="B28" s="318"/>
      <c r="C28" s="313"/>
      <c r="D28" s="9"/>
      <c r="E28" s="9"/>
    </row>
    <row r="29" spans="1:5" ht="15.75">
      <c r="A29" s="301"/>
      <c r="B29" s="318"/>
      <c r="C29" s="313"/>
      <c r="D29" s="9"/>
      <c r="E29" s="9"/>
    </row>
    <row r="30" spans="1:5" ht="15.75">
      <c r="A30" s="319" t="s">
        <v>703</v>
      </c>
      <c r="B30" s="317"/>
      <c r="C30" s="313"/>
      <c r="D30" s="313"/>
      <c r="E30" s="313"/>
    </row>
    <row r="31" spans="1:5" ht="15.75">
      <c r="A31" s="319" t="s">
        <v>704</v>
      </c>
      <c r="B31" s="317"/>
      <c r="C31" s="355">
        <f>IF(C32*0.1&lt;C30,"Exceed 10% Rule","")</f>
      </c>
      <c r="D31" s="355">
        <f>IF(D32*0.1&lt;D30,"Exceed 10% Rule","")</f>
      </c>
      <c r="E31" s="355">
        <f>IF(E32*0.1&lt;E30,"Exceed 10% Rule","")</f>
      </c>
    </row>
    <row r="32" spans="1:5" ht="15.75">
      <c r="A32" s="151" t="s">
        <v>404</v>
      </c>
      <c r="B32" s="317"/>
      <c r="C32" s="314">
        <f>SUM(C20:C30)</f>
        <v>11728</v>
      </c>
      <c r="D32" s="263">
        <f>SUM(D20:D30)</f>
        <v>14481.25</v>
      </c>
      <c r="E32" s="263">
        <f>SUM(E20:E30)</f>
        <v>17301.83</v>
      </c>
    </row>
    <row r="33" spans="1:5" ht="15.75">
      <c r="A33" s="37" t="s">
        <v>528</v>
      </c>
      <c r="B33" s="317"/>
      <c r="C33" s="315">
        <f>C18-C32</f>
        <v>231</v>
      </c>
      <c r="D33" s="262">
        <f>D18-D32</f>
        <v>312.25</v>
      </c>
      <c r="E33" s="262">
        <f>E18-E32</f>
        <v>0</v>
      </c>
    </row>
    <row r="34" spans="1:5" ht="15.75">
      <c r="A34" s="23" t="str">
        <f>CONCATENATE("",E1-2," Budget Authority Limited Amount:")</f>
        <v>2010 Budget Authority Limited Amount:</v>
      </c>
      <c r="B34" s="338">
        <f>inputOth!B67</f>
        <v>14423</v>
      </c>
      <c r="C34" s="65"/>
      <c r="D34" s="65"/>
      <c r="E34" s="65"/>
    </row>
    <row r="35" spans="1:5" ht="15.75">
      <c r="A35" s="23" t="str">
        <f>CONCATENATE("Violation of Budget Law for ",E1-2,":")</f>
        <v>Violation of Budget Law for 2010:</v>
      </c>
      <c r="B35" s="339">
        <f>IF(C32&gt;B34,"Yes","")</f>
      </c>
      <c r="C35" s="65"/>
      <c r="D35" s="65"/>
      <c r="E35" s="65"/>
    </row>
    <row r="36" spans="1:5" ht="15.75">
      <c r="A36" s="23" t="str">
        <f>CONCATENATE("Possible Cash Violation for ",E1-2,":")</f>
        <v>Possible Cash Violation for 2010:</v>
      </c>
      <c r="B36" s="339">
        <f>IF(C33&lt;0,"Yes","")</f>
      </c>
      <c r="C36" s="65"/>
      <c r="D36" s="65"/>
      <c r="E36" s="65"/>
    </row>
    <row r="37" spans="1:5" ht="15.75">
      <c r="A37" s="21"/>
      <c r="B37" s="21"/>
      <c r="C37" s="65"/>
      <c r="D37" s="65"/>
      <c r="E37" s="65"/>
    </row>
    <row r="38" spans="1:5" ht="15.75">
      <c r="A38" s="25" t="s">
        <v>391</v>
      </c>
      <c r="B38" s="25"/>
      <c r="C38" s="102"/>
      <c r="D38" s="102"/>
      <c r="E38" s="102"/>
    </row>
    <row r="39" spans="1:5" ht="15.75">
      <c r="A39" s="21"/>
      <c r="B39" s="21"/>
      <c r="C39" s="93" t="s">
        <v>412</v>
      </c>
      <c r="D39" s="33" t="s">
        <v>556</v>
      </c>
      <c r="E39" s="33" t="s">
        <v>557</v>
      </c>
    </row>
    <row r="40" spans="1:5" ht="15.75">
      <c r="A40" s="137" t="str">
        <f>(inputPrYr!B37)</f>
        <v>Memorial Hall Building</v>
      </c>
      <c r="B40" s="137"/>
      <c r="C40" s="145">
        <f>C5</f>
        <v>2010</v>
      </c>
      <c r="D40" s="145">
        <f>D5</f>
        <v>2011</v>
      </c>
      <c r="E40" s="145">
        <f>E5</f>
        <v>2012</v>
      </c>
    </row>
    <row r="41" spans="1:5" ht="15.75">
      <c r="A41" s="311" t="s">
        <v>527</v>
      </c>
      <c r="B41" s="317"/>
      <c r="C41" s="313">
        <v>12834.07</v>
      </c>
      <c r="D41" s="85">
        <f>C69</f>
        <v>12834.07</v>
      </c>
      <c r="E41" s="85">
        <f>D69</f>
        <v>12834.07</v>
      </c>
    </row>
    <row r="42" spans="1:5" ht="15.75">
      <c r="A42" s="316" t="s">
        <v>529</v>
      </c>
      <c r="B42" s="317"/>
      <c r="C42" s="305"/>
      <c r="D42" s="40"/>
      <c r="E42" s="40"/>
    </row>
    <row r="43" spans="1:5" ht="15.75">
      <c r="A43" s="301"/>
      <c r="B43" s="318"/>
      <c r="C43" s="313"/>
      <c r="D43" s="9"/>
      <c r="E43" s="9"/>
    </row>
    <row r="44" spans="1:5" ht="15.75">
      <c r="A44" s="301"/>
      <c r="B44" s="318"/>
      <c r="C44" s="313"/>
      <c r="D44" s="9"/>
      <c r="E44" s="9"/>
    </row>
    <row r="45" spans="1:5" ht="15.75">
      <c r="A45" s="301"/>
      <c r="B45" s="318"/>
      <c r="C45" s="313"/>
      <c r="D45" s="9"/>
      <c r="E45" s="9"/>
    </row>
    <row r="46" spans="1:5" ht="15.75">
      <c r="A46" s="301"/>
      <c r="B46" s="318"/>
      <c r="C46" s="313"/>
      <c r="D46" s="9"/>
      <c r="E46" s="9"/>
    </row>
    <row r="47" spans="1:5" ht="15.75">
      <c r="A47" s="301"/>
      <c r="B47" s="318"/>
      <c r="C47" s="313"/>
      <c r="D47" s="9"/>
      <c r="E47" s="9"/>
    </row>
    <row r="48" spans="1:5" ht="15.75">
      <c r="A48" s="312" t="s">
        <v>396</v>
      </c>
      <c r="B48" s="318"/>
      <c r="C48" s="313"/>
      <c r="D48" s="9"/>
      <c r="E48" s="9"/>
    </row>
    <row r="49" spans="1:5" ht="15.75">
      <c r="A49" s="321" t="s">
        <v>703</v>
      </c>
      <c r="B49" s="317"/>
      <c r="C49" s="313"/>
      <c r="D49" s="313"/>
      <c r="E49" s="313"/>
    </row>
    <row r="50" spans="1:5" ht="15.75">
      <c r="A50" s="311" t="s">
        <v>705</v>
      </c>
      <c r="B50" s="317"/>
      <c r="C50" s="355">
        <f>IF(C51*0.1&lt;C49,"Exceed 10% Rule","")</f>
      </c>
      <c r="D50" s="355">
        <f>IF(D51*0.1&lt;D49,"Exceed 10% Rule","")</f>
      </c>
      <c r="E50" s="355">
        <f>IF(E51*0.1&lt;E49,"Exceed 10% Rule","")</f>
      </c>
    </row>
    <row r="51" spans="1:5" ht="15.75">
      <c r="A51" s="151" t="s">
        <v>397</v>
      </c>
      <c r="B51" s="317"/>
      <c r="C51" s="314">
        <f>SUM(C43:C49)</f>
        <v>0</v>
      </c>
      <c r="D51" s="263">
        <f>SUM(D43:D49)</f>
        <v>0</v>
      </c>
      <c r="E51" s="263">
        <f>SUM(E43:E49)</f>
        <v>0</v>
      </c>
    </row>
    <row r="52" spans="1:5" ht="15.75">
      <c r="A52" s="151" t="s">
        <v>398</v>
      </c>
      <c r="B52" s="317"/>
      <c r="C52" s="314">
        <f>C41+C51</f>
        <v>12834.07</v>
      </c>
      <c r="D52" s="263">
        <f>D41+D51</f>
        <v>12834.07</v>
      </c>
      <c r="E52" s="263">
        <f>E41+E51</f>
        <v>12834.07</v>
      </c>
    </row>
    <row r="53" spans="1:5" ht="15.75">
      <c r="A53" s="37" t="s">
        <v>400</v>
      </c>
      <c r="B53" s="317"/>
      <c r="C53" s="119"/>
      <c r="D53" s="85"/>
      <c r="E53" s="85"/>
    </row>
    <row r="54" spans="1:5" ht="15.75">
      <c r="A54" s="301" t="s">
        <v>94</v>
      </c>
      <c r="B54" s="318"/>
      <c r="C54" s="313">
        <v>0</v>
      </c>
      <c r="D54" s="9">
        <v>0</v>
      </c>
      <c r="E54" s="9">
        <v>0</v>
      </c>
    </row>
    <row r="55" spans="1:5" ht="15.75">
      <c r="A55" s="301" t="s">
        <v>95</v>
      </c>
      <c r="B55" s="318"/>
      <c r="C55" s="313">
        <v>0</v>
      </c>
      <c r="D55" s="9">
        <v>0</v>
      </c>
      <c r="E55" s="9">
        <v>12834.07</v>
      </c>
    </row>
    <row r="56" spans="1:5" ht="15.75">
      <c r="A56" s="301"/>
      <c r="B56" s="318"/>
      <c r="C56" s="313"/>
      <c r="D56" s="9"/>
      <c r="E56" s="9"/>
    </row>
    <row r="57" spans="1:5" ht="15.75">
      <c r="A57" s="301"/>
      <c r="B57" s="318"/>
      <c r="C57" s="313"/>
      <c r="D57" s="9"/>
      <c r="E57" s="9"/>
    </row>
    <row r="58" spans="1:5" ht="15.75">
      <c r="A58" s="301"/>
      <c r="B58" s="318"/>
      <c r="C58" s="313"/>
      <c r="D58" s="9"/>
      <c r="E58" s="9"/>
    </row>
    <row r="59" spans="1:5" ht="15.75">
      <c r="A59" s="301"/>
      <c r="B59" s="318"/>
      <c r="C59" s="313"/>
      <c r="D59" s="9"/>
      <c r="E59" s="9"/>
    </row>
    <row r="60" spans="1:5" ht="15.75">
      <c r="A60" s="301"/>
      <c r="B60" s="318"/>
      <c r="C60" s="313"/>
      <c r="D60" s="9"/>
      <c r="E60" s="9"/>
    </row>
    <row r="61" spans="1:5" ht="15.75">
      <c r="A61" s="301"/>
      <c r="B61" s="318"/>
      <c r="C61" s="313"/>
      <c r="D61" s="9"/>
      <c r="E61" s="9"/>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19" t="s">
        <v>703</v>
      </c>
      <c r="B66" s="351"/>
      <c r="C66" s="313"/>
      <c r="D66" s="313"/>
      <c r="E66" s="313"/>
    </row>
    <row r="67" spans="1:5" ht="15.75">
      <c r="A67" s="353" t="s">
        <v>704</v>
      </c>
      <c r="B67" s="352"/>
      <c r="C67" s="355">
        <f>IF(C68*0.1&lt;C66,"Exceed 10% Rule","")</f>
      </c>
      <c r="D67" s="355">
        <f>IF(D68*0.1&lt;D66,"Exceed 10% Rule","")</f>
      </c>
      <c r="E67" s="355">
        <f>IF(E68*0.1&lt;E66,"Exceed 10% Rule","")</f>
      </c>
    </row>
    <row r="68" spans="1:5" ht="15.75">
      <c r="A68" s="151" t="s">
        <v>404</v>
      </c>
      <c r="B68" s="354"/>
      <c r="C68" s="314">
        <f>SUM(C54:C66)</f>
        <v>0</v>
      </c>
      <c r="D68" s="263">
        <f>SUM(D54:D66)</f>
        <v>0</v>
      </c>
      <c r="E68" s="263">
        <f>SUM(E54:E66)</f>
        <v>12834.07</v>
      </c>
    </row>
    <row r="69" spans="1:5" ht="15.75">
      <c r="A69" s="37" t="s">
        <v>528</v>
      </c>
      <c r="B69" s="309"/>
      <c r="C69" s="315">
        <f>C52-C68</f>
        <v>12834.07</v>
      </c>
      <c r="D69" s="262">
        <f>D52-D68</f>
        <v>12834.07</v>
      </c>
      <c r="E69" s="262">
        <f>E52-E68</f>
        <v>0</v>
      </c>
    </row>
    <row r="70" spans="1:5" ht="15.75">
      <c r="A70" s="23" t="str">
        <f>CONCATENATE("",E1-2," Budget Authority Limited Amount:")</f>
        <v>2010 Budget Authority Limited Amount:</v>
      </c>
      <c r="B70" s="338">
        <f>inputOth!B68</f>
        <v>12824</v>
      </c>
      <c r="C70" s="21"/>
      <c r="D70" s="21"/>
      <c r="E70" s="21"/>
    </row>
    <row r="71" spans="1:5" ht="15.75">
      <c r="A71" s="23" t="str">
        <f>CONCATENATE("Violation of Budget Law for ",E1-2,":")</f>
        <v>Violation of Budget Law for 2010:</v>
      </c>
      <c r="B71" s="339">
        <f>IF(C68&gt;B70,"Yes","")</f>
      </c>
      <c r="C71" s="21"/>
      <c r="D71" s="21"/>
      <c r="E71" s="21"/>
    </row>
    <row r="72" spans="1:5" ht="15.75">
      <c r="A72" s="23" t="str">
        <f>CONCATENATE("Possible Cash Violation for ",E1-2,":")</f>
        <v>Possible Cash Violation for 2010:</v>
      </c>
      <c r="B72" s="339">
        <f>IF(C69&lt;0,"Yes","")</f>
      </c>
      <c r="C72" s="21"/>
      <c r="D72" s="21"/>
      <c r="E72" s="21"/>
    </row>
    <row r="73" spans="1:5" ht="15.75">
      <c r="A73" s="21"/>
      <c r="B73" s="21"/>
      <c r="C73" s="21"/>
      <c r="D73" s="21"/>
      <c r="E73" s="21"/>
    </row>
    <row r="74" spans="1:5" ht="15.75">
      <c r="A74" s="24"/>
      <c r="B74" s="24" t="s">
        <v>408</v>
      </c>
      <c r="C74" s="100">
        <v>12</v>
      </c>
      <c r="D74" s="21"/>
      <c r="E74" s="21"/>
    </row>
  </sheetData>
  <sheetProtection/>
  <conditionalFormatting sqref="C15">
    <cfRule type="cellIs" priority="1" dxfId="157" operator="greaterThan" stopIfTrue="1">
      <formula>$C$17*0.1</formula>
    </cfRule>
  </conditionalFormatting>
  <conditionalFormatting sqref="D15">
    <cfRule type="cellIs" priority="2" dxfId="157" operator="greaterThan" stopIfTrue="1">
      <formula>$D$17*0.1</formula>
    </cfRule>
  </conditionalFormatting>
  <conditionalFormatting sqref="E15">
    <cfRule type="cellIs" priority="3" dxfId="157" operator="greaterThan" stopIfTrue="1">
      <formula>$E$17*0.1</formula>
    </cfRule>
  </conditionalFormatting>
  <conditionalFormatting sqref="C30">
    <cfRule type="cellIs" priority="4" dxfId="157" operator="greaterThan" stopIfTrue="1">
      <formula>$C$32*0.1</formula>
    </cfRule>
  </conditionalFormatting>
  <conditionalFormatting sqref="D30">
    <cfRule type="cellIs" priority="5" dxfId="157" operator="greaterThan" stopIfTrue="1">
      <formula>$D$32*0.1</formula>
    </cfRule>
  </conditionalFormatting>
  <conditionalFormatting sqref="E30">
    <cfRule type="cellIs" priority="6" dxfId="157" operator="greaterThan" stopIfTrue="1">
      <formula>$E$32*0.1</formula>
    </cfRule>
  </conditionalFormatting>
  <conditionalFormatting sqref="C49">
    <cfRule type="cellIs" priority="7" dxfId="157" operator="greaterThan" stopIfTrue="1">
      <formula>$C$51*0.1</formula>
    </cfRule>
  </conditionalFormatting>
  <conditionalFormatting sqref="D49">
    <cfRule type="cellIs" priority="8" dxfId="157" operator="greaterThan" stopIfTrue="1">
      <formula>$D$51*0.1</formula>
    </cfRule>
  </conditionalFormatting>
  <conditionalFormatting sqref="E49">
    <cfRule type="cellIs" priority="9" dxfId="157" operator="greaterThan" stopIfTrue="1">
      <formula>$E$51*0.1</formula>
    </cfRule>
  </conditionalFormatting>
  <conditionalFormatting sqref="C66">
    <cfRule type="cellIs" priority="10" dxfId="157" operator="greaterThan" stopIfTrue="1">
      <formula>$C$68*0.1</formula>
    </cfRule>
  </conditionalFormatting>
  <conditionalFormatting sqref="D66">
    <cfRule type="cellIs" priority="11" dxfId="157" operator="greaterThan" stopIfTrue="1">
      <formula>$D$68*0.1</formula>
    </cfRule>
  </conditionalFormatting>
  <conditionalFormatting sqref="E66">
    <cfRule type="cellIs" priority="12" dxfId="157" operator="greaterThan" stopIfTrue="1">
      <formula>$E$68*0.1</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Coffeyville</oddHeader>
    <oddFooter>&amp;Lrevised 8/06/07</oddFooter>
  </headerFooter>
</worksheet>
</file>

<file path=xl/worksheets/sheet23.xml><?xml version="1.0" encoding="utf-8"?>
<worksheet xmlns="http://schemas.openxmlformats.org/spreadsheetml/2006/main" xmlns:r="http://schemas.openxmlformats.org/officeDocument/2006/relationships">
  <dimension ref="A1:E74"/>
  <sheetViews>
    <sheetView view="pageBreakPreview" zoomScaleSheetLayoutView="100" zoomScalePageLayoutView="0" workbookViewId="0" topLeftCell="A1">
      <selection activeCell="E58" sqref="E58"/>
    </sheetView>
  </sheetViews>
  <sheetFormatPr defaultColWidth="8.796875" defaultRowHeight="15"/>
  <cols>
    <col min="1" max="1" width="28.796875" style="7" customWidth="1"/>
    <col min="2" max="2" width="9.59765625" style="7" customWidth="1"/>
    <col min="3" max="4" width="16.3984375" style="7" customWidth="1"/>
    <col min="5" max="5" width="16.3984375" style="7" bestFit="1" customWidth="1"/>
    <col min="6" max="16384" width="8.8984375" style="7"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inputPrYr!B38</f>
        <v>Airport</v>
      </c>
      <c r="B5" s="137"/>
      <c r="C5" s="145">
        <f>E1-2</f>
        <v>2010</v>
      </c>
      <c r="D5" s="145">
        <f>E1-1</f>
        <v>2011</v>
      </c>
      <c r="E5" s="145">
        <f>E1</f>
        <v>2012</v>
      </c>
    </row>
    <row r="6" spans="1:5" ht="15.75">
      <c r="A6" s="311" t="s">
        <v>527</v>
      </c>
      <c r="B6" s="317"/>
      <c r="C6" s="313">
        <v>2586.94</v>
      </c>
      <c r="D6" s="85">
        <f>C31</f>
        <v>7776.389999999999</v>
      </c>
      <c r="E6" s="85">
        <f>D31</f>
        <v>3380.8899999999994</v>
      </c>
    </row>
    <row r="7" spans="1:5" ht="15.75">
      <c r="A7" s="316" t="s">
        <v>529</v>
      </c>
      <c r="B7" s="317"/>
      <c r="C7" s="305"/>
      <c r="D7" s="40"/>
      <c r="E7" s="40"/>
    </row>
    <row r="8" spans="1:5" ht="15.75">
      <c r="A8" s="301" t="s">
        <v>109</v>
      </c>
      <c r="B8" s="318"/>
      <c r="C8" s="313">
        <f>14818.8+6130+10832</f>
        <v>31780.8</v>
      </c>
      <c r="D8" s="9">
        <f>17040+4800+7000</f>
        <v>28840</v>
      </c>
      <c r="E8" s="9">
        <f>23040+4800+7000</f>
        <v>34840</v>
      </c>
    </row>
    <row r="9" spans="1:5" ht="15.75">
      <c r="A9" s="301" t="s">
        <v>83</v>
      </c>
      <c r="B9" s="318"/>
      <c r="C9" s="313">
        <v>0</v>
      </c>
      <c r="D9" s="9">
        <v>0</v>
      </c>
      <c r="E9" s="9">
        <v>0</v>
      </c>
    </row>
    <row r="10" spans="1:5" ht="15.75">
      <c r="A10" s="301" t="s">
        <v>110</v>
      </c>
      <c r="B10" s="318"/>
      <c r="C10" s="313">
        <v>0</v>
      </c>
      <c r="D10" s="9">
        <v>0</v>
      </c>
      <c r="E10" s="9">
        <v>0</v>
      </c>
    </row>
    <row r="11" spans="1:5" ht="15.75">
      <c r="A11" s="301" t="s">
        <v>330</v>
      </c>
      <c r="B11" s="318"/>
      <c r="C11" s="313">
        <v>0</v>
      </c>
      <c r="D11" s="9">
        <v>1554.5</v>
      </c>
      <c r="E11" s="9">
        <v>0</v>
      </c>
    </row>
    <row r="12" spans="1:5" ht="15.75">
      <c r="A12" s="301" t="s">
        <v>84</v>
      </c>
      <c r="B12" s="318"/>
      <c r="C12" s="313">
        <v>6000</v>
      </c>
      <c r="D12" s="9">
        <v>0</v>
      </c>
      <c r="E12" s="9">
        <v>0</v>
      </c>
    </row>
    <row r="13" spans="1:5" ht="15.75">
      <c r="A13" s="321" t="s">
        <v>703</v>
      </c>
      <c r="B13" s="317"/>
      <c r="C13" s="313">
        <v>0</v>
      </c>
      <c r="D13" s="313">
        <v>0</v>
      </c>
      <c r="E13" s="313">
        <v>0</v>
      </c>
    </row>
    <row r="14" spans="1:5" ht="15.75">
      <c r="A14" s="311" t="s">
        <v>705</v>
      </c>
      <c r="B14" s="317"/>
      <c r="C14" s="355">
        <f>IF(C15*0.1&lt;C13,"Exceed 10% Rule","")</f>
      </c>
      <c r="D14" s="355">
        <f>IF(D15*0.1&lt;D13,"Exceed 10% Rule","")</f>
      </c>
      <c r="E14" s="355">
        <f>IF(E15*0.1&lt;E13,"Exceed 10% Rule","")</f>
      </c>
    </row>
    <row r="15" spans="1:5" ht="15.75">
      <c r="A15" s="151" t="s">
        <v>397</v>
      </c>
      <c r="B15" s="317"/>
      <c r="C15" s="314">
        <f>SUM(C8:C13)</f>
        <v>37780.8</v>
      </c>
      <c r="D15" s="263">
        <f>SUM(D8:D13)</f>
        <v>30394.5</v>
      </c>
      <c r="E15" s="263">
        <f>SUM(E8:E13)</f>
        <v>34840</v>
      </c>
    </row>
    <row r="16" spans="1:5" ht="15.75">
      <c r="A16" s="151" t="s">
        <v>398</v>
      </c>
      <c r="B16" s="317"/>
      <c r="C16" s="314">
        <f>C6+C15</f>
        <v>40367.740000000005</v>
      </c>
      <c r="D16" s="263">
        <f>D6+D15</f>
        <v>38170.89</v>
      </c>
      <c r="E16" s="263">
        <f>E6+E15</f>
        <v>38220.89</v>
      </c>
    </row>
    <row r="17" spans="1:5" ht="15.75">
      <c r="A17" s="37" t="s">
        <v>400</v>
      </c>
      <c r="B17" s="317"/>
      <c r="C17" s="119"/>
      <c r="D17" s="85"/>
      <c r="E17" s="85"/>
    </row>
    <row r="18" spans="1:5" ht="15.75">
      <c r="A18" s="312" t="s">
        <v>91</v>
      </c>
      <c r="B18" s="318"/>
      <c r="C18" s="313">
        <v>986.15</v>
      </c>
      <c r="D18" s="9">
        <v>850</v>
      </c>
      <c r="E18" s="9">
        <v>935</v>
      </c>
    </row>
    <row r="19" spans="1:5" ht="15.75">
      <c r="A19" s="312" t="s">
        <v>93</v>
      </c>
      <c r="B19" s="318"/>
      <c r="C19" s="313">
        <f>17064.09+5558.1</f>
        <v>22622.190000000002</v>
      </c>
      <c r="D19" s="9">
        <f>19360+2200</f>
        <v>21560</v>
      </c>
      <c r="E19" s="9">
        <f>20310+2750</f>
        <v>23060</v>
      </c>
    </row>
    <row r="20" spans="1:5" ht="15.75">
      <c r="A20" s="312" t="s">
        <v>94</v>
      </c>
      <c r="B20" s="318"/>
      <c r="C20" s="313">
        <v>8983.01</v>
      </c>
      <c r="D20" s="9">
        <v>10500</v>
      </c>
      <c r="E20" s="9">
        <v>11175</v>
      </c>
    </row>
    <row r="21" spans="1:5" ht="15.75">
      <c r="A21" s="312" t="s">
        <v>95</v>
      </c>
      <c r="B21" s="318"/>
      <c r="C21" s="313">
        <v>0</v>
      </c>
      <c r="D21" s="9">
        <v>1880</v>
      </c>
      <c r="E21" s="9">
        <v>3050.89</v>
      </c>
    </row>
    <row r="22" spans="1:5" ht="15.75">
      <c r="A22" s="312"/>
      <c r="B22" s="318"/>
      <c r="C22" s="313"/>
      <c r="D22" s="9"/>
      <c r="E22" s="9"/>
    </row>
    <row r="23" spans="1:5" ht="15.75">
      <c r="A23" s="312"/>
      <c r="B23" s="318"/>
      <c r="C23" s="313"/>
      <c r="D23" s="9"/>
      <c r="E23" s="9"/>
    </row>
    <row r="24" spans="1:5" ht="15.75">
      <c r="A24" s="312"/>
      <c r="B24" s="318"/>
      <c r="C24" s="313"/>
      <c r="D24" s="9"/>
      <c r="E24" s="9"/>
    </row>
    <row r="25" spans="1:5" ht="15.75">
      <c r="A25" s="312"/>
      <c r="B25" s="318"/>
      <c r="C25" s="313"/>
      <c r="D25" s="9"/>
      <c r="E25" s="9"/>
    </row>
    <row r="26" spans="1:5" ht="15.75">
      <c r="A26" s="312"/>
      <c r="B26" s="318"/>
      <c r="C26" s="313"/>
      <c r="D26" s="9"/>
      <c r="E26" s="9"/>
    </row>
    <row r="27" spans="1:5" ht="15.75">
      <c r="A27" s="312"/>
      <c r="B27" s="318"/>
      <c r="C27" s="313"/>
      <c r="D27" s="9"/>
      <c r="E27" s="9"/>
    </row>
    <row r="28" spans="1:5" ht="15.75">
      <c r="A28" s="319" t="s">
        <v>703</v>
      </c>
      <c r="B28" s="317"/>
      <c r="C28" s="313"/>
      <c r="D28" s="313"/>
      <c r="E28" s="313"/>
    </row>
    <row r="29" spans="1:5" ht="15.75">
      <c r="A29" s="319" t="s">
        <v>704</v>
      </c>
      <c r="B29" s="317"/>
      <c r="C29" s="355">
        <f>IF(C30*0.1&lt;C28,"Exceed 10% Rule","")</f>
      </c>
      <c r="D29" s="355">
        <f>IF(D30*0.1&lt;D28,"Exceed 10% Rule","")</f>
      </c>
      <c r="E29" s="355">
        <f>IF(E30*0.1&lt;E28,"Exceed 10% Rule","")</f>
      </c>
    </row>
    <row r="30" spans="1:5" ht="15.75">
      <c r="A30" s="151" t="s">
        <v>404</v>
      </c>
      <c r="B30" s="317"/>
      <c r="C30" s="314">
        <f>SUM(C18:C28)</f>
        <v>32591.350000000006</v>
      </c>
      <c r="D30" s="263">
        <f>SUM(D18:D28)</f>
        <v>34790</v>
      </c>
      <c r="E30" s="263">
        <f>SUM(E18:E28)</f>
        <v>38220.89</v>
      </c>
    </row>
    <row r="31" spans="1:5" ht="15.75">
      <c r="A31" s="37" t="s">
        <v>528</v>
      </c>
      <c r="B31" s="317"/>
      <c r="C31" s="315">
        <f>C16-C30</f>
        <v>7776.389999999999</v>
      </c>
      <c r="D31" s="262">
        <f>D16-D30</f>
        <v>3380.8899999999994</v>
      </c>
      <c r="E31" s="262">
        <f>E16-E30</f>
        <v>0</v>
      </c>
    </row>
    <row r="32" spans="1:5" ht="15.75">
      <c r="A32" s="23" t="str">
        <f>CONCATENATE("",E1-2," Budget Authority Limited Amount:")</f>
        <v>2010 Budget Authority Limited Amount:</v>
      </c>
      <c r="B32" s="338">
        <f>inputOth!B69</f>
        <v>40381</v>
      </c>
      <c r="C32" s="65"/>
      <c r="D32" s="65"/>
      <c r="E32" s="65"/>
    </row>
    <row r="33" spans="1:5" ht="15.75">
      <c r="A33" s="23" t="str">
        <f>CONCATENATE("Violation of Budget Law for ",E1-2,":")</f>
        <v>Violation of Budget Law for 2010:</v>
      </c>
      <c r="B33" s="339">
        <f>IF(C30&gt;B32,"Yes","")</f>
      </c>
      <c r="C33" s="65"/>
      <c r="D33" s="65"/>
      <c r="E33" s="65"/>
    </row>
    <row r="34" spans="1:5" ht="15.75">
      <c r="A34" s="23" t="str">
        <f>CONCATENATE("Possible Cash Violation for ",E1-2,":")</f>
        <v>Possible Cash Violation for 2010:</v>
      </c>
      <c r="B34" s="339">
        <f>IF(C31&lt;0,"Yes","")</f>
      </c>
      <c r="C34" s="65"/>
      <c r="D34" s="65"/>
      <c r="E34" s="65"/>
    </row>
    <row r="35" spans="1:5" ht="15.75">
      <c r="A35" s="21"/>
      <c r="B35" s="21"/>
      <c r="C35" s="65"/>
      <c r="D35" s="65"/>
      <c r="E35" s="65"/>
    </row>
    <row r="36" spans="1:5" ht="15.75">
      <c r="A36" s="25" t="s">
        <v>391</v>
      </c>
      <c r="B36" s="25"/>
      <c r="C36" s="102"/>
      <c r="D36" s="102"/>
      <c r="E36" s="102"/>
    </row>
    <row r="37" spans="1:5" ht="15.75">
      <c r="A37" s="21"/>
      <c r="B37" s="21"/>
      <c r="C37" s="93" t="s">
        <v>412</v>
      </c>
      <c r="D37" s="33" t="s">
        <v>556</v>
      </c>
      <c r="E37" s="33" t="s">
        <v>557</v>
      </c>
    </row>
    <row r="38" spans="1:5" ht="15.75">
      <c r="A38" s="137" t="str">
        <f>inputPrYr!B39</f>
        <v>Hillcrest Golf Course</v>
      </c>
      <c r="B38" s="137"/>
      <c r="C38" s="145">
        <f>C5</f>
        <v>2010</v>
      </c>
      <c r="D38" s="145">
        <f>D5</f>
        <v>2011</v>
      </c>
      <c r="E38" s="145">
        <f>E5</f>
        <v>2012</v>
      </c>
    </row>
    <row r="39" spans="1:5" ht="15.75">
      <c r="A39" s="311" t="s">
        <v>527</v>
      </c>
      <c r="B39" s="317"/>
      <c r="C39" s="313">
        <v>2661.16</v>
      </c>
      <c r="D39" s="85">
        <f>C70</f>
        <v>1301.6299999999464</v>
      </c>
      <c r="E39" s="85">
        <f>D70</f>
        <v>10901.889999999956</v>
      </c>
    </row>
    <row r="40" spans="1:5" ht="15.75">
      <c r="A40" s="379" t="s">
        <v>529</v>
      </c>
      <c r="B40" s="352"/>
      <c r="C40" s="305"/>
      <c r="D40" s="40"/>
      <c r="E40" s="40"/>
    </row>
    <row r="41" spans="1:5" ht="15.75">
      <c r="A41" s="301" t="s">
        <v>216</v>
      </c>
      <c r="B41" s="318"/>
      <c r="C41" s="313">
        <f>616.5+30343.9+47</f>
        <v>31007.4</v>
      </c>
      <c r="D41" s="9">
        <f>1000+100+35000</f>
        <v>36100</v>
      </c>
      <c r="E41" s="9">
        <f>1000+100+40000</f>
        <v>41100</v>
      </c>
    </row>
    <row r="42" spans="1:5" ht="15.75">
      <c r="A42" s="301" t="s">
        <v>111</v>
      </c>
      <c r="B42" s="372"/>
      <c r="C42" s="313">
        <f>52268.42+88816.4</f>
        <v>141084.82</v>
      </c>
      <c r="D42" s="9">
        <f>65000+90000</f>
        <v>155000</v>
      </c>
      <c r="E42" s="9">
        <f>70000+100000</f>
        <v>170000</v>
      </c>
    </row>
    <row r="43" spans="1:5" ht="15.75">
      <c r="A43" s="301" t="s">
        <v>112</v>
      </c>
      <c r="B43" s="318"/>
      <c r="C43" s="313">
        <v>6080.44</v>
      </c>
      <c r="D43" s="9">
        <v>6000</v>
      </c>
      <c r="E43" s="9">
        <v>6500</v>
      </c>
    </row>
    <row r="44" spans="1:5" ht="15.75">
      <c r="A44" s="301" t="s">
        <v>113</v>
      </c>
      <c r="B44" s="318"/>
      <c r="C44" s="313">
        <f>16712.06+15451.13+18821.89</f>
        <v>50985.08</v>
      </c>
      <c r="D44" s="9">
        <f>24768.68+27859.12+41164.46</f>
        <v>93792.26000000001</v>
      </c>
      <c r="E44" s="9">
        <f>26316.72+30180.71+43124.68</f>
        <v>99622.11</v>
      </c>
    </row>
    <row r="45" spans="1:5" ht="15.75">
      <c r="A45" s="301" t="s">
        <v>114</v>
      </c>
      <c r="B45" s="318"/>
      <c r="C45" s="313">
        <v>26825</v>
      </c>
      <c r="D45" s="9">
        <v>25000</v>
      </c>
      <c r="E45" s="9">
        <v>25000</v>
      </c>
    </row>
    <row r="46" spans="1:5" ht="15.75">
      <c r="A46" s="301" t="s">
        <v>115</v>
      </c>
      <c r="B46" s="318"/>
      <c r="C46" s="313">
        <v>150000</v>
      </c>
      <c r="D46" s="9">
        <v>65000</v>
      </c>
      <c r="E46" s="9">
        <v>45000</v>
      </c>
    </row>
    <row r="47" spans="1:5" ht="15.75">
      <c r="A47" s="301" t="s">
        <v>217</v>
      </c>
      <c r="B47" s="318"/>
      <c r="C47" s="313">
        <f>1178+300</f>
        <v>1478</v>
      </c>
      <c r="D47" s="9">
        <v>3000</v>
      </c>
      <c r="E47" s="9">
        <v>3000</v>
      </c>
    </row>
    <row r="48" spans="1:5" ht="15.75">
      <c r="A48" s="301" t="s">
        <v>218</v>
      </c>
      <c r="B48" s="318"/>
      <c r="C48" s="313">
        <v>0</v>
      </c>
      <c r="D48" s="9">
        <v>0</v>
      </c>
      <c r="E48" s="9">
        <v>0</v>
      </c>
    </row>
    <row r="49" spans="1:5" ht="15.75">
      <c r="A49" s="321" t="s">
        <v>703</v>
      </c>
      <c r="B49" s="317"/>
      <c r="C49" s="313">
        <f>7199.82+9+60-169.14+1973.05+1</f>
        <v>9073.73</v>
      </c>
      <c r="D49" s="9">
        <f>8000+75</f>
        <v>8075</v>
      </c>
      <c r="E49" s="9">
        <f>8000+75</f>
        <v>8075</v>
      </c>
    </row>
    <row r="50" spans="1:5" ht="15.75">
      <c r="A50" s="311" t="s">
        <v>705</v>
      </c>
      <c r="B50" s="317"/>
      <c r="C50" s="355">
        <f>IF(C51*0.1&lt;C49,"Exceed 10% Rule","")</f>
      </c>
      <c r="D50" s="355">
        <f>IF(D51*0.1&lt;D49,"Exceed 10% Rule","")</f>
      </c>
      <c r="E50" s="355">
        <f>IF(E51*0.1&lt;E49,"Exceed 10% Rule","")</f>
      </c>
    </row>
    <row r="51" spans="1:5" ht="15.75">
      <c r="A51" s="151" t="s">
        <v>397</v>
      </c>
      <c r="B51" s="317"/>
      <c r="C51" s="314">
        <f>SUM(C41:C49)</f>
        <v>416534.47</v>
      </c>
      <c r="D51" s="263">
        <f>SUM(D41:D49)</f>
        <v>391967.26</v>
      </c>
      <c r="E51" s="263">
        <f>SUM(E41:E49)</f>
        <v>398297.11</v>
      </c>
    </row>
    <row r="52" spans="1:5" ht="15.75">
      <c r="A52" s="151" t="s">
        <v>398</v>
      </c>
      <c r="B52" s="317"/>
      <c r="C52" s="314">
        <f>C39+C51</f>
        <v>419195.62999999995</v>
      </c>
      <c r="D52" s="263">
        <f>D39+D51</f>
        <v>393268.88999999996</v>
      </c>
      <c r="E52" s="263">
        <f>E39+E51</f>
        <v>409198.99999999994</v>
      </c>
    </row>
    <row r="53" spans="1:5" ht="15.75">
      <c r="A53" s="375" t="s">
        <v>400</v>
      </c>
      <c r="B53" s="352"/>
      <c r="C53" s="119"/>
      <c r="D53" s="85"/>
      <c r="E53" s="85"/>
    </row>
    <row r="54" spans="1:5" ht="15.75">
      <c r="A54" s="301" t="s">
        <v>91</v>
      </c>
      <c r="B54" s="318"/>
      <c r="C54" s="313">
        <v>188855.66</v>
      </c>
      <c r="D54" s="9">
        <v>209047</v>
      </c>
      <c r="E54" s="9">
        <v>213190.31</v>
      </c>
    </row>
    <row r="55" spans="1:5" ht="15.75">
      <c r="A55" s="301" t="s">
        <v>92</v>
      </c>
      <c r="B55" s="372"/>
      <c r="C55" s="313">
        <f>24875.24+18511.12</f>
        <v>43386.36</v>
      </c>
      <c r="D55" s="9">
        <f>30770+21700</f>
        <v>52470</v>
      </c>
      <c r="E55" s="9">
        <f>32610+21500</f>
        <v>54110</v>
      </c>
    </row>
    <row r="56" spans="1:5" ht="15.75">
      <c r="A56" s="301" t="s">
        <v>94</v>
      </c>
      <c r="B56" s="318"/>
      <c r="C56" s="313">
        <v>83341.67</v>
      </c>
      <c r="D56" s="9">
        <v>107950</v>
      </c>
      <c r="E56" s="9">
        <v>115950</v>
      </c>
    </row>
    <row r="57" spans="1:5" ht="15.75">
      <c r="A57" s="301" t="s">
        <v>95</v>
      </c>
      <c r="B57" s="318"/>
      <c r="C57" s="313">
        <v>5416</v>
      </c>
      <c r="D57" s="9">
        <v>12900</v>
      </c>
      <c r="E57" s="9">
        <f>25948.59</f>
        <v>25948.59</v>
      </c>
    </row>
    <row r="58" spans="1:5" ht="15.75">
      <c r="A58" s="301" t="s">
        <v>152</v>
      </c>
      <c r="B58" s="318"/>
      <c r="C58" s="313">
        <v>96894.31</v>
      </c>
      <c r="D58" s="9">
        <v>0</v>
      </c>
      <c r="E58" s="9">
        <v>0</v>
      </c>
    </row>
    <row r="59" spans="1:5" ht="15.75">
      <c r="A59" s="301"/>
      <c r="B59" s="318"/>
      <c r="C59" s="313"/>
      <c r="D59" s="9"/>
      <c r="E59" s="9"/>
    </row>
    <row r="60" spans="1:5" ht="15.75">
      <c r="A60" s="301"/>
      <c r="B60" s="318"/>
      <c r="C60" s="313"/>
      <c r="D60" s="9"/>
      <c r="E60" s="9"/>
    </row>
    <row r="61" spans="1:5" ht="15.75">
      <c r="A61" s="301"/>
      <c r="B61" s="318"/>
      <c r="C61" s="313"/>
      <c r="D61" s="9"/>
      <c r="E61" s="9"/>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01"/>
      <c r="B66" s="318"/>
      <c r="C66" s="313"/>
      <c r="D66" s="9"/>
      <c r="E66" s="9"/>
    </row>
    <row r="67" spans="1:5" ht="15.75">
      <c r="A67" s="319" t="s">
        <v>703</v>
      </c>
      <c r="B67" s="317"/>
      <c r="C67" s="313"/>
      <c r="D67" s="313"/>
      <c r="E67" s="313"/>
    </row>
    <row r="68" spans="1:5" ht="15.75">
      <c r="A68" s="319" t="s">
        <v>704</v>
      </c>
      <c r="B68" s="317"/>
      <c r="C68" s="355">
        <f>IF(C69*0.1&lt;C67,"Exceed 10% Rule","")</f>
      </c>
      <c r="D68" s="355">
        <f>IF(D69*0.1&lt;D67,"Exceed 10% Rule","")</f>
      </c>
      <c r="E68" s="355">
        <f>IF(E69*0.1&lt;E67,"Exceed 10% Rule","")</f>
      </c>
    </row>
    <row r="69" spans="1:5" ht="15.75">
      <c r="A69" s="151" t="s">
        <v>404</v>
      </c>
      <c r="B69" s="317"/>
      <c r="C69" s="314">
        <f>SUM(C54:C67)</f>
        <v>417894</v>
      </c>
      <c r="D69" s="263">
        <f>SUM(D54:D67)</f>
        <v>382367</v>
      </c>
      <c r="E69" s="263">
        <f>SUM(E54:E67)</f>
        <v>409198.9</v>
      </c>
    </row>
    <row r="70" spans="1:5" ht="15.75">
      <c r="A70" s="37" t="s">
        <v>528</v>
      </c>
      <c r="B70" s="317"/>
      <c r="C70" s="315">
        <f>C52-C69</f>
        <v>1301.6299999999464</v>
      </c>
      <c r="D70" s="262">
        <f>D52-D69</f>
        <v>10901.889999999956</v>
      </c>
      <c r="E70" s="262">
        <f>E52-E69</f>
        <v>0.09999999991850927</v>
      </c>
    </row>
    <row r="71" spans="1:5" ht="15.75">
      <c r="A71" s="23" t="str">
        <f>CONCATENATE("",E1-2," Budget Authority Limited Amount:")</f>
        <v>2010 Budget Authority Limited Amount:</v>
      </c>
      <c r="B71" s="338">
        <f>inputOth!B70</f>
        <v>507134</v>
      </c>
      <c r="C71" s="21"/>
      <c r="D71" s="21"/>
      <c r="E71" s="21"/>
    </row>
    <row r="72" spans="1:5" ht="15.75">
      <c r="A72" s="23" t="str">
        <f>CONCATENATE("Violation of Budget Law for ",E1-2,":")</f>
        <v>Violation of Budget Law for 2010:</v>
      </c>
      <c r="B72" s="339">
        <f>IF(C69&gt;B71,"Yes","")</f>
      </c>
      <c r="C72" s="21"/>
      <c r="D72" s="21"/>
      <c r="E72" s="21"/>
    </row>
    <row r="73" spans="1:5" ht="15.75">
      <c r="A73" s="23" t="str">
        <f>CONCATENATE("Possible Cash Violation for ",E1-2,":")</f>
        <v>Possible Cash Violation for 2010:</v>
      </c>
      <c r="B73" s="339">
        <f>IF(C70&lt;0,"Yes","")</f>
      </c>
      <c r="C73" s="21"/>
      <c r="D73" s="21"/>
      <c r="E73" s="21"/>
    </row>
    <row r="74" spans="1:5" ht="15.75">
      <c r="A74" s="24"/>
      <c r="B74" s="24" t="s">
        <v>408</v>
      </c>
      <c r="C74" s="100">
        <v>13</v>
      </c>
      <c r="D74" s="21"/>
      <c r="E74" s="21"/>
    </row>
  </sheetData>
  <sheetProtection/>
  <conditionalFormatting sqref="C67">
    <cfRule type="cellIs" priority="1" dxfId="157" operator="greaterThan" stopIfTrue="1">
      <formula>$C$69*0.1</formula>
    </cfRule>
  </conditionalFormatting>
  <conditionalFormatting sqref="D67">
    <cfRule type="cellIs" priority="2" dxfId="157" operator="greaterThan" stopIfTrue="1">
      <formula>$D$69*0.1</formula>
    </cfRule>
  </conditionalFormatting>
  <conditionalFormatting sqref="E67">
    <cfRule type="cellIs" priority="3" dxfId="157" operator="greaterThan" stopIfTrue="1">
      <formula>$E$69*0.1</formula>
    </cfRule>
  </conditionalFormatting>
  <conditionalFormatting sqref="C28">
    <cfRule type="cellIs" priority="4" dxfId="157" operator="greaterThan" stopIfTrue="1">
      <formula>$C$30*0.1</formula>
    </cfRule>
  </conditionalFormatting>
  <conditionalFormatting sqref="D28">
    <cfRule type="cellIs" priority="5" dxfId="157" operator="greaterThan" stopIfTrue="1">
      <formula>$D$30*0.1</formula>
    </cfRule>
  </conditionalFormatting>
  <conditionalFormatting sqref="E28">
    <cfRule type="cellIs" priority="6" dxfId="157" operator="greaterThan" stopIfTrue="1">
      <formula>$E$30*0.1</formula>
    </cfRule>
  </conditionalFormatting>
  <conditionalFormatting sqref="C13">
    <cfRule type="cellIs" priority="7" dxfId="157" operator="greaterThan" stopIfTrue="1">
      <formula>$C$15*0.1</formula>
    </cfRule>
  </conditionalFormatting>
  <conditionalFormatting sqref="D13">
    <cfRule type="cellIs" priority="8" dxfId="157" operator="greaterThan" stopIfTrue="1">
      <formula>$D$15*0.1</formula>
    </cfRule>
  </conditionalFormatting>
  <conditionalFormatting sqref="E13">
    <cfRule type="cellIs" priority="9" dxfId="157" operator="greaterThan" stopIfTrue="1">
      <formula>$E$15*0.1</formula>
    </cfRule>
  </conditionalFormatting>
  <printOptions/>
  <pageMargins left="0.5" right="0.5" top="1" bottom="0.5" header="0.5" footer="0.5"/>
  <pageSetup blackAndWhite="1" fitToHeight="0" horizontalDpi="120" verticalDpi="120" orientation="portrait" scale="59" r:id="rId1"/>
  <headerFooter alignWithMargins="0">
    <oddHeader>&amp;RState of Kansas
Coffeyville</oddHeader>
    <oddFooter>&amp;Lrevised 8/06/07</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E74"/>
  <sheetViews>
    <sheetView view="pageBreakPreview" zoomScaleSheetLayoutView="100" zoomScalePageLayoutView="0" workbookViewId="0" topLeftCell="A1">
      <selection activeCell="E59" sqref="E59"/>
    </sheetView>
  </sheetViews>
  <sheetFormatPr defaultColWidth="8.796875" defaultRowHeight="15"/>
  <cols>
    <col min="1" max="1" width="28.796875" style="7" customWidth="1"/>
    <col min="2" max="2" width="9.59765625" style="7" customWidth="1"/>
    <col min="3" max="4" width="16.3984375" style="7" customWidth="1"/>
    <col min="5" max="5" width="16.3984375" style="7" bestFit="1" customWidth="1"/>
    <col min="6" max="16384" width="8.8984375" style="7"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inputPrYr!B40</f>
        <v>Aquatic Center</v>
      </c>
      <c r="B5" s="137"/>
      <c r="C5" s="145">
        <f>E1-2</f>
        <v>2010</v>
      </c>
      <c r="D5" s="145">
        <f>E1-1</f>
        <v>2011</v>
      </c>
      <c r="E5" s="145">
        <f>E1</f>
        <v>2012</v>
      </c>
    </row>
    <row r="6" spans="1:5" ht="15.75">
      <c r="A6" s="311" t="s">
        <v>527</v>
      </c>
      <c r="B6" s="317"/>
      <c r="C6" s="313">
        <v>1327.04</v>
      </c>
      <c r="D6" s="85">
        <f>C33</f>
        <v>1426.339999999982</v>
      </c>
      <c r="E6" s="85">
        <f>D33</f>
        <v>1774.4199999999837</v>
      </c>
    </row>
    <row r="7" spans="1:5" ht="15.75">
      <c r="A7" s="316" t="s">
        <v>529</v>
      </c>
      <c r="B7" s="317"/>
      <c r="C7" s="305"/>
      <c r="D7" s="40"/>
      <c r="E7" s="40"/>
    </row>
    <row r="8" spans="1:5" ht="15.75">
      <c r="A8" s="301" t="s">
        <v>119</v>
      </c>
      <c r="B8" s="318"/>
      <c r="C8" s="313">
        <f>35191+1854+4641.25+2648.5</f>
        <v>44334.75</v>
      </c>
      <c r="D8" s="9">
        <f>38000+1500+4500+1500</f>
        <v>45500</v>
      </c>
      <c r="E8" s="9">
        <f>38000+1500+4500+1500</f>
        <v>45500</v>
      </c>
    </row>
    <row r="9" spans="1:5" ht="15.75">
      <c r="A9" s="301" t="s">
        <v>120</v>
      </c>
      <c r="B9" s="318"/>
      <c r="C9" s="313">
        <v>19138.71</v>
      </c>
      <c r="D9" s="9">
        <v>24000</v>
      </c>
      <c r="E9" s="9">
        <v>24000</v>
      </c>
    </row>
    <row r="10" spans="1:5" ht="15.75">
      <c r="A10" s="301" t="s">
        <v>121</v>
      </c>
      <c r="B10" s="318"/>
      <c r="C10" s="313"/>
      <c r="D10" s="9"/>
      <c r="E10" s="9"/>
    </row>
    <row r="11" spans="1:5" ht="15.75">
      <c r="A11" s="301" t="s">
        <v>84</v>
      </c>
      <c r="B11" s="318"/>
      <c r="C11" s="313">
        <v>6000</v>
      </c>
      <c r="D11" s="9">
        <v>6000</v>
      </c>
      <c r="E11" s="9">
        <v>6000</v>
      </c>
    </row>
    <row r="12" spans="1:5" ht="15.75">
      <c r="A12" s="301" t="s">
        <v>115</v>
      </c>
      <c r="B12" s="318"/>
      <c r="C12" s="313">
        <v>21000</v>
      </c>
      <c r="D12" s="9">
        <v>37000</v>
      </c>
      <c r="E12" s="9">
        <v>37000</v>
      </c>
    </row>
    <row r="13" spans="1:5" ht="15.75">
      <c r="A13" s="301" t="s">
        <v>445</v>
      </c>
      <c r="B13" s="318"/>
      <c r="C13" s="313">
        <f>1619.04+632.56+2.15+11.1+153.1</f>
        <v>2417.95</v>
      </c>
      <c r="D13" s="9">
        <f>2000+250</f>
        <v>2250</v>
      </c>
      <c r="E13" s="9">
        <f>2000+250</f>
        <v>2250</v>
      </c>
    </row>
    <row r="14" spans="1:5" ht="15.75">
      <c r="A14" s="301"/>
      <c r="B14" s="318"/>
      <c r="C14" s="313"/>
      <c r="D14" s="9"/>
      <c r="E14" s="9"/>
    </row>
    <row r="15" spans="1:5" ht="15.75">
      <c r="A15" s="312" t="s">
        <v>396</v>
      </c>
      <c r="B15" s="318"/>
      <c r="C15" s="313"/>
      <c r="D15" s="9"/>
      <c r="E15" s="9"/>
    </row>
    <row r="16" spans="1:5" ht="15.75">
      <c r="A16" s="321" t="s">
        <v>703</v>
      </c>
      <c r="B16" s="317"/>
      <c r="C16" s="122"/>
      <c r="D16" s="122"/>
      <c r="E16" s="122"/>
    </row>
    <row r="17" spans="1:5" ht="15.75">
      <c r="A17" s="311" t="s">
        <v>705</v>
      </c>
      <c r="B17" s="317"/>
      <c r="C17" s="355">
        <f>IF(C18*0.1&lt;C16,"Exceed 10% Rule","")</f>
      </c>
      <c r="D17" s="355">
        <f>IF(D18*0.1&lt;D16,"Exceed 10% Rule","")</f>
      </c>
      <c r="E17" s="355">
        <f>IF(E18*0.1&lt;E16,"Exceed 10% Rule","")</f>
      </c>
    </row>
    <row r="18" spans="1:5" ht="15.75">
      <c r="A18" s="151" t="s">
        <v>397</v>
      </c>
      <c r="B18" s="317"/>
      <c r="C18" s="314">
        <f>SUM(C8:C16)</f>
        <v>92891.40999999999</v>
      </c>
      <c r="D18" s="263">
        <f>SUM(D8:D16)</f>
        <v>114750</v>
      </c>
      <c r="E18" s="263">
        <f>SUM(E8:E16)</f>
        <v>114750</v>
      </c>
    </row>
    <row r="19" spans="1:5" ht="15.75">
      <c r="A19" s="151" t="s">
        <v>398</v>
      </c>
      <c r="B19" s="317"/>
      <c r="C19" s="314">
        <f>C6+C18</f>
        <v>94218.44999999998</v>
      </c>
      <c r="D19" s="263">
        <f>D6+D18</f>
        <v>116176.33999999998</v>
      </c>
      <c r="E19" s="263">
        <f>E6+E18</f>
        <v>116524.41999999998</v>
      </c>
    </row>
    <row r="20" spans="1:5" ht="15.75">
      <c r="A20" s="37" t="s">
        <v>400</v>
      </c>
      <c r="B20" s="317"/>
      <c r="C20" s="119"/>
      <c r="D20" s="85"/>
      <c r="E20" s="85"/>
    </row>
    <row r="21" spans="1:5" ht="15.75">
      <c r="A21" s="312" t="s">
        <v>91</v>
      </c>
      <c r="B21" s="318"/>
      <c r="C21" s="313">
        <v>46214.12</v>
      </c>
      <c r="D21" s="9">
        <v>59421.92</v>
      </c>
      <c r="E21" s="9">
        <v>59489.81</v>
      </c>
    </row>
    <row r="22" spans="1:5" ht="15.75">
      <c r="A22" s="312" t="s">
        <v>93</v>
      </c>
      <c r="B22" s="318"/>
      <c r="C22" s="313">
        <f>6709.92+1244.39</f>
        <v>7954.31</v>
      </c>
      <c r="D22" s="9">
        <f>8605+1000</f>
        <v>9605</v>
      </c>
      <c r="E22" s="9">
        <f>8265+1500</f>
        <v>9765</v>
      </c>
    </row>
    <row r="23" spans="1:5" ht="15.75">
      <c r="A23" s="312" t="s">
        <v>94</v>
      </c>
      <c r="B23" s="318"/>
      <c r="C23" s="313">
        <v>30443.06</v>
      </c>
      <c r="D23" s="9">
        <v>34125</v>
      </c>
      <c r="E23" s="9">
        <v>34125</v>
      </c>
    </row>
    <row r="24" spans="1:5" ht="15.75">
      <c r="A24" s="312" t="s">
        <v>95</v>
      </c>
      <c r="B24" s="318"/>
      <c r="C24" s="313">
        <v>8180.62</v>
      </c>
      <c r="D24" s="9">
        <v>11250</v>
      </c>
      <c r="E24" s="9">
        <v>13144.62</v>
      </c>
    </row>
    <row r="25" spans="1:5" ht="15.75">
      <c r="A25" s="301"/>
      <c r="B25" s="318"/>
      <c r="C25" s="313"/>
      <c r="D25" s="9"/>
      <c r="E25" s="9"/>
    </row>
    <row r="26" spans="1:5" ht="15.75">
      <c r="A26" s="301"/>
      <c r="B26" s="318"/>
      <c r="C26" s="313"/>
      <c r="D26" s="9"/>
      <c r="E26" s="9"/>
    </row>
    <row r="27" spans="1:5" ht="15.75">
      <c r="A27" s="301"/>
      <c r="B27" s="318"/>
      <c r="C27" s="313"/>
      <c r="D27" s="9"/>
      <c r="E27" s="9"/>
    </row>
    <row r="28" spans="1:5" ht="15.75">
      <c r="A28" s="301"/>
      <c r="B28" s="318"/>
      <c r="C28" s="313"/>
      <c r="D28" s="9"/>
      <c r="E28" s="9"/>
    </row>
    <row r="29" spans="1:5" ht="15.75">
      <c r="A29" s="301"/>
      <c r="B29" s="318"/>
      <c r="C29" s="313"/>
      <c r="D29" s="9"/>
      <c r="E29" s="9"/>
    </row>
    <row r="30" spans="1:5" ht="15.75">
      <c r="A30" s="319" t="s">
        <v>703</v>
      </c>
      <c r="B30" s="317"/>
      <c r="C30" s="313"/>
      <c r="D30" s="313"/>
      <c r="E30" s="313"/>
    </row>
    <row r="31" spans="1:5" ht="15.75">
      <c r="A31" s="319" t="s">
        <v>704</v>
      </c>
      <c r="B31" s="317"/>
      <c r="C31" s="355">
        <f>IF(C32*0.1&lt;C30,"Exceed 10% Rule","")</f>
      </c>
      <c r="D31" s="355">
        <f>IF(D32*0.1&lt;D30,"Exceed 10% Rule","")</f>
      </c>
      <c r="E31" s="355">
        <f>IF(E32*0.1&lt;E30,"Exceed 10% Rule","")</f>
      </c>
    </row>
    <row r="32" spans="1:5" ht="15.75">
      <c r="A32" s="151" t="s">
        <v>404</v>
      </c>
      <c r="B32" s="317"/>
      <c r="C32" s="314">
        <f>SUM(C21:C30)</f>
        <v>92792.11</v>
      </c>
      <c r="D32" s="263">
        <f>SUM(D21:D30)</f>
        <v>114401.92</v>
      </c>
      <c r="E32" s="263">
        <f>SUM(E21:E30)</f>
        <v>116524.43</v>
      </c>
    </row>
    <row r="33" spans="1:5" ht="15.75">
      <c r="A33" s="37" t="s">
        <v>528</v>
      </c>
      <c r="B33" s="317"/>
      <c r="C33" s="315">
        <f>C19-C32</f>
        <v>1426.339999999982</v>
      </c>
      <c r="D33" s="262">
        <f>D19-D32</f>
        <v>1774.4199999999837</v>
      </c>
      <c r="E33" s="262">
        <f>E19-E32</f>
        <v>-0.010000000009313226</v>
      </c>
    </row>
    <row r="34" spans="1:5" ht="15.75">
      <c r="A34" s="23" t="str">
        <f>CONCATENATE("",E1-2," Budget Authority Limited Amount:")</f>
        <v>2010 Budget Authority Limited Amount:</v>
      </c>
      <c r="B34" s="338">
        <f>inputOth!B71</f>
        <v>110818</v>
      </c>
      <c r="C34" s="65"/>
      <c r="D34" s="65"/>
      <c r="E34" s="65"/>
    </row>
    <row r="35" spans="1:5" ht="15.75">
      <c r="A35" s="23" t="str">
        <f>CONCATENATE("Violation of Budget Law for ",E1-2,":")</f>
        <v>Violation of Budget Law for 2010:</v>
      </c>
      <c r="B35" s="339">
        <f>IF(C32&gt;B34,"Yes","")</f>
      </c>
      <c r="C35" s="65"/>
      <c r="D35" s="65"/>
      <c r="E35" s="65"/>
    </row>
    <row r="36" spans="1:5" ht="15.75">
      <c r="A36" s="23" t="str">
        <f>CONCATENATE("Possible Cash Violation for ",E1-2,":")</f>
        <v>Possible Cash Violation for 2010:</v>
      </c>
      <c r="B36" s="339">
        <f>IF(C33&lt;0,"Yes","")</f>
      </c>
      <c r="C36" s="65"/>
      <c r="D36" s="65"/>
      <c r="E36" s="65"/>
    </row>
    <row r="37" spans="1:5" ht="15.75">
      <c r="A37" s="21"/>
      <c r="B37" s="21"/>
      <c r="C37" s="65"/>
      <c r="D37" s="65"/>
      <c r="E37" s="65"/>
    </row>
    <row r="38" spans="1:5" ht="15.75">
      <c r="A38" s="25" t="s">
        <v>391</v>
      </c>
      <c r="B38" s="25"/>
      <c r="C38" s="102"/>
      <c r="D38" s="102"/>
      <c r="E38" s="102"/>
    </row>
    <row r="39" spans="1:5" ht="15.75">
      <c r="A39" s="21"/>
      <c r="B39" s="21"/>
      <c r="C39" s="93" t="s">
        <v>412</v>
      </c>
      <c r="D39" s="33" t="s">
        <v>556</v>
      </c>
      <c r="E39" s="33" t="s">
        <v>557</v>
      </c>
    </row>
    <row r="40" spans="1:5" ht="15.75">
      <c r="A40" s="137" t="str">
        <f>inputPrYr!B41</f>
        <v>Sales Tax Bond Debt Service</v>
      </c>
      <c r="B40" s="137"/>
      <c r="C40" s="145">
        <f>C5</f>
        <v>2010</v>
      </c>
      <c r="D40" s="145">
        <f>D5</f>
        <v>2011</v>
      </c>
      <c r="E40" s="145">
        <f>E5</f>
        <v>2012</v>
      </c>
    </row>
    <row r="41" spans="1:5" ht="15.75">
      <c r="A41" s="311" t="s">
        <v>527</v>
      </c>
      <c r="B41" s="317"/>
      <c r="C41" s="313">
        <v>149019.31</v>
      </c>
      <c r="D41" s="85">
        <f>C69</f>
        <v>200456.81000000006</v>
      </c>
      <c r="E41" s="85">
        <f>D69</f>
        <v>252529.31000000006</v>
      </c>
    </row>
    <row r="42" spans="1:5" ht="15.75">
      <c r="A42" s="316" t="s">
        <v>529</v>
      </c>
      <c r="B42" s="317"/>
      <c r="C42" s="305"/>
      <c r="D42" s="40"/>
      <c r="E42" s="40"/>
    </row>
    <row r="43" spans="1:5" ht="15.75">
      <c r="A43" s="301" t="s">
        <v>84</v>
      </c>
      <c r="B43" s="318"/>
      <c r="C43" s="313">
        <v>470000</v>
      </c>
      <c r="D43" s="9">
        <v>470000</v>
      </c>
      <c r="E43" s="9">
        <v>470000</v>
      </c>
    </row>
    <row r="44" spans="1:5" ht="15.75">
      <c r="A44" s="301"/>
      <c r="B44" s="318"/>
      <c r="C44" s="313"/>
      <c r="D44" s="9"/>
      <c r="E44" s="9"/>
    </row>
    <row r="45" spans="1:5" ht="15.75">
      <c r="A45" s="301"/>
      <c r="B45" s="318"/>
      <c r="C45" s="313"/>
      <c r="D45" s="9"/>
      <c r="E45" s="9"/>
    </row>
    <row r="46" spans="1:5" ht="15.75">
      <c r="A46" s="301"/>
      <c r="B46" s="318"/>
      <c r="C46" s="313"/>
      <c r="D46" s="9"/>
      <c r="E46" s="9"/>
    </row>
    <row r="47" spans="1:5" ht="15.75">
      <c r="A47" s="301"/>
      <c r="B47" s="318"/>
      <c r="C47" s="313"/>
      <c r="D47" s="9"/>
      <c r="E47" s="9"/>
    </row>
    <row r="48" spans="1:5" ht="15.75">
      <c r="A48" s="301"/>
      <c r="B48" s="318"/>
      <c r="C48" s="313"/>
      <c r="D48" s="9"/>
      <c r="E48" s="9"/>
    </row>
    <row r="49" spans="1:5" ht="15.75">
      <c r="A49" s="312" t="s">
        <v>396</v>
      </c>
      <c r="B49" s="318"/>
      <c r="C49" s="313"/>
      <c r="D49" s="9"/>
      <c r="E49" s="9"/>
    </row>
    <row r="50" spans="1:5" ht="15.75">
      <c r="A50" s="321" t="s">
        <v>703</v>
      </c>
      <c r="B50" s="317"/>
      <c r="C50" s="313"/>
      <c r="D50" s="313"/>
      <c r="E50" s="313"/>
    </row>
    <row r="51" spans="1:5" ht="15.75">
      <c r="A51" s="311" t="s">
        <v>705</v>
      </c>
      <c r="B51" s="317"/>
      <c r="C51" s="355">
        <f>IF(C52*0.1&lt;C50,"Exceed 10% Rule","")</f>
      </c>
      <c r="D51" s="355">
        <f>IF(D52*0.1&lt;D50,"Exceed 10% Rule","")</f>
      </c>
      <c r="E51" s="355">
        <f>IF(E52*0.1&lt;E50,"Exceed 10% Rule","")</f>
      </c>
    </row>
    <row r="52" spans="1:5" ht="15.75">
      <c r="A52" s="151" t="s">
        <v>397</v>
      </c>
      <c r="B52" s="317"/>
      <c r="C52" s="314">
        <f>SUM(C43:C50)</f>
        <v>470000</v>
      </c>
      <c r="D52" s="263">
        <f>SUM(D43:D50)</f>
        <v>470000</v>
      </c>
      <c r="E52" s="263">
        <f>SUM(E43:E50)</f>
        <v>470000</v>
      </c>
    </row>
    <row r="53" spans="1:5" ht="15.75">
      <c r="A53" s="151" t="s">
        <v>398</v>
      </c>
      <c r="B53" s="317"/>
      <c r="C53" s="314">
        <f>C41+C52</f>
        <v>619019.31</v>
      </c>
      <c r="D53" s="263">
        <f>D41+D52</f>
        <v>670456.81</v>
      </c>
      <c r="E53" s="263">
        <f>E41+E52</f>
        <v>722529.31</v>
      </c>
    </row>
    <row r="54" spans="1:5" ht="15.75">
      <c r="A54" s="37" t="s">
        <v>400</v>
      </c>
      <c r="B54" s="317"/>
      <c r="C54" s="119"/>
      <c r="D54" s="85"/>
      <c r="E54" s="85"/>
    </row>
    <row r="55" spans="1:5" ht="15.75">
      <c r="A55" s="301" t="s">
        <v>12</v>
      </c>
      <c r="B55" s="318"/>
      <c r="C55" s="313">
        <v>0</v>
      </c>
      <c r="D55" s="9">
        <v>0</v>
      </c>
      <c r="E55" s="9">
        <v>2000</v>
      </c>
    </row>
    <row r="56" spans="1:5" ht="15.75">
      <c r="A56" s="301" t="s">
        <v>28</v>
      </c>
      <c r="B56" s="318"/>
      <c r="C56" s="313">
        <v>63562.5</v>
      </c>
      <c r="D56" s="9">
        <v>52912.5</v>
      </c>
      <c r="E56" s="9">
        <v>41962.5</v>
      </c>
    </row>
    <row r="57" spans="1:5" ht="15.75">
      <c r="A57" s="301" t="s">
        <v>29</v>
      </c>
      <c r="B57" s="318"/>
      <c r="C57" s="313">
        <v>355000</v>
      </c>
      <c r="D57" s="9">
        <v>365000</v>
      </c>
      <c r="E57" s="9">
        <v>375000</v>
      </c>
    </row>
    <row r="58" spans="1:5" ht="15.75">
      <c r="A58" s="301" t="s">
        <v>703</v>
      </c>
      <c r="B58" s="318"/>
      <c r="C58" s="313">
        <v>0</v>
      </c>
      <c r="D58" s="9">
        <v>15</v>
      </c>
      <c r="E58" s="9">
        <v>15</v>
      </c>
    </row>
    <row r="59" spans="1:5" ht="15.75">
      <c r="A59" s="301"/>
      <c r="B59" s="318"/>
      <c r="C59" s="313"/>
      <c r="D59" s="9"/>
      <c r="E59" s="9"/>
    </row>
    <row r="60" spans="1:5" ht="15.75">
      <c r="A60" s="301"/>
      <c r="B60" s="318"/>
      <c r="C60" s="313"/>
      <c r="D60" s="9"/>
      <c r="E60" s="9"/>
    </row>
    <row r="61" spans="1:5" ht="15.75">
      <c r="A61" s="301"/>
      <c r="B61" s="318"/>
      <c r="C61" s="313"/>
      <c r="D61" s="9"/>
      <c r="E61" s="9"/>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19" t="s">
        <v>703</v>
      </c>
      <c r="B66" s="317"/>
      <c r="C66" s="313"/>
      <c r="D66" s="313"/>
      <c r="E66" s="313"/>
    </row>
    <row r="67" spans="1:5" ht="15.75">
      <c r="A67" s="319" t="s">
        <v>704</v>
      </c>
      <c r="B67" s="317"/>
      <c r="C67" s="355">
        <f>IF(C68*0.1&lt;C66,"Exceed 10% Rule","")</f>
      </c>
      <c r="D67" s="355">
        <f>IF(D68*0.1&lt;D66,"Exceed 10% Rule","")</f>
      </c>
      <c r="E67" s="355">
        <f>IF(E68*0.1&lt;E66,"Exceed 10% Rule","")</f>
      </c>
    </row>
    <row r="68" spans="1:5" ht="15.75">
      <c r="A68" s="151" t="s">
        <v>404</v>
      </c>
      <c r="B68" s="317"/>
      <c r="C68" s="314">
        <f>SUM(C55:C66)</f>
        <v>418562.5</v>
      </c>
      <c r="D68" s="263">
        <f>SUM(D55:D66)</f>
        <v>417927.5</v>
      </c>
      <c r="E68" s="263">
        <f>SUM(E55:E66)</f>
        <v>418977.5</v>
      </c>
    </row>
    <row r="69" spans="1:5" ht="15.75">
      <c r="A69" s="37" t="s">
        <v>528</v>
      </c>
      <c r="B69" s="317"/>
      <c r="C69" s="315">
        <f>C53-C68</f>
        <v>200456.81000000006</v>
      </c>
      <c r="D69" s="262">
        <f>D53-D68</f>
        <v>252529.31000000006</v>
      </c>
      <c r="E69" s="262">
        <f>E53-E68</f>
        <v>303551.81000000006</v>
      </c>
    </row>
    <row r="70" spans="1:5" ht="15.75">
      <c r="A70" s="23" t="str">
        <f>CONCATENATE("",E1-2," Budget Authority Limited Amount:")</f>
        <v>2010 Budget Authority Limited Amount:</v>
      </c>
      <c r="B70" s="338">
        <f>inputOth!B72</f>
        <v>420578</v>
      </c>
      <c r="C70" s="21"/>
      <c r="D70" s="21"/>
      <c r="E70" s="21"/>
    </row>
    <row r="71" spans="1:5" ht="15.75">
      <c r="A71" s="23" t="str">
        <f>CONCATENATE("Violation of Budget Law for ",E1-2,":")</f>
        <v>Violation of Budget Law for 2010:</v>
      </c>
      <c r="B71" s="339">
        <f>IF(C68&gt;B70,"Yes","")</f>
      </c>
      <c r="C71" s="21"/>
      <c r="D71" s="21"/>
      <c r="E71" s="21"/>
    </row>
    <row r="72" spans="1:5" ht="15.75">
      <c r="A72" s="23" t="str">
        <f>CONCATENATE("Possible Cash Violation for ",E1-2,":")</f>
        <v>Possible Cash Violation for 2010:</v>
      </c>
      <c r="B72" s="339">
        <f>IF(C69&lt;0,"Yes","")</f>
      </c>
      <c r="C72" s="21"/>
      <c r="D72" s="21"/>
      <c r="E72" s="21"/>
    </row>
    <row r="73" spans="1:5" ht="15.75">
      <c r="A73" s="21"/>
      <c r="B73" s="21"/>
      <c r="C73" s="21"/>
      <c r="D73" s="21"/>
      <c r="E73" s="21"/>
    </row>
    <row r="74" spans="1:5" ht="15.75">
      <c r="A74" s="24"/>
      <c r="B74" s="24" t="s">
        <v>408</v>
      </c>
      <c r="C74" s="100">
        <v>14</v>
      </c>
      <c r="D74" s="21"/>
      <c r="E74" s="21"/>
    </row>
  </sheetData>
  <sheetProtection/>
  <conditionalFormatting sqref="C30">
    <cfRule type="cellIs" priority="1" dxfId="157" operator="greaterThan" stopIfTrue="1">
      <formula>$C$32*0.1</formula>
    </cfRule>
  </conditionalFormatting>
  <conditionalFormatting sqref="D30">
    <cfRule type="cellIs" priority="2" dxfId="157" operator="greaterThan" stopIfTrue="1">
      <formula>$D$32*0.1</formula>
    </cfRule>
  </conditionalFormatting>
  <conditionalFormatting sqref="E30">
    <cfRule type="cellIs" priority="3" dxfId="157" operator="greaterThan" stopIfTrue="1">
      <formula>$E$32*0.1</formula>
    </cfRule>
  </conditionalFormatting>
  <conditionalFormatting sqref="C50">
    <cfRule type="cellIs" priority="4" dxfId="157" operator="greaterThan" stopIfTrue="1">
      <formula>$C$52*0.1</formula>
    </cfRule>
  </conditionalFormatting>
  <conditionalFormatting sqref="D50">
    <cfRule type="cellIs" priority="5" dxfId="157" operator="greaterThan" stopIfTrue="1">
      <formula>$D$52*0.1</formula>
    </cfRule>
  </conditionalFormatting>
  <conditionalFormatting sqref="E50">
    <cfRule type="cellIs" priority="6" dxfId="157" operator="greaterThan" stopIfTrue="1">
      <formula>$E$52*0.1</formula>
    </cfRule>
  </conditionalFormatting>
  <conditionalFormatting sqref="C66">
    <cfRule type="cellIs" priority="7" dxfId="157" operator="greaterThan" stopIfTrue="1">
      <formula>$C$68*0.1</formula>
    </cfRule>
  </conditionalFormatting>
  <conditionalFormatting sqref="D66">
    <cfRule type="cellIs" priority="8" dxfId="157" operator="greaterThan" stopIfTrue="1">
      <formula>$D$68*0.1</formula>
    </cfRule>
  </conditionalFormatting>
  <conditionalFormatting sqref="E66">
    <cfRule type="cellIs" priority="9" dxfId="157" operator="greaterThan" stopIfTrue="1">
      <formula>$E$68*0.1</formula>
    </cfRule>
  </conditionalFormatting>
  <conditionalFormatting sqref="C16">
    <cfRule type="cellIs" priority="10" dxfId="157" operator="greaterThan" stopIfTrue="1">
      <formula>$C$18*0.1</formula>
    </cfRule>
  </conditionalFormatting>
  <conditionalFormatting sqref="D16">
    <cfRule type="cellIs" priority="11" dxfId="157" operator="greaterThan" stopIfTrue="1">
      <formula>$D$18*0.1</formula>
    </cfRule>
  </conditionalFormatting>
  <conditionalFormatting sqref="E16">
    <cfRule type="cellIs" priority="12" dxfId="157" operator="greaterThan" stopIfTrue="1">
      <formula>$E$18*0.1</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Coffeyville</oddHeader>
    <oddFooter>&amp;Lrevised 8/06/07</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view="pageBreakPreview" zoomScaleSheetLayoutView="100" zoomScalePageLayoutView="0" workbookViewId="0" topLeftCell="A1">
      <selection activeCell="E55" sqref="E55"/>
    </sheetView>
  </sheetViews>
  <sheetFormatPr defaultColWidth="8.796875" defaultRowHeight="15"/>
  <cols>
    <col min="1" max="1" width="28.796875" style="2" customWidth="1"/>
    <col min="2" max="2" width="9.59765625" style="2" customWidth="1"/>
    <col min="3" max="4" width="16.3984375" style="2" customWidth="1"/>
    <col min="5" max="5" width="16.3984375" style="2" bestFit="1" customWidth="1"/>
    <col min="6" max="16384" width="8.8984375" style="2"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inputPrYr!B42</f>
        <v>USD 445 Sales Tax </v>
      </c>
      <c r="B5" s="137"/>
      <c r="C5" s="145">
        <f>E1-2</f>
        <v>2010</v>
      </c>
      <c r="D5" s="145">
        <f>E1-1</f>
        <v>2011</v>
      </c>
      <c r="E5" s="145">
        <f>E1</f>
        <v>2012</v>
      </c>
    </row>
    <row r="6" spans="1:5" ht="15.75">
      <c r="A6" s="311" t="s">
        <v>527</v>
      </c>
      <c r="B6" s="317"/>
      <c r="C6" s="313">
        <v>804195.51</v>
      </c>
      <c r="D6" s="85">
        <f>C33</f>
        <v>593894.97</v>
      </c>
      <c r="E6" s="85">
        <f>D33</f>
        <v>517368.97</v>
      </c>
    </row>
    <row r="7" spans="1:5" s="7" customFormat="1" ht="15.75">
      <c r="A7" s="316" t="s">
        <v>529</v>
      </c>
      <c r="B7" s="317"/>
      <c r="C7" s="305"/>
      <c r="D7" s="40"/>
      <c r="E7" s="40"/>
    </row>
    <row r="8" spans="1:5" ht="15.75">
      <c r="A8" s="301" t="s">
        <v>84</v>
      </c>
      <c r="B8" s="318"/>
      <c r="C8" s="313">
        <v>800955.46</v>
      </c>
      <c r="D8" s="9">
        <v>775000</v>
      </c>
      <c r="E8" s="9">
        <v>775000</v>
      </c>
    </row>
    <row r="9" spans="1:5" ht="15.75">
      <c r="A9" s="301"/>
      <c r="B9" s="318"/>
      <c r="C9" s="313"/>
      <c r="D9" s="9"/>
      <c r="E9" s="9"/>
    </row>
    <row r="10" spans="1:5" ht="15.75">
      <c r="A10" s="301"/>
      <c r="B10" s="318"/>
      <c r="C10" s="313"/>
      <c r="D10" s="9"/>
      <c r="E10" s="9"/>
    </row>
    <row r="11" spans="1:5" ht="15.75">
      <c r="A11" s="301"/>
      <c r="B11" s="318"/>
      <c r="C11" s="313"/>
      <c r="D11" s="9"/>
      <c r="E11" s="9"/>
    </row>
    <row r="12" spans="1:5" ht="15.75">
      <c r="A12" s="301"/>
      <c r="B12" s="318"/>
      <c r="C12" s="313"/>
      <c r="D12" s="9"/>
      <c r="E12" s="9"/>
    </row>
    <row r="13" spans="1:5" ht="15.75">
      <c r="A13" s="312" t="s">
        <v>396</v>
      </c>
      <c r="B13" s="318"/>
      <c r="C13" s="313"/>
      <c r="D13" s="9"/>
      <c r="E13" s="9"/>
    </row>
    <row r="14" spans="1:5" ht="15.75">
      <c r="A14" s="321" t="s">
        <v>703</v>
      </c>
      <c r="B14" s="317"/>
      <c r="C14" s="313"/>
      <c r="D14" s="313"/>
      <c r="E14" s="313"/>
    </row>
    <row r="15" spans="1:5" ht="15.75">
      <c r="A15" s="311" t="s">
        <v>705</v>
      </c>
      <c r="B15" s="317"/>
      <c r="C15" s="355">
        <f>IF(C16*0.1&lt;C14,"Exceed 10% Rule","")</f>
      </c>
      <c r="D15" s="355">
        <f>IF(D16*0.1&lt;D14,"Exceed 10% Rule","")</f>
      </c>
      <c r="E15" s="355">
        <f>IF(E16*0.1&lt;E14,"Exceed 10% Rule","")</f>
      </c>
    </row>
    <row r="16" spans="1:5" ht="15.75">
      <c r="A16" s="151" t="s">
        <v>397</v>
      </c>
      <c r="B16" s="317"/>
      <c r="C16" s="314">
        <f>SUM(C8:C14)</f>
        <v>800955.46</v>
      </c>
      <c r="D16" s="263">
        <f>SUM(D8:D14)</f>
        <v>775000</v>
      </c>
      <c r="E16" s="263">
        <f>SUM(E8:E14)</f>
        <v>775000</v>
      </c>
    </row>
    <row r="17" spans="1:5" ht="15.75">
      <c r="A17" s="151" t="s">
        <v>398</v>
      </c>
      <c r="B17" s="317"/>
      <c r="C17" s="314">
        <f>C6+C16</f>
        <v>1605150.97</v>
      </c>
      <c r="D17" s="263">
        <f>D6+D16</f>
        <v>1368894.97</v>
      </c>
      <c r="E17" s="263">
        <f>E6+E16</f>
        <v>1292368.97</v>
      </c>
    </row>
    <row r="18" spans="1:5" ht="15.75">
      <c r="A18" s="37" t="s">
        <v>400</v>
      </c>
      <c r="B18" s="317"/>
      <c r="C18" s="119"/>
      <c r="D18" s="85"/>
      <c r="E18" s="85"/>
    </row>
    <row r="19" spans="1:5" ht="15.75">
      <c r="A19" s="301" t="s">
        <v>100</v>
      </c>
      <c r="B19" s="318"/>
      <c r="C19" s="313">
        <v>1011256</v>
      </c>
      <c r="D19" s="9">
        <v>851526</v>
      </c>
      <c r="E19" s="9">
        <v>1000000</v>
      </c>
    </row>
    <row r="20" spans="1:5" ht="15.75">
      <c r="A20" s="301"/>
      <c r="B20" s="318"/>
      <c r="C20" s="313"/>
      <c r="D20" s="9"/>
      <c r="E20" s="9"/>
    </row>
    <row r="21" spans="1:5" ht="15.75">
      <c r="A21" s="301"/>
      <c r="B21" s="318"/>
      <c r="C21" s="313"/>
      <c r="D21" s="9"/>
      <c r="E21" s="9"/>
    </row>
    <row r="22" spans="1:5" ht="15.75">
      <c r="A22" s="301"/>
      <c r="B22" s="318"/>
      <c r="C22" s="313"/>
      <c r="D22" s="9"/>
      <c r="E22" s="9"/>
    </row>
    <row r="23" spans="1:5" ht="15.75">
      <c r="A23" s="301"/>
      <c r="B23" s="318"/>
      <c r="C23" s="313"/>
      <c r="D23" s="9"/>
      <c r="E23" s="9"/>
    </row>
    <row r="24" spans="1:5" ht="15.75">
      <c r="A24" s="301"/>
      <c r="B24" s="318"/>
      <c r="C24" s="313"/>
      <c r="D24" s="9"/>
      <c r="E24" s="9"/>
    </row>
    <row r="25" spans="1:5" ht="15.75">
      <c r="A25" s="301"/>
      <c r="B25" s="318"/>
      <c r="C25" s="313"/>
      <c r="D25" s="9"/>
      <c r="E25" s="9"/>
    </row>
    <row r="26" spans="1:5" ht="15.75">
      <c r="A26" s="301"/>
      <c r="B26" s="318"/>
      <c r="C26" s="313"/>
      <c r="D26" s="9"/>
      <c r="E26" s="9"/>
    </row>
    <row r="27" spans="1:5" ht="15.75">
      <c r="A27" s="301"/>
      <c r="B27" s="318"/>
      <c r="C27" s="313"/>
      <c r="D27" s="9"/>
      <c r="E27" s="9"/>
    </row>
    <row r="28" spans="1:5" ht="15.75">
      <c r="A28" s="301"/>
      <c r="B28" s="318"/>
      <c r="C28" s="313"/>
      <c r="D28" s="9"/>
      <c r="E28" s="9"/>
    </row>
    <row r="29" spans="1:5" ht="15.75">
      <c r="A29" s="301"/>
      <c r="B29" s="318"/>
      <c r="C29" s="313"/>
      <c r="D29" s="9"/>
      <c r="E29" s="9"/>
    </row>
    <row r="30" spans="1:5" ht="15.75">
      <c r="A30" s="319" t="s">
        <v>703</v>
      </c>
      <c r="B30" s="317"/>
      <c r="C30" s="313"/>
      <c r="D30" s="313"/>
      <c r="E30" s="313"/>
    </row>
    <row r="31" spans="1:5" ht="15.75">
      <c r="A31" s="319" t="s">
        <v>704</v>
      </c>
      <c r="B31" s="317"/>
      <c r="C31" s="355">
        <f>IF(C32*0.1&lt;C30,"Exceed 10% Rule","")</f>
      </c>
      <c r="D31" s="355">
        <f>IF(D32*0.1&lt;D30,"Exceed 10% Rule","")</f>
      </c>
      <c r="E31" s="355">
        <f>IF(E32*0.1&lt;E30,"Exceed 10% Rule","")</f>
      </c>
    </row>
    <row r="32" spans="1:5" ht="15.75">
      <c r="A32" s="151" t="s">
        <v>404</v>
      </c>
      <c r="B32" s="317"/>
      <c r="C32" s="314">
        <f>SUM(C19:C30)</f>
        <v>1011256</v>
      </c>
      <c r="D32" s="263">
        <f>SUM(D19:D30)</f>
        <v>851526</v>
      </c>
      <c r="E32" s="263">
        <f>SUM(E19:E30)</f>
        <v>1000000</v>
      </c>
    </row>
    <row r="33" spans="1:5" ht="15.75">
      <c r="A33" s="37" t="s">
        <v>528</v>
      </c>
      <c r="B33" s="317"/>
      <c r="C33" s="315">
        <f>C17-C32</f>
        <v>593894.97</v>
      </c>
      <c r="D33" s="262">
        <f>D17-D32</f>
        <v>517368.97</v>
      </c>
      <c r="E33" s="262">
        <f>E17-E32</f>
        <v>292368.97</v>
      </c>
    </row>
    <row r="34" spans="1:5" ht="15.75">
      <c r="A34" s="23" t="str">
        <f>CONCATENATE("",E1-2," Budget Authority Limited Amount:")</f>
        <v>2010 Budget Authority Limited Amount:</v>
      </c>
      <c r="B34" s="338">
        <f>inputOth!B73</f>
        <v>1425000</v>
      </c>
      <c r="C34" s="65"/>
      <c r="D34" s="65"/>
      <c r="E34" s="65"/>
    </row>
    <row r="35" spans="1:5" ht="15.75">
      <c r="A35" s="23" t="str">
        <f>CONCATENATE("Violation of Budget Law for ",E1-2,":")</f>
        <v>Violation of Budget Law for 2010:</v>
      </c>
      <c r="B35" s="339">
        <f>IF(C32&gt;B34,"Yes","")</f>
      </c>
      <c r="C35" s="65"/>
      <c r="D35" s="65"/>
      <c r="E35" s="65"/>
    </row>
    <row r="36" spans="1:5" ht="15.75">
      <c r="A36" s="23" t="str">
        <f>CONCATENATE("Possible Cash Violation for ",E1-2,":")</f>
        <v>Possible Cash Violation for 2010:</v>
      </c>
      <c r="B36" s="339">
        <f>IF(C33&lt;0,"Yes","")</f>
      </c>
      <c r="C36" s="65"/>
      <c r="D36" s="65"/>
      <c r="E36" s="65"/>
    </row>
    <row r="37" spans="1:5" ht="15.75">
      <c r="A37" s="21"/>
      <c r="B37" s="21"/>
      <c r="C37" s="65"/>
      <c r="D37" s="65"/>
      <c r="E37" s="65"/>
    </row>
    <row r="38" spans="1:5" ht="15.75">
      <c r="A38" s="25" t="s">
        <v>391</v>
      </c>
      <c r="B38" s="25"/>
      <c r="C38" s="102"/>
      <c r="D38" s="102"/>
      <c r="E38" s="102"/>
    </row>
    <row r="39" spans="1:5" ht="15.75">
      <c r="A39" s="21"/>
      <c r="B39" s="21"/>
      <c r="C39" s="93" t="s">
        <v>412</v>
      </c>
      <c r="D39" s="33" t="s">
        <v>556</v>
      </c>
      <c r="E39" s="33" t="s">
        <v>557</v>
      </c>
    </row>
    <row r="40" spans="1:5" ht="15.75">
      <c r="A40" s="137" t="str">
        <f>+inputPrYr!B43</f>
        <v>CRMC Sales Tax</v>
      </c>
      <c r="B40" s="137"/>
      <c r="C40" s="145">
        <f>C5</f>
        <v>2010</v>
      </c>
      <c r="D40" s="145">
        <f>D5</f>
        <v>2011</v>
      </c>
      <c r="E40" s="145">
        <f>E5</f>
        <v>2012</v>
      </c>
    </row>
    <row r="41" spans="1:5" ht="15.75">
      <c r="A41" s="311" t="s">
        <v>527</v>
      </c>
      <c r="B41" s="317"/>
      <c r="C41" s="313">
        <v>2519135.67</v>
      </c>
      <c r="D41" s="85">
        <f>C69</f>
        <v>2759057.66</v>
      </c>
      <c r="E41" s="85">
        <f>D69</f>
        <v>2972057.66</v>
      </c>
    </row>
    <row r="42" spans="1:5" s="7" customFormat="1" ht="15.75">
      <c r="A42" s="316" t="s">
        <v>529</v>
      </c>
      <c r="B42" s="317"/>
      <c r="C42" s="305"/>
      <c r="D42" s="40"/>
      <c r="E42" s="40"/>
    </row>
    <row r="43" spans="1:5" ht="15.75">
      <c r="A43" s="301" t="s">
        <v>84</v>
      </c>
      <c r="B43" s="318"/>
      <c r="C43" s="313">
        <v>800955.46</v>
      </c>
      <c r="D43" s="9">
        <v>775000</v>
      </c>
      <c r="E43" s="9">
        <v>775000</v>
      </c>
    </row>
    <row r="44" spans="1:5" ht="15.75">
      <c r="A44" s="301"/>
      <c r="B44" s="318"/>
      <c r="C44" s="313"/>
      <c r="D44" s="9"/>
      <c r="E44" s="9"/>
    </row>
    <row r="45" spans="1:5" ht="15.75">
      <c r="A45" s="301"/>
      <c r="B45" s="318"/>
      <c r="C45" s="313"/>
      <c r="D45" s="9"/>
      <c r="E45" s="9"/>
    </row>
    <row r="46" spans="1:5" ht="15.75">
      <c r="A46" s="301"/>
      <c r="B46" s="318"/>
      <c r="C46" s="313"/>
      <c r="D46" s="9"/>
      <c r="E46" s="9"/>
    </row>
    <row r="47" spans="1:5" ht="15.75">
      <c r="A47" s="301"/>
      <c r="B47" s="318"/>
      <c r="C47" s="313"/>
      <c r="D47" s="9"/>
      <c r="E47" s="9"/>
    </row>
    <row r="48" spans="1:5" ht="15.75">
      <c r="A48" s="301"/>
      <c r="B48" s="318"/>
      <c r="C48" s="313"/>
      <c r="D48" s="9"/>
      <c r="E48" s="9"/>
    </row>
    <row r="49" spans="1:5" ht="15.75">
      <c r="A49" s="312" t="s">
        <v>396</v>
      </c>
      <c r="B49" s="318"/>
      <c r="C49" s="313"/>
      <c r="D49" s="9"/>
      <c r="E49" s="9"/>
    </row>
    <row r="50" spans="1:5" ht="15.75">
      <c r="A50" s="321" t="s">
        <v>703</v>
      </c>
      <c r="B50" s="317"/>
      <c r="C50" s="313"/>
      <c r="D50" s="313"/>
      <c r="E50" s="313"/>
    </row>
    <row r="51" spans="1:5" ht="15.75">
      <c r="A51" s="311" t="s">
        <v>705</v>
      </c>
      <c r="B51" s="317"/>
      <c r="C51" s="355">
        <f>IF(C52*0.1&lt;C50,"Exceed 10% Rule","")</f>
      </c>
      <c r="D51" s="355">
        <f>IF(D52*0.1&lt;D50,"Exceed 10% Rule","")</f>
      </c>
      <c r="E51" s="355">
        <f>IF(E52*0.1&lt;E50,"Exceed 10% Rule","")</f>
      </c>
    </row>
    <row r="52" spans="1:5" ht="15.75">
      <c r="A52" s="151" t="s">
        <v>397</v>
      </c>
      <c r="B52" s="317"/>
      <c r="C52" s="314">
        <f>SUM(C43:C50)</f>
        <v>800955.46</v>
      </c>
      <c r="D52" s="263">
        <f>SUM(D43:D50)</f>
        <v>775000</v>
      </c>
      <c r="E52" s="263">
        <f>SUM(E43:E50)</f>
        <v>775000</v>
      </c>
    </row>
    <row r="53" spans="1:5" ht="15.75">
      <c r="A53" s="151" t="s">
        <v>398</v>
      </c>
      <c r="B53" s="317"/>
      <c r="C53" s="314">
        <f>C41+C52</f>
        <v>3320091.13</v>
      </c>
      <c r="D53" s="263">
        <f>D41+D52</f>
        <v>3534057.66</v>
      </c>
      <c r="E53" s="263">
        <f>E41+E52</f>
        <v>3747057.66</v>
      </c>
    </row>
    <row r="54" spans="1:5" ht="15.75">
      <c r="A54" s="37" t="s">
        <v>400</v>
      </c>
      <c r="B54" s="317"/>
      <c r="C54" s="119"/>
      <c r="D54" s="85"/>
      <c r="E54" s="85"/>
    </row>
    <row r="55" spans="1:5" ht="15.75">
      <c r="A55" s="301" t="s">
        <v>93</v>
      </c>
      <c r="B55" s="318"/>
      <c r="C55" s="313">
        <v>561033.47</v>
      </c>
      <c r="D55" s="9">
        <v>562000</v>
      </c>
      <c r="E55" s="9">
        <v>1000000</v>
      </c>
    </row>
    <row r="56" spans="1:5" ht="15.75">
      <c r="A56" s="301"/>
      <c r="B56" s="318"/>
      <c r="C56" s="313"/>
      <c r="D56" s="9"/>
      <c r="E56" s="9"/>
    </row>
    <row r="57" spans="1:5" ht="15.75">
      <c r="A57" s="301"/>
      <c r="B57" s="318"/>
      <c r="C57" s="313"/>
      <c r="D57" s="9"/>
      <c r="E57" s="9"/>
    </row>
    <row r="58" spans="1:5" ht="15.75">
      <c r="A58" s="301"/>
      <c r="B58" s="318"/>
      <c r="C58" s="313"/>
      <c r="D58" s="9"/>
      <c r="E58" s="9"/>
    </row>
    <row r="59" spans="1:5" ht="15.75">
      <c r="A59" s="301"/>
      <c r="B59" s="318"/>
      <c r="C59" s="313"/>
      <c r="D59" s="9"/>
      <c r="E59" s="9"/>
    </row>
    <row r="60" spans="1:5" ht="15.75">
      <c r="A60" s="301"/>
      <c r="B60" s="318"/>
      <c r="C60" s="313"/>
      <c r="D60" s="9"/>
      <c r="E60" s="9"/>
    </row>
    <row r="61" spans="1:5" ht="15.75">
      <c r="A61" s="301"/>
      <c r="B61" s="318"/>
      <c r="C61" s="313"/>
      <c r="D61" s="9"/>
      <c r="E61" s="9"/>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19" t="s">
        <v>703</v>
      </c>
      <c r="B66" s="317"/>
      <c r="C66" s="313"/>
      <c r="D66" s="313"/>
      <c r="E66" s="313"/>
    </row>
    <row r="67" spans="1:5" ht="15.75">
      <c r="A67" s="319" t="s">
        <v>704</v>
      </c>
      <c r="B67" s="317"/>
      <c r="C67" s="355">
        <f>IF(C68*0.1&lt;C66,"Exceed 10% Rule","")</f>
      </c>
      <c r="D67" s="355">
        <f>IF(D68*0.1&lt;D66,"Exceed 10% Rule","")</f>
      </c>
      <c r="E67" s="355">
        <f>IF(E68*0.1&lt;E66,"Exceed 10% Rule","")</f>
      </c>
    </row>
    <row r="68" spans="1:5" ht="15.75">
      <c r="A68" s="151" t="s">
        <v>404</v>
      </c>
      <c r="B68" s="317"/>
      <c r="C68" s="314">
        <f>SUM(C55:C66)</f>
        <v>561033.47</v>
      </c>
      <c r="D68" s="263">
        <f>SUM(D55:D66)</f>
        <v>562000</v>
      </c>
      <c r="E68" s="263">
        <f>SUM(E55:E66)</f>
        <v>1000000</v>
      </c>
    </row>
    <row r="69" spans="1:5" ht="15.75">
      <c r="A69" s="37" t="s">
        <v>528</v>
      </c>
      <c r="B69" s="317"/>
      <c r="C69" s="315">
        <f>C53-C68</f>
        <v>2759057.66</v>
      </c>
      <c r="D69" s="262">
        <f>D53-D68</f>
        <v>2972057.66</v>
      </c>
      <c r="E69" s="262">
        <f>E53-E68</f>
        <v>2747057.66</v>
      </c>
    </row>
    <row r="70" spans="1:5" ht="15.75">
      <c r="A70" s="23" t="str">
        <f>CONCATENATE("",E1-2," Budget Authority Limited Amount:")</f>
        <v>2010 Budget Authority Limited Amount:</v>
      </c>
      <c r="B70" s="338">
        <f>inputOth!B74</f>
        <v>1000000</v>
      </c>
      <c r="C70" s="21"/>
      <c r="D70" s="21"/>
      <c r="E70" s="21"/>
    </row>
    <row r="71" spans="1:5" ht="15.75">
      <c r="A71" s="23" t="str">
        <f>CONCATENATE("Violation of Budget Law for ",E1-2,":")</f>
        <v>Violation of Budget Law for 2010:</v>
      </c>
      <c r="B71" s="339">
        <f>IF(C68&gt;B70,"Yes","")</f>
      </c>
      <c r="C71" s="21"/>
      <c r="D71" s="21"/>
      <c r="E71" s="21"/>
    </row>
    <row r="72" spans="1:5" ht="15.75">
      <c r="A72" s="23" t="str">
        <f>CONCATENATE("Possible Cash Violation for ",E1-2,":")</f>
        <v>Possible Cash Violation for 2010:</v>
      </c>
      <c r="B72" s="339">
        <f>IF(C69&lt;0,"Yes","")</f>
      </c>
      <c r="C72" s="21"/>
      <c r="D72" s="21"/>
      <c r="E72" s="21"/>
    </row>
    <row r="73" spans="1:5" ht="15.75">
      <c r="A73" s="21"/>
      <c r="B73" s="21"/>
      <c r="C73" s="21"/>
      <c r="D73" s="21"/>
      <c r="E73" s="21"/>
    </row>
    <row r="74" spans="1:5" ht="15.75">
      <c r="A74" s="24"/>
      <c r="B74" s="24" t="s">
        <v>408</v>
      </c>
      <c r="C74" s="100">
        <v>15</v>
      </c>
      <c r="D74" s="21"/>
      <c r="E74" s="21"/>
    </row>
  </sheetData>
  <sheetProtection/>
  <conditionalFormatting sqref="C14">
    <cfRule type="cellIs" priority="1" dxfId="157" operator="greaterThan" stopIfTrue="1">
      <formula>$C$16*0.1</formula>
    </cfRule>
  </conditionalFormatting>
  <conditionalFormatting sqref="D14">
    <cfRule type="cellIs" priority="2" dxfId="157" operator="greaterThan" stopIfTrue="1">
      <formula>$D$16*0.1</formula>
    </cfRule>
  </conditionalFormatting>
  <conditionalFormatting sqref="E14">
    <cfRule type="cellIs" priority="3" dxfId="157" operator="greaterThan" stopIfTrue="1">
      <formula>$E$16*0.1</formula>
    </cfRule>
  </conditionalFormatting>
  <conditionalFormatting sqref="C30">
    <cfRule type="cellIs" priority="4" dxfId="157" operator="greaterThan" stopIfTrue="1">
      <formula>$C$32*0.1</formula>
    </cfRule>
  </conditionalFormatting>
  <conditionalFormatting sqref="D30">
    <cfRule type="cellIs" priority="5" dxfId="157" operator="greaterThan" stopIfTrue="1">
      <formula>$D$32*0.1</formula>
    </cfRule>
  </conditionalFormatting>
  <conditionalFormatting sqref="E30">
    <cfRule type="cellIs" priority="6" dxfId="157" operator="greaterThan" stopIfTrue="1">
      <formula>$E$32*0.1</formula>
    </cfRule>
  </conditionalFormatting>
  <conditionalFormatting sqref="C50">
    <cfRule type="cellIs" priority="7" dxfId="157" operator="greaterThan" stopIfTrue="1">
      <formula>$C$52*0.1</formula>
    </cfRule>
  </conditionalFormatting>
  <conditionalFormatting sqref="D50">
    <cfRule type="cellIs" priority="8" dxfId="157" operator="greaterThan" stopIfTrue="1">
      <formula>$D$52*0.1</formula>
    </cfRule>
  </conditionalFormatting>
  <conditionalFormatting sqref="E50">
    <cfRule type="cellIs" priority="9" dxfId="157" operator="greaterThan" stopIfTrue="1">
      <formula>$E$52*0.1</formula>
    </cfRule>
  </conditionalFormatting>
  <conditionalFormatting sqref="C66">
    <cfRule type="cellIs" priority="10" dxfId="157" operator="greaterThan" stopIfTrue="1">
      <formula>$C$68*0.1</formula>
    </cfRule>
  </conditionalFormatting>
  <conditionalFormatting sqref="D66">
    <cfRule type="cellIs" priority="11" dxfId="157" operator="greaterThan" stopIfTrue="1">
      <formula>$D$68*0.1</formula>
    </cfRule>
  </conditionalFormatting>
  <conditionalFormatting sqref="E66">
    <cfRule type="cellIs" priority="12" dxfId="157" operator="greaterThan" stopIfTrue="1">
      <formula>$E$68*0.1</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Coffeyville</oddHeader>
    <oddFooter>&amp;Lrevised 8/06/07</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74"/>
  <sheetViews>
    <sheetView view="pageBreakPreview" zoomScaleSheetLayoutView="100" zoomScalePageLayoutView="0" workbookViewId="0" topLeftCell="A1">
      <selection activeCell="E58" sqref="E58"/>
    </sheetView>
  </sheetViews>
  <sheetFormatPr defaultColWidth="8.796875" defaultRowHeight="15"/>
  <cols>
    <col min="1" max="1" width="28.796875" style="2" customWidth="1"/>
    <col min="2" max="2" width="9.59765625" style="2" customWidth="1"/>
    <col min="3" max="4" width="16.3984375" style="2" customWidth="1"/>
    <col min="5" max="5" width="16.3984375" style="2" bestFit="1" customWidth="1"/>
    <col min="6" max="16384" width="8.8984375" style="2"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inputPrYr!B44</f>
        <v>Business Dev. Training Center (BDTC)</v>
      </c>
      <c r="B5" s="137"/>
      <c r="C5" s="145">
        <f>E1-2</f>
        <v>2010</v>
      </c>
      <c r="D5" s="145">
        <f>E1-1</f>
        <v>2011</v>
      </c>
      <c r="E5" s="145">
        <f>E1</f>
        <v>2012</v>
      </c>
    </row>
    <row r="6" spans="1:5" ht="15.75">
      <c r="A6" s="311" t="s">
        <v>527</v>
      </c>
      <c r="B6" s="317"/>
      <c r="C6" s="313">
        <v>79168.44</v>
      </c>
      <c r="D6" s="85">
        <f>C30</f>
        <v>100644.24</v>
      </c>
      <c r="E6" s="85">
        <f>D30</f>
        <v>120049.23999999999</v>
      </c>
    </row>
    <row r="7" spans="1:5" s="7" customFormat="1" ht="15.75">
      <c r="A7" s="316" t="s">
        <v>529</v>
      </c>
      <c r="B7" s="317"/>
      <c r="C7" s="305"/>
      <c r="D7" s="40"/>
      <c r="E7" s="40"/>
    </row>
    <row r="8" spans="1:5" ht="15.75">
      <c r="A8" s="301" t="s">
        <v>83</v>
      </c>
      <c r="B8" s="318"/>
      <c r="C8" s="313">
        <v>3200</v>
      </c>
      <c r="D8" s="9">
        <v>3200</v>
      </c>
      <c r="E8" s="9">
        <v>3200</v>
      </c>
    </row>
    <row r="9" spans="1:5" ht="15.75">
      <c r="A9" s="301" t="s">
        <v>81</v>
      </c>
      <c r="B9" s="318"/>
      <c r="C9" s="313">
        <v>37230</v>
      </c>
      <c r="D9" s="9">
        <v>37080</v>
      </c>
      <c r="E9" s="9">
        <v>37080</v>
      </c>
    </row>
    <row r="10" spans="1:5" ht="15.75">
      <c r="A10" s="301"/>
      <c r="B10" s="318"/>
      <c r="C10" s="313"/>
      <c r="D10" s="9"/>
      <c r="E10" s="9"/>
    </row>
    <row r="11" spans="1:5" ht="15.75">
      <c r="A11" s="301"/>
      <c r="B11" s="318"/>
      <c r="C11" s="313"/>
      <c r="D11" s="9"/>
      <c r="E11" s="9"/>
    </row>
    <row r="12" spans="1:5" ht="15.75">
      <c r="A12" s="301"/>
      <c r="B12" s="318"/>
      <c r="C12" s="313"/>
      <c r="D12" s="9"/>
      <c r="E12" s="9"/>
    </row>
    <row r="13" spans="1:5" ht="15.75">
      <c r="A13" s="312" t="s">
        <v>396</v>
      </c>
      <c r="B13" s="318"/>
      <c r="C13" s="313"/>
      <c r="D13" s="9"/>
      <c r="E13" s="9"/>
    </row>
    <row r="14" spans="1:5" ht="15.75">
      <c r="A14" s="321" t="s">
        <v>703</v>
      </c>
      <c r="B14" s="317"/>
      <c r="C14" s="313"/>
      <c r="D14" s="313"/>
      <c r="E14" s="313"/>
    </row>
    <row r="15" spans="1:5" ht="15.75">
      <c r="A15" s="311" t="s">
        <v>705</v>
      </c>
      <c r="B15" s="317"/>
      <c r="C15" s="355">
        <f>IF(C16*0.1&lt;C14,"Exceed 10% Rule","")</f>
      </c>
      <c r="D15" s="355">
        <f>IF(D16*0.1&lt;D14,"Exceed 10% Rule","")</f>
      </c>
      <c r="E15" s="355">
        <f>IF(E16*0.1&lt;E14,"Exceed 10% Rule","")</f>
      </c>
    </row>
    <row r="16" spans="1:5" ht="15.75">
      <c r="A16" s="151" t="s">
        <v>397</v>
      </c>
      <c r="B16" s="317"/>
      <c r="C16" s="314">
        <f>SUM(C8:C14)</f>
        <v>40430</v>
      </c>
      <c r="D16" s="263">
        <f>SUM(D8:D14)</f>
        <v>40280</v>
      </c>
      <c r="E16" s="263">
        <f>SUM(E8:E14)</f>
        <v>40280</v>
      </c>
    </row>
    <row r="17" spans="1:5" ht="15.75">
      <c r="A17" s="151" t="s">
        <v>398</v>
      </c>
      <c r="B17" s="317"/>
      <c r="C17" s="314">
        <f>C6+C16</f>
        <v>119598.44</v>
      </c>
      <c r="D17" s="263">
        <f>D6+D16</f>
        <v>140924.24</v>
      </c>
      <c r="E17" s="263">
        <f>E6+E16</f>
        <v>160329.24</v>
      </c>
    </row>
    <row r="18" spans="1:5" ht="15.75">
      <c r="A18" s="37" t="s">
        <v>400</v>
      </c>
      <c r="B18" s="317"/>
      <c r="C18" s="119"/>
      <c r="D18" s="85"/>
      <c r="E18" s="85"/>
    </row>
    <row r="19" spans="1:5" ht="15.75">
      <c r="A19" s="301" t="s">
        <v>93</v>
      </c>
      <c r="B19" s="318"/>
      <c r="C19" s="313">
        <v>18954.2</v>
      </c>
      <c r="D19" s="9">
        <v>20875</v>
      </c>
      <c r="E19" s="9">
        <v>23462.5</v>
      </c>
    </row>
    <row r="20" spans="1:5" ht="15.75">
      <c r="A20" s="301" t="s">
        <v>95</v>
      </c>
      <c r="B20" s="318"/>
      <c r="C20" s="313">
        <v>0</v>
      </c>
      <c r="D20" s="9">
        <v>0</v>
      </c>
      <c r="E20" s="9">
        <v>136866.74</v>
      </c>
    </row>
    <row r="21" spans="1:5" ht="15.75">
      <c r="A21" s="301"/>
      <c r="B21" s="318"/>
      <c r="C21" s="313"/>
      <c r="D21" s="9"/>
      <c r="E21" s="9"/>
    </row>
    <row r="22" spans="1:5" ht="15.75">
      <c r="A22" s="301"/>
      <c r="B22" s="318"/>
      <c r="C22" s="313"/>
      <c r="D22" s="9"/>
      <c r="E22" s="9"/>
    </row>
    <row r="23" spans="1:5" ht="15.75">
      <c r="A23" s="301"/>
      <c r="B23" s="318"/>
      <c r="C23" s="313"/>
      <c r="D23" s="9"/>
      <c r="E23" s="9"/>
    </row>
    <row r="24" spans="1:5" ht="15.75">
      <c r="A24" s="301"/>
      <c r="B24" s="318"/>
      <c r="C24" s="313"/>
      <c r="D24" s="9"/>
      <c r="E24" s="9"/>
    </row>
    <row r="25" spans="1:5" ht="15.75">
      <c r="A25" s="301"/>
      <c r="B25" s="318"/>
      <c r="C25" s="313"/>
      <c r="D25" s="9"/>
      <c r="E25" s="9"/>
    </row>
    <row r="26" spans="1:5" ht="15.75">
      <c r="A26" s="301"/>
      <c r="B26" s="318"/>
      <c r="C26" s="313"/>
      <c r="D26" s="9"/>
      <c r="E26" s="9"/>
    </row>
    <row r="27" spans="1:5" ht="15.75">
      <c r="A27" s="319" t="s">
        <v>703</v>
      </c>
      <c r="B27" s="317"/>
      <c r="C27" s="313"/>
      <c r="D27" s="313"/>
      <c r="E27" s="313"/>
    </row>
    <row r="28" spans="1:5" ht="15.75">
      <c r="A28" s="319" t="s">
        <v>704</v>
      </c>
      <c r="B28" s="317"/>
      <c r="C28" s="355">
        <f>IF(C29*0.1&lt;C27,"Exceed 10% Rule","")</f>
      </c>
      <c r="D28" s="355">
        <f>IF(D29*0.1&lt;D27,"Exceed 10% Rule","")</f>
      </c>
      <c r="E28" s="355">
        <f>IF(E29*0.1&lt;E27,"Exceed 10% Rule","")</f>
      </c>
    </row>
    <row r="29" spans="1:5" ht="15.75">
      <c r="A29" s="151" t="s">
        <v>404</v>
      </c>
      <c r="B29" s="317"/>
      <c r="C29" s="314">
        <f>SUM(C19:C27)</f>
        <v>18954.2</v>
      </c>
      <c r="D29" s="263">
        <f>SUM(D19:D27)</f>
        <v>20875</v>
      </c>
      <c r="E29" s="263">
        <f>SUM(E19:E27)</f>
        <v>160329.24</v>
      </c>
    </row>
    <row r="30" spans="1:5" ht="15.75">
      <c r="A30" s="37" t="s">
        <v>528</v>
      </c>
      <c r="B30" s="317"/>
      <c r="C30" s="315">
        <f>C17-C29</f>
        <v>100644.24</v>
      </c>
      <c r="D30" s="262">
        <f>D17-D29</f>
        <v>120049.23999999999</v>
      </c>
      <c r="E30" s="262">
        <f>E17-E29</f>
        <v>0</v>
      </c>
    </row>
    <row r="31" spans="1:5" ht="15.75">
      <c r="A31" s="23" t="str">
        <f>CONCATENATE("",E1-2," Budget Authority Limited Amount:")</f>
        <v>2010 Budget Authority Limited Amount:</v>
      </c>
      <c r="B31" s="338">
        <f>inputOth!B75</f>
        <v>126236</v>
      </c>
      <c r="C31" s="65"/>
      <c r="D31" s="65"/>
      <c r="E31" s="65"/>
    </row>
    <row r="32" spans="1:5" ht="15.75">
      <c r="A32" s="23" t="str">
        <f>CONCATENATE("Violation of Budget Law for ",E1-2,":")</f>
        <v>Violation of Budget Law for 2010:</v>
      </c>
      <c r="B32" s="339">
        <f>IF(C29&gt;B31,"Yes","")</f>
      </c>
      <c r="C32" s="65"/>
      <c r="D32" s="65"/>
      <c r="E32" s="65"/>
    </row>
    <row r="33" spans="1:5" ht="15.75">
      <c r="A33" s="23" t="str">
        <f>CONCATENATE("Possible Cash Violation for ",E1-2,":")</f>
        <v>Possible Cash Violation for 2010:</v>
      </c>
      <c r="B33" s="339">
        <f>IF(C30&lt;0,"Yes","")</f>
      </c>
      <c r="C33" s="65"/>
      <c r="D33" s="65"/>
      <c r="E33" s="65"/>
    </row>
    <row r="34" spans="1:5" ht="15.75">
      <c r="A34" s="21"/>
      <c r="B34" s="21"/>
      <c r="C34" s="65"/>
      <c r="D34" s="65"/>
      <c r="E34" s="65"/>
    </row>
    <row r="35" spans="1:5" ht="15.75">
      <c r="A35" s="25" t="s">
        <v>391</v>
      </c>
      <c r="B35" s="25"/>
      <c r="C35" s="102"/>
      <c r="D35" s="102"/>
      <c r="E35" s="102"/>
    </row>
    <row r="36" spans="1:5" ht="15.75">
      <c r="A36" s="21"/>
      <c r="B36" s="21"/>
      <c r="C36" s="93" t="s">
        <v>412</v>
      </c>
      <c r="D36" s="33" t="s">
        <v>556</v>
      </c>
      <c r="E36" s="33" t="s">
        <v>557</v>
      </c>
    </row>
    <row r="37" spans="1:5" ht="15.75">
      <c r="A37" s="137" t="str">
        <f>+inputPrYr!B45</f>
        <v>Veterans Memorial Stadium (VMS)</v>
      </c>
      <c r="B37" s="137"/>
      <c r="C37" s="145">
        <f>C5</f>
        <v>2010</v>
      </c>
      <c r="D37" s="145">
        <f>D5</f>
        <v>2011</v>
      </c>
      <c r="E37" s="145">
        <f>E5</f>
        <v>2012</v>
      </c>
    </row>
    <row r="38" spans="1:7" ht="15.75">
      <c r="A38" s="311" t="s">
        <v>527</v>
      </c>
      <c r="B38" s="317"/>
      <c r="C38" s="313">
        <v>33756.84</v>
      </c>
      <c r="D38" s="85">
        <f>C69</f>
        <v>18672.64</v>
      </c>
      <c r="E38" s="85">
        <f>D69</f>
        <v>18672.64</v>
      </c>
      <c r="G38" s="406"/>
    </row>
    <row r="39" spans="1:5" s="7" customFormat="1" ht="15.75">
      <c r="A39" s="316" t="s">
        <v>529</v>
      </c>
      <c r="B39" s="317"/>
      <c r="C39" s="305"/>
      <c r="D39" s="40"/>
      <c r="E39" s="40"/>
    </row>
    <row r="40" spans="1:5" ht="15.75">
      <c r="A40" s="301" t="s">
        <v>136</v>
      </c>
      <c r="B40" s="318"/>
      <c r="C40" s="313">
        <v>0</v>
      </c>
      <c r="D40" s="9">
        <v>0</v>
      </c>
      <c r="E40" s="9">
        <v>0</v>
      </c>
    </row>
    <row r="41" spans="1:5" ht="15.75">
      <c r="A41" s="301" t="s">
        <v>120</v>
      </c>
      <c r="B41" s="318"/>
      <c r="C41" s="313">
        <v>0</v>
      </c>
      <c r="D41" s="9">
        <v>0</v>
      </c>
      <c r="E41" s="9">
        <v>0</v>
      </c>
    </row>
    <row r="42" spans="1:5" ht="15.75">
      <c r="A42" s="301" t="s">
        <v>121</v>
      </c>
      <c r="B42" s="318"/>
      <c r="C42" s="313">
        <f>1381.65-16.5</f>
        <v>1365.15</v>
      </c>
      <c r="D42" s="9">
        <v>9300</v>
      </c>
      <c r="E42" s="9">
        <v>9980</v>
      </c>
    </row>
    <row r="43" spans="1:5" ht="15.75">
      <c r="A43" s="301" t="s">
        <v>125</v>
      </c>
      <c r="B43" s="318"/>
      <c r="C43" s="313">
        <v>0</v>
      </c>
      <c r="D43" s="9">
        <v>0</v>
      </c>
      <c r="E43" s="9">
        <v>0</v>
      </c>
    </row>
    <row r="44" spans="1:5" ht="15.75">
      <c r="A44" s="301" t="s">
        <v>81</v>
      </c>
      <c r="B44" s="318"/>
      <c r="C44" s="313">
        <v>0</v>
      </c>
      <c r="D44" s="9">
        <v>0</v>
      </c>
      <c r="E44" s="9">
        <v>0</v>
      </c>
    </row>
    <row r="45" spans="1:5" ht="15.75">
      <c r="A45" s="301"/>
      <c r="B45" s="318"/>
      <c r="C45" s="313"/>
      <c r="D45" s="9"/>
      <c r="E45" s="9"/>
    </row>
    <row r="46" spans="1:5" ht="15.75">
      <c r="A46" s="301"/>
      <c r="B46" s="318"/>
      <c r="C46" s="313"/>
      <c r="D46" s="9"/>
      <c r="E46" s="9"/>
    </row>
    <row r="47" spans="1:5" ht="15.75">
      <c r="A47" s="301"/>
      <c r="B47" s="318"/>
      <c r="C47" s="313"/>
      <c r="D47" s="9"/>
      <c r="E47" s="9"/>
    </row>
    <row r="48" spans="1:5" ht="15.75">
      <c r="A48" s="301"/>
      <c r="B48" s="318"/>
      <c r="C48" s="313"/>
      <c r="D48" s="9"/>
      <c r="E48" s="9"/>
    </row>
    <row r="49" spans="1:5" ht="15.75">
      <c r="A49" s="312" t="s">
        <v>396</v>
      </c>
      <c r="B49" s="318"/>
      <c r="C49" s="313"/>
      <c r="D49" s="9"/>
      <c r="E49" s="9"/>
    </row>
    <row r="50" spans="1:5" ht="15.75">
      <c r="A50" s="321" t="s">
        <v>703</v>
      </c>
      <c r="B50" s="317"/>
      <c r="C50" s="313"/>
      <c r="D50" s="313"/>
      <c r="E50" s="313"/>
    </row>
    <row r="51" spans="1:5" ht="15.75">
      <c r="A51" s="311" t="s">
        <v>705</v>
      </c>
      <c r="B51" s="317"/>
      <c r="C51" s="355">
        <f>IF(C52*0.1&lt;C50,"Exceed 10% Rule","")</f>
      </c>
      <c r="D51" s="355">
        <f>IF(D52*0.1&lt;D50,"Exceed 10% Rule","")</f>
      </c>
      <c r="E51" s="355">
        <f>IF(E52*0.1&lt;E50,"Exceed 10% Rule","")</f>
      </c>
    </row>
    <row r="52" spans="1:5" ht="15.75">
      <c r="A52" s="151" t="s">
        <v>397</v>
      </c>
      <c r="B52" s="317"/>
      <c r="C52" s="314">
        <f>SUM(C40:C50)</f>
        <v>1365.15</v>
      </c>
      <c r="D52" s="263">
        <f>SUM(D40:D50)</f>
        <v>9300</v>
      </c>
      <c r="E52" s="263">
        <f>SUM(E40:E50)</f>
        <v>9980</v>
      </c>
    </row>
    <row r="53" spans="1:5" ht="15.75">
      <c r="A53" s="151" t="s">
        <v>398</v>
      </c>
      <c r="B53" s="317"/>
      <c r="C53" s="314">
        <f>C38+C52</f>
        <v>35121.99</v>
      </c>
      <c r="D53" s="263">
        <f>D38+D52</f>
        <v>27972.64</v>
      </c>
      <c r="E53" s="263">
        <f>E38+E52</f>
        <v>28652.64</v>
      </c>
    </row>
    <row r="54" spans="1:5" ht="15.75">
      <c r="A54" s="37" t="s">
        <v>400</v>
      </c>
      <c r="B54" s="317"/>
      <c r="C54" s="119"/>
      <c r="D54" s="85"/>
      <c r="E54" s="85"/>
    </row>
    <row r="55" spans="1:5" ht="15.75">
      <c r="A55" s="301" t="s">
        <v>93</v>
      </c>
      <c r="B55" s="318"/>
      <c r="C55" s="313">
        <f>14015.27+290.34</f>
        <v>14305.61</v>
      </c>
      <c r="D55" s="9">
        <v>9300</v>
      </c>
      <c r="E55" s="9">
        <v>9980</v>
      </c>
    </row>
    <row r="56" spans="1:5" ht="15.75">
      <c r="A56" s="301" t="s">
        <v>94</v>
      </c>
      <c r="B56" s="318"/>
      <c r="C56" s="313">
        <v>1845.74</v>
      </c>
      <c r="D56" s="9">
        <v>0</v>
      </c>
      <c r="E56" s="9">
        <v>0</v>
      </c>
    </row>
    <row r="57" spans="1:5" ht="15.75">
      <c r="A57" s="301" t="s">
        <v>95</v>
      </c>
      <c r="B57" s="318"/>
      <c r="C57" s="313">
        <v>298</v>
      </c>
      <c r="D57" s="9">
        <v>0</v>
      </c>
      <c r="E57" s="17">
        <v>18672.64</v>
      </c>
    </row>
    <row r="58" spans="1:5" ht="15.75">
      <c r="A58" s="301"/>
      <c r="B58" s="318"/>
      <c r="C58" s="313"/>
      <c r="D58" s="9"/>
      <c r="E58" s="9"/>
    </row>
    <row r="59" spans="1:5" ht="15.75">
      <c r="A59" s="301"/>
      <c r="B59" s="318"/>
      <c r="C59" s="313"/>
      <c r="D59" s="9"/>
      <c r="E59" s="9"/>
    </row>
    <row r="60" spans="1:5" ht="15.75">
      <c r="A60" s="301"/>
      <c r="B60" s="318"/>
      <c r="C60" s="313"/>
      <c r="D60" s="9"/>
      <c r="E60" s="9"/>
    </row>
    <row r="61" spans="1:5" ht="15.75">
      <c r="A61" s="301"/>
      <c r="B61" s="318"/>
      <c r="C61" s="313"/>
      <c r="D61" s="9"/>
      <c r="E61" s="9"/>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19" t="s">
        <v>703</v>
      </c>
      <c r="B66" s="317"/>
      <c r="C66" s="313"/>
      <c r="D66" s="313"/>
      <c r="E66" s="313"/>
    </row>
    <row r="67" spans="1:5" ht="15.75">
      <c r="A67" s="319" t="s">
        <v>704</v>
      </c>
      <c r="B67" s="317"/>
      <c r="C67" s="355">
        <f>IF(C68*0.1&lt;C66,"Exceed 10% Rule","")</f>
      </c>
      <c r="D67" s="355">
        <f>IF(D68*0.1&lt;D66,"Exceed 10% Rule","")</f>
      </c>
      <c r="E67" s="355">
        <f>IF(E68*0.1&lt;E66,"Exceed 10% Rule","")</f>
      </c>
    </row>
    <row r="68" spans="1:5" ht="15.75">
      <c r="A68" s="151" t="s">
        <v>404</v>
      </c>
      <c r="B68" s="317"/>
      <c r="C68" s="314">
        <f>SUM(C55:C66)</f>
        <v>16449.35</v>
      </c>
      <c r="D68" s="263">
        <f>SUM(D55:D66)</f>
        <v>9300</v>
      </c>
      <c r="E68" s="263">
        <f>SUM(E55:E66)</f>
        <v>28652.64</v>
      </c>
    </row>
    <row r="69" spans="1:5" ht="15.75">
      <c r="A69" s="37" t="s">
        <v>528</v>
      </c>
      <c r="B69" s="317"/>
      <c r="C69" s="315">
        <f>C53-C68</f>
        <v>18672.64</v>
      </c>
      <c r="D69" s="262">
        <f>D53-D68</f>
        <v>18672.64</v>
      </c>
      <c r="E69" s="262">
        <f>E53-E68</f>
        <v>0</v>
      </c>
    </row>
    <row r="70" spans="1:5" ht="15.75">
      <c r="A70" s="23" t="str">
        <f>CONCATENATE("",E1-2," Budget Authority Limited Amount:")</f>
        <v>2010 Budget Authority Limited Amount:</v>
      </c>
      <c r="B70" s="338">
        <f>inputOth!B76</f>
        <v>49883</v>
      </c>
      <c r="C70" s="21"/>
      <c r="D70" s="21"/>
      <c r="E70" s="21"/>
    </row>
    <row r="71" spans="1:5" ht="15.75">
      <c r="A71" s="23" t="str">
        <f>CONCATENATE("Violation of Budget Law for ",E1-2,":")</f>
        <v>Violation of Budget Law for 2010:</v>
      </c>
      <c r="B71" s="339">
        <f>IF(C68&gt;B70,"Yes","")</f>
      </c>
      <c r="C71" s="21"/>
      <c r="D71" s="21"/>
      <c r="E71" s="21"/>
    </row>
    <row r="72" spans="1:5" ht="15.75">
      <c r="A72" s="23" t="str">
        <f>CONCATENATE("Possible Cash Violation for ",E1-2,":")</f>
        <v>Possible Cash Violation for 2010:</v>
      </c>
      <c r="B72" s="339">
        <f>IF(C69&lt;0,"Yes","")</f>
      </c>
      <c r="C72" s="21"/>
      <c r="D72" s="21"/>
      <c r="E72" s="21"/>
    </row>
    <row r="73" spans="1:5" ht="15.75">
      <c r="A73" s="21"/>
      <c r="B73" s="21"/>
      <c r="C73" s="21"/>
      <c r="D73" s="21"/>
      <c r="E73" s="21"/>
    </row>
    <row r="74" spans="1:5" ht="15.75">
      <c r="A74" s="24"/>
      <c r="B74" s="24" t="s">
        <v>408</v>
      </c>
      <c r="C74" s="100">
        <v>16</v>
      </c>
      <c r="D74" s="21"/>
      <c r="E74" s="21"/>
    </row>
  </sheetData>
  <sheetProtection/>
  <conditionalFormatting sqref="C66">
    <cfRule type="cellIs" priority="1" dxfId="157" operator="greaterThan" stopIfTrue="1">
      <formula>$C$68*0.1</formula>
    </cfRule>
  </conditionalFormatting>
  <conditionalFormatting sqref="D66">
    <cfRule type="cellIs" priority="2" dxfId="157" operator="greaterThan" stopIfTrue="1">
      <formula>$D$68*0.1</formula>
    </cfRule>
  </conditionalFormatting>
  <conditionalFormatting sqref="E66">
    <cfRule type="cellIs" priority="3" dxfId="157" operator="greaterThan" stopIfTrue="1">
      <formula>$E$68*0.1</formula>
    </cfRule>
  </conditionalFormatting>
  <conditionalFormatting sqref="C27">
    <cfRule type="cellIs" priority="4" dxfId="157" operator="greaterThan" stopIfTrue="1">
      <formula>$C$29*0.1</formula>
    </cfRule>
  </conditionalFormatting>
  <conditionalFormatting sqref="D27">
    <cfRule type="cellIs" priority="5" dxfId="157" operator="greaterThan" stopIfTrue="1">
      <formula>$D$29*0.1</formula>
    </cfRule>
  </conditionalFormatting>
  <conditionalFormatting sqref="E27">
    <cfRule type="cellIs" priority="6" dxfId="157" operator="greaterThan" stopIfTrue="1">
      <formula>$E$29*0.1</formula>
    </cfRule>
  </conditionalFormatting>
  <conditionalFormatting sqref="C50">
    <cfRule type="cellIs" priority="7" dxfId="157" operator="greaterThan" stopIfTrue="1">
      <formula>$C$52*0.1</formula>
    </cfRule>
  </conditionalFormatting>
  <conditionalFormatting sqref="D50">
    <cfRule type="cellIs" priority="8" dxfId="157" operator="greaterThan" stopIfTrue="1">
      <formula>$D$52*0.1</formula>
    </cfRule>
  </conditionalFormatting>
  <conditionalFormatting sqref="E50">
    <cfRule type="cellIs" priority="9" dxfId="157" operator="greaterThan" stopIfTrue="1">
      <formula>$E$52*0.1</formula>
    </cfRule>
  </conditionalFormatting>
  <conditionalFormatting sqref="C14">
    <cfRule type="cellIs" priority="10" dxfId="157" operator="greaterThan" stopIfTrue="1">
      <formula>$C$16*0.1</formula>
    </cfRule>
  </conditionalFormatting>
  <conditionalFormatting sqref="D14">
    <cfRule type="cellIs" priority="11" dxfId="157" operator="greaterThan" stopIfTrue="1">
      <formula>$D$16*0.1</formula>
    </cfRule>
  </conditionalFormatting>
  <conditionalFormatting sqref="E14">
    <cfRule type="cellIs" priority="12" dxfId="157" operator="greaterThan" stopIfTrue="1">
      <formula>$E$16*0.1</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Coffeyville</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E74"/>
  <sheetViews>
    <sheetView view="pageBreakPreview" zoomScaleSheetLayoutView="100" zoomScalePageLayoutView="0" workbookViewId="0" topLeftCell="A1">
      <selection activeCell="E50" sqref="E50"/>
    </sheetView>
  </sheetViews>
  <sheetFormatPr defaultColWidth="8.796875" defaultRowHeight="15"/>
  <cols>
    <col min="1" max="1" width="28.796875" style="2" customWidth="1"/>
    <col min="2" max="2" width="9.59765625" style="2" customWidth="1"/>
    <col min="3" max="4" width="16.3984375" style="2" customWidth="1"/>
    <col min="5" max="5" width="16.3984375" style="2" bestFit="1" customWidth="1"/>
    <col min="6" max="16384" width="8.8984375" style="2"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inputPrYr!B46</f>
        <v>Refuse Utility</v>
      </c>
      <c r="B5" s="137"/>
      <c r="C5" s="145">
        <f>E1-2</f>
        <v>2010</v>
      </c>
      <c r="D5" s="145">
        <f>E1-1</f>
        <v>2011</v>
      </c>
      <c r="E5" s="145">
        <f>E1</f>
        <v>2012</v>
      </c>
    </row>
    <row r="6" spans="1:5" ht="15.75">
      <c r="A6" s="311" t="s">
        <v>527</v>
      </c>
      <c r="B6" s="317"/>
      <c r="C6" s="313">
        <v>88652.83</v>
      </c>
      <c r="D6" s="85">
        <f>C33</f>
        <v>111018.53999999998</v>
      </c>
      <c r="E6" s="85">
        <f>D33</f>
        <v>83399.73999999999</v>
      </c>
    </row>
    <row r="7" spans="1:5" s="7" customFormat="1" ht="15.75">
      <c r="A7" s="316" t="s">
        <v>529</v>
      </c>
      <c r="B7" s="317"/>
      <c r="C7" s="305"/>
      <c r="D7" s="40"/>
      <c r="E7" s="40"/>
    </row>
    <row r="8" spans="1:5" ht="15.75">
      <c r="A8" s="301" t="s">
        <v>126</v>
      </c>
      <c r="B8" s="318"/>
      <c r="C8" s="313">
        <v>508927.78</v>
      </c>
      <c r="D8" s="9">
        <v>583884</v>
      </c>
      <c r="E8" s="9">
        <v>583884</v>
      </c>
    </row>
    <row r="9" spans="1:5" ht="15.75">
      <c r="A9" s="301" t="s">
        <v>137</v>
      </c>
      <c r="B9" s="318"/>
      <c r="C9" s="313">
        <v>8145.33</v>
      </c>
      <c r="D9" s="9">
        <v>7000</v>
      </c>
      <c r="E9" s="9">
        <v>7000</v>
      </c>
    </row>
    <row r="10" spans="1:5" ht="15.75">
      <c r="A10" s="301" t="s">
        <v>83</v>
      </c>
      <c r="B10" s="318"/>
      <c r="C10" s="313">
        <v>16141.8</v>
      </c>
      <c r="D10" s="9">
        <v>0</v>
      </c>
      <c r="E10" s="9">
        <v>0</v>
      </c>
    </row>
    <row r="11" spans="1:5" ht="15.75">
      <c r="A11" s="301"/>
      <c r="B11" s="318"/>
      <c r="C11" s="313"/>
      <c r="D11" s="9"/>
      <c r="E11" s="9"/>
    </row>
    <row r="12" spans="1:5" ht="15.75">
      <c r="A12" s="301"/>
      <c r="B12" s="318"/>
      <c r="C12" s="313"/>
      <c r="D12" s="9"/>
      <c r="E12" s="9"/>
    </row>
    <row r="13" spans="1:5" ht="15.75">
      <c r="A13" s="301"/>
      <c r="B13" s="318"/>
      <c r="C13" s="313"/>
      <c r="D13" s="9"/>
      <c r="E13" s="9"/>
    </row>
    <row r="14" spans="1:5" ht="15.75">
      <c r="A14" s="312" t="s">
        <v>396</v>
      </c>
      <c r="B14" s="318"/>
      <c r="C14" s="313"/>
      <c r="D14" s="9"/>
      <c r="E14" s="9"/>
    </row>
    <row r="15" spans="1:5" ht="15.75">
      <c r="A15" s="321" t="s">
        <v>703</v>
      </c>
      <c r="B15" s="317"/>
      <c r="C15" s="313"/>
      <c r="D15" s="313"/>
      <c r="E15" s="313"/>
    </row>
    <row r="16" spans="1:5" ht="15.75">
      <c r="A16" s="311" t="s">
        <v>705</v>
      </c>
      <c r="B16" s="317"/>
      <c r="C16" s="355">
        <f>IF(C17*0.1&lt;C15,"Exceed 10% Rule","")</f>
      </c>
      <c r="D16" s="355">
        <f>IF(D17*0.1&lt;D15,"Exceed 10% Rule","")</f>
      </c>
      <c r="E16" s="355">
        <f>IF(E17*0.1&lt;E15,"Exceed 10% Rule","")</f>
      </c>
    </row>
    <row r="17" spans="1:5" ht="15.75">
      <c r="A17" s="151" t="s">
        <v>397</v>
      </c>
      <c r="B17" s="317"/>
      <c r="C17" s="314">
        <f>SUM(C8:C15)</f>
        <v>533214.91</v>
      </c>
      <c r="D17" s="263">
        <f>SUM(D8:D15)</f>
        <v>590884</v>
      </c>
      <c r="E17" s="263">
        <f>SUM(E8:E15)</f>
        <v>590884</v>
      </c>
    </row>
    <row r="18" spans="1:5" ht="15.75">
      <c r="A18" s="151" t="s">
        <v>398</v>
      </c>
      <c r="B18" s="317"/>
      <c r="C18" s="314">
        <f>C6+C17</f>
        <v>621867.74</v>
      </c>
      <c r="D18" s="263">
        <f>D6+D17</f>
        <v>701902.54</v>
      </c>
      <c r="E18" s="263">
        <f>E6+E17</f>
        <v>674283.74</v>
      </c>
    </row>
    <row r="19" spans="1:5" ht="15.75">
      <c r="A19" s="37" t="s">
        <v>400</v>
      </c>
      <c r="B19" s="317"/>
      <c r="C19" s="119"/>
      <c r="D19" s="85"/>
      <c r="E19" s="85"/>
    </row>
    <row r="20" spans="1:5" ht="15.75">
      <c r="A20" s="301" t="s">
        <v>93</v>
      </c>
      <c r="B20" s="318"/>
      <c r="C20" s="313">
        <v>505816.99</v>
      </c>
      <c r="D20" s="9">
        <v>613402.8</v>
      </c>
      <c r="E20" s="9">
        <v>598402.8</v>
      </c>
    </row>
    <row r="21" spans="1:5" ht="15.75">
      <c r="A21" s="301" t="s">
        <v>94</v>
      </c>
      <c r="B21" s="318"/>
      <c r="C21" s="313">
        <v>5032.21</v>
      </c>
      <c r="D21" s="9">
        <v>5100</v>
      </c>
      <c r="E21" s="9">
        <v>3500</v>
      </c>
    </row>
    <row r="22" spans="1:5" ht="15.75">
      <c r="A22" s="301" t="s">
        <v>95</v>
      </c>
      <c r="B22" s="318"/>
      <c r="C22" s="313">
        <v>0</v>
      </c>
      <c r="D22" s="9">
        <v>0</v>
      </c>
      <c r="E22" s="9">
        <v>72380.94</v>
      </c>
    </row>
    <row r="23" spans="1:5" ht="15.75">
      <c r="A23" s="301"/>
      <c r="B23" s="318"/>
      <c r="C23" s="313"/>
      <c r="D23" s="9"/>
      <c r="E23" s="9"/>
    </row>
    <row r="24" spans="1:5" ht="15.75">
      <c r="A24" s="301"/>
      <c r="B24" s="318"/>
      <c r="C24" s="313"/>
      <c r="D24" s="9"/>
      <c r="E24" s="9"/>
    </row>
    <row r="25" spans="1:5" ht="15.75">
      <c r="A25" s="301"/>
      <c r="B25" s="318"/>
      <c r="C25" s="313"/>
      <c r="D25" s="9"/>
      <c r="E25" s="9"/>
    </row>
    <row r="26" spans="1:5" ht="15.75">
      <c r="A26" s="301"/>
      <c r="B26" s="318"/>
      <c r="C26" s="313"/>
      <c r="D26" s="9"/>
      <c r="E26" s="9"/>
    </row>
    <row r="27" spans="1:5" ht="15.75">
      <c r="A27" s="301"/>
      <c r="B27" s="318"/>
      <c r="C27" s="313"/>
      <c r="D27" s="9"/>
      <c r="E27" s="9"/>
    </row>
    <row r="28" spans="1:5" ht="15.75">
      <c r="A28" s="301"/>
      <c r="B28" s="318"/>
      <c r="C28" s="313"/>
      <c r="D28" s="9"/>
      <c r="E28" s="9"/>
    </row>
    <row r="29" spans="1:5" ht="15.75">
      <c r="A29" s="301"/>
      <c r="B29" s="318"/>
      <c r="C29" s="313"/>
      <c r="D29" s="9"/>
      <c r="E29" s="9"/>
    </row>
    <row r="30" spans="1:5" ht="15.75">
      <c r="A30" s="319" t="s">
        <v>703</v>
      </c>
      <c r="B30" s="317"/>
      <c r="C30" s="313"/>
      <c r="D30" s="313"/>
      <c r="E30" s="313"/>
    </row>
    <row r="31" spans="1:5" ht="15.75">
      <c r="A31" s="319" t="s">
        <v>704</v>
      </c>
      <c r="B31" s="317"/>
      <c r="C31" s="355">
        <f>IF(C32*0.1&lt;C30,"Exceed 10% Rule","")</f>
      </c>
      <c r="D31" s="355">
        <f>IF(D32*0.1&lt;D30,"Exceed 10% Rule","")</f>
      </c>
      <c r="E31" s="355">
        <f>IF(E32*0.1&lt;E30,"Exceed 10% Rule","")</f>
      </c>
    </row>
    <row r="32" spans="1:5" ht="15.75">
      <c r="A32" s="151" t="s">
        <v>404</v>
      </c>
      <c r="B32" s="317"/>
      <c r="C32" s="314">
        <f>SUM(C20:C30)</f>
        <v>510849.2</v>
      </c>
      <c r="D32" s="263">
        <f>SUM(D20:D30)</f>
        <v>618502.8</v>
      </c>
      <c r="E32" s="263">
        <f>SUM(E20:E30)</f>
        <v>674283.74</v>
      </c>
    </row>
    <row r="33" spans="1:5" ht="15.75">
      <c r="A33" s="37" t="s">
        <v>528</v>
      </c>
      <c r="B33" s="317"/>
      <c r="C33" s="315">
        <f>C18-C32</f>
        <v>111018.53999999998</v>
      </c>
      <c r="D33" s="262">
        <f>D18-D32</f>
        <v>83399.73999999999</v>
      </c>
      <c r="E33" s="262">
        <f>E18-E32</f>
        <v>0</v>
      </c>
    </row>
    <row r="34" spans="1:5" ht="15.75">
      <c r="A34" s="23" t="str">
        <f>CONCATENATE("",E1-2," Budget Authority Limited Amount:")</f>
        <v>2010 Budget Authority Limited Amount:</v>
      </c>
      <c r="B34" s="338">
        <f>inputOth!B77</f>
        <v>554134</v>
      </c>
      <c r="C34" s="65"/>
      <c r="D34" s="65"/>
      <c r="E34" s="65"/>
    </row>
    <row r="35" spans="1:5" ht="15.75">
      <c r="A35" s="23" t="str">
        <f>CONCATENATE("Violation of Budget Law for ",E1-2,":")</f>
        <v>Violation of Budget Law for 2010:</v>
      </c>
      <c r="B35" s="339">
        <f>IF(C32&gt;B34,"Yes","")</f>
      </c>
      <c r="C35" s="65"/>
      <c r="D35" s="65"/>
      <c r="E35" s="65"/>
    </row>
    <row r="36" spans="1:5" ht="15.75">
      <c r="A36" s="23" t="str">
        <f>CONCATENATE("Possible Cash Violation for ",E1-2,":")</f>
        <v>Possible Cash Violation for 2010:</v>
      </c>
      <c r="B36" s="339">
        <f>IF(C33&lt;0,"Yes","")</f>
      </c>
      <c r="C36" s="65"/>
      <c r="D36" s="65"/>
      <c r="E36" s="65"/>
    </row>
    <row r="37" spans="1:5" ht="15.75">
      <c r="A37" s="21"/>
      <c r="B37" s="21"/>
      <c r="C37" s="65"/>
      <c r="D37" s="65"/>
      <c r="E37" s="65"/>
    </row>
    <row r="38" spans="1:5" ht="15.75">
      <c r="A38" s="25" t="s">
        <v>391</v>
      </c>
      <c r="B38" s="25"/>
      <c r="C38" s="102"/>
      <c r="D38" s="102"/>
      <c r="E38" s="102"/>
    </row>
    <row r="39" spans="1:5" ht="15.75">
      <c r="A39" s="21"/>
      <c r="B39" s="21"/>
      <c r="C39" s="93" t="s">
        <v>412</v>
      </c>
      <c r="D39" s="33" t="s">
        <v>556</v>
      </c>
      <c r="E39" s="33" t="s">
        <v>557</v>
      </c>
    </row>
    <row r="40" spans="1:5" ht="15.75">
      <c r="A40" s="137" t="str">
        <f>+inputPrYr!B47</f>
        <v>Internet Utility</v>
      </c>
      <c r="B40" s="137"/>
      <c r="C40" s="145">
        <f>C5</f>
        <v>2010</v>
      </c>
      <c r="D40" s="145">
        <f>D5</f>
        <v>2011</v>
      </c>
      <c r="E40" s="145">
        <f>E5</f>
        <v>2012</v>
      </c>
    </row>
    <row r="41" spans="1:5" ht="15.75">
      <c r="A41" s="311" t="s">
        <v>527</v>
      </c>
      <c r="B41" s="317"/>
      <c r="C41" s="313">
        <v>80498.88</v>
      </c>
      <c r="D41" s="85">
        <f>C69</f>
        <v>110940.66</v>
      </c>
      <c r="E41" s="85">
        <f>D69</f>
        <v>85861.35999999999</v>
      </c>
    </row>
    <row r="42" spans="1:5" s="7" customFormat="1" ht="15.75">
      <c r="A42" s="316" t="s">
        <v>529</v>
      </c>
      <c r="B42" s="317"/>
      <c r="C42" s="305"/>
      <c r="D42" s="40"/>
      <c r="E42" s="40"/>
    </row>
    <row r="43" spans="1:5" ht="15.75">
      <c r="A43" s="301" t="s">
        <v>126</v>
      </c>
      <c r="B43" s="318"/>
      <c r="C43" s="313">
        <v>218605.22</v>
      </c>
      <c r="D43" s="9">
        <v>245999.3</v>
      </c>
      <c r="E43" s="9">
        <v>372636</v>
      </c>
    </row>
    <row r="44" spans="1:5" ht="15.75">
      <c r="A44" s="301" t="s">
        <v>110</v>
      </c>
      <c r="B44" s="318"/>
      <c r="C44" s="313">
        <v>2000</v>
      </c>
      <c r="D44" s="9">
        <v>0</v>
      </c>
      <c r="E44" s="9">
        <v>0</v>
      </c>
    </row>
    <row r="45" spans="1:5" ht="15.75">
      <c r="A45" s="301" t="s">
        <v>127</v>
      </c>
      <c r="B45" s="318"/>
      <c r="C45" s="313">
        <v>5375</v>
      </c>
      <c r="D45" s="9">
        <v>1000</v>
      </c>
      <c r="E45" s="9">
        <v>3500</v>
      </c>
    </row>
    <row r="46" spans="1:5" ht="15.75">
      <c r="A46" s="301" t="s">
        <v>15</v>
      </c>
      <c r="B46" s="318"/>
      <c r="C46" s="313">
        <v>3350</v>
      </c>
      <c r="D46" s="9">
        <v>2500</v>
      </c>
      <c r="E46" s="9">
        <v>2000</v>
      </c>
    </row>
    <row r="47" spans="1:5" ht="15.75">
      <c r="A47" s="301" t="s">
        <v>137</v>
      </c>
      <c r="B47" s="318"/>
      <c r="C47" s="313">
        <v>1807.33</v>
      </c>
      <c r="D47" s="9">
        <v>2000</v>
      </c>
      <c r="E47" s="9">
        <v>2000</v>
      </c>
    </row>
    <row r="48" spans="1:5" ht="15.75">
      <c r="A48" s="301" t="s">
        <v>138</v>
      </c>
      <c r="B48" s="318"/>
      <c r="C48" s="313">
        <v>450</v>
      </c>
      <c r="D48" s="9">
        <v>500</v>
      </c>
      <c r="E48" s="9">
        <v>500</v>
      </c>
    </row>
    <row r="49" spans="1:5" ht="15.75">
      <c r="A49" s="301" t="s">
        <v>331</v>
      </c>
      <c r="B49" s="318"/>
      <c r="C49" s="313">
        <v>0</v>
      </c>
      <c r="D49" s="9">
        <v>2272</v>
      </c>
      <c r="E49" s="9">
        <v>0</v>
      </c>
    </row>
    <row r="50" spans="1:5" ht="15.75">
      <c r="A50" s="312" t="s">
        <v>396</v>
      </c>
      <c r="B50" s="318"/>
      <c r="C50" s="313"/>
      <c r="D50" s="9"/>
      <c r="E50" s="9"/>
    </row>
    <row r="51" spans="1:5" ht="15.75">
      <c r="A51" s="321" t="s">
        <v>703</v>
      </c>
      <c r="B51" s="317"/>
      <c r="C51" s="313"/>
      <c r="D51" s="313"/>
      <c r="E51" s="313"/>
    </row>
    <row r="52" spans="1:5" ht="15.75">
      <c r="A52" s="311" t="s">
        <v>705</v>
      </c>
      <c r="B52" s="317"/>
      <c r="C52" s="355">
        <f>IF(C53*0.1&lt;C51,"Exceed 10% Rule","")</f>
      </c>
      <c r="D52" s="355">
        <f>IF(D53*0.1&lt;D51,"Exceed 10% Rule","")</f>
      </c>
      <c r="E52" s="355">
        <f>IF(E53*0.1&lt;E51,"Exceed 10% Rule","")</f>
      </c>
    </row>
    <row r="53" spans="1:5" ht="15.75">
      <c r="A53" s="151" t="s">
        <v>397</v>
      </c>
      <c r="B53" s="317"/>
      <c r="C53" s="314">
        <f>SUM(C43:C51)</f>
        <v>231587.55</v>
      </c>
      <c r="D53" s="263">
        <f>SUM(D43:D51)</f>
        <v>254271.3</v>
      </c>
      <c r="E53" s="263">
        <f>SUM(E43:E51)</f>
        <v>380636</v>
      </c>
    </row>
    <row r="54" spans="1:5" ht="15.75">
      <c r="A54" s="151" t="s">
        <v>398</v>
      </c>
      <c r="B54" s="317"/>
      <c r="C54" s="314">
        <f>C41+C53</f>
        <v>312086.43</v>
      </c>
      <c r="D54" s="263">
        <f>D41+D53</f>
        <v>365211.95999999996</v>
      </c>
      <c r="E54" s="263">
        <f>E41+E53</f>
        <v>466497.36</v>
      </c>
    </row>
    <row r="55" spans="1:5" ht="15.75">
      <c r="A55" s="37" t="s">
        <v>400</v>
      </c>
      <c r="B55" s="317"/>
      <c r="C55" s="119"/>
      <c r="D55" s="85"/>
      <c r="E55" s="85"/>
    </row>
    <row r="56" spans="1:5" ht="15.75">
      <c r="A56" s="301" t="s">
        <v>91</v>
      </c>
      <c r="B56" s="318"/>
      <c r="C56" s="313">
        <v>75672.73</v>
      </c>
      <c r="D56" s="9">
        <v>87180.6</v>
      </c>
      <c r="E56" s="9">
        <v>87012.41</v>
      </c>
    </row>
    <row r="57" spans="1:5" ht="15.75">
      <c r="A57" s="301" t="s">
        <v>93</v>
      </c>
      <c r="B57" s="318"/>
      <c r="C57" s="313">
        <f>61528.67+2.45</f>
        <v>61531.119999999995</v>
      </c>
      <c r="D57" s="9">
        <f>89020+500</f>
        <v>89520</v>
      </c>
      <c r="E57" s="9">
        <f>98170+500</f>
        <v>98670</v>
      </c>
    </row>
    <row r="58" spans="1:5" ht="15.75">
      <c r="A58" s="301" t="s">
        <v>94</v>
      </c>
      <c r="B58" s="318"/>
      <c r="C58" s="313">
        <v>2103.82</v>
      </c>
      <c r="D58" s="9">
        <v>3850</v>
      </c>
      <c r="E58" s="9">
        <v>3300</v>
      </c>
    </row>
    <row r="59" spans="1:5" ht="15.75">
      <c r="A59" s="301" t="s">
        <v>95</v>
      </c>
      <c r="B59" s="318"/>
      <c r="C59" s="313">
        <v>61838.1</v>
      </c>
      <c r="D59" s="9">
        <v>98800</v>
      </c>
      <c r="E59" s="9">
        <v>277514.95</v>
      </c>
    </row>
    <row r="60" spans="1:5" ht="15.75">
      <c r="A60" s="301"/>
      <c r="B60" s="318"/>
      <c r="C60" s="313"/>
      <c r="D60" s="9"/>
      <c r="E60" s="9"/>
    </row>
    <row r="61" spans="1:5" ht="15.75">
      <c r="A61" s="301"/>
      <c r="B61" s="318"/>
      <c r="C61" s="313"/>
      <c r="D61" s="9"/>
      <c r="E61" s="9"/>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19" t="s">
        <v>703</v>
      </c>
      <c r="B66" s="317"/>
      <c r="C66" s="313"/>
      <c r="D66" s="313"/>
      <c r="E66" s="313"/>
    </row>
    <row r="67" spans="1:5" ht="15.75">
      <c r="A67" s="319" t="s">
        <v>704</v>
      </c>
      <c r="B67" s="317"/>
      <c r="C67" s="355">
        <f>IF(C68*0.1&lt;C66,"Exceed 10% Rule","")</f>
      </c>
      <c r="D67" s="355">
        <f>IF(D68*0.1&lt;D66,"Exceed 10% Rule","")</f>
      </c>
      <c r="E67" s="355">
        <f>IF(E68*0.1&lt;E66,"Exceed 10% Rule","")</f>
      </c>
    </row>
    <row r="68" spans="1:5" ht="15.75">
      <c r="A68" s="151" t="s">
        <v>404</v>
      </c>
      <c r="B68" s="317"/>
      <c r="C68" s="314">
        <f>SUM(C56:C66)</f>
        <v>201145.77</v>
      </c>
      <c r="D68" s="263">
        <f>SUM(D56:D66)</f>
        <v>279350.6</v>
      </c>
      <c r="E68" s="263">
        <f>SUM(E56:E66)</f>
        <v>466497.36</v>
      </c>
    </row>
    <row r="69" spans="1:5" ht="15.75">
      <c r="A69" s="37" t="s">
        <v>528</v>
      </c>
      <c r="B69" s="317"/>
      <c r="C69" s="315">
        <f>C54-C68</f>
        <v>110940.66</v>
      </c>
      <c r="D69" s="262">
        <f>D54-D68</f>
        <v>85861.35999999999</v>
      </c>
      <c r="E69" s="262">
        <f>E54-E68</f>
        <v>0</v>
      </c>
    </row>
    <row r="70" spans="1:5" ht="15.75">
      <c r="A70" s="23" t="str">
        <f>CONCATENATE("",E1-2," Budget Authority Limited Amount:")</f>
        <v>2010 Budget Authority Limited Amount:</v>
      </c>
      <c r="B70" s="338">
        <f>inputOth!B78</f>
        <v>237818</v>
      </c>
      <c r="C70" s="21"/>
      <c r="D70" s="21"/>
      <c r="E70" s="21"/>
    </row>
    <row r="71" spans="1:5" ht="15.75">
      <c r="A71" s="23" t="str">
        <f>CONCATENATE("Violation of Budget Law for ",E1-2,":")</f>
        <v>Violation of Budget Law for 2010:</v>
      </c>
      <c r="B71" s="339">
        <f>IF(C68&gt;B70,"Yes","")</f>
      </c>
      <c r="C71" s="21"/>
      <c r="D71" s="21"/>
      <c r="E71" s="21"/>
    </row>
    <row r="72" spans="1:5" ht="15.75">
      <c r="A72" s="23" t="str">
        <f>CONCATENATE("Possible Cash Violation for ",E1-2,":")</f>
        <v>Possible Cash Violation for 2010:</v>
      </c>
      <c r="B72" s="339">
        <f>IF(C69&lt;0,"Yes","")</f>
      </c>
      <c r="C72" s="21"/>
      <c r="D72" s="21"/>
      <c r="E72" s="21"/>
    </row>
    <row r="73" spans="1:5" ht="15.75">
      <c r="A73" s="21"/>
      <c r="B73" s="21"/>
      <c r="C73" s="21"/>
      <c r="D73" s="21"/>
      <c r="E73" s="21"/>
    </row>
    <row r="74" spans="1:5" ht="15.75">
      <c r="A74" s="24"/>
      <c r="B74" s="24" t="s">
        <v>408</v>
      </c>
      <c r="C74" s="100">
        <v>17</v>
      </c>
      <c r="D74" s="21"/>
      <c r="E74" s="21"/>
    </row>
  </sheetData>
  <sheetProtection/>
  <conditionalFormatting sqref="C66">
    <cfRule type="cellIs" priority="1" dxfId="157" operator="greaterThan" stopIfTrue="1">
      <formula>$C$68*0.1</formula>
    </cfRule>
  </conditionalFormatting>
  <conditionalFormatting sqref="D66">
    <cfRule type="cellIs" priority="2" dxfId="157" operator="greaterThan" stopIfTrue="1">
      <formula>$D$68*0.1</formula>
    </cfRule>
  </conditionalFormatting>
  <conditionalFormatting sqref="E66">
    <cfRule type="cellIs" priority="3" dxfId="157" operator="greaterThan" stopIfTrue="1">
      <formula>$E$68*0.1</formula>
    </cfRule>
  </conditionalFormatting>
  <conditionalFormatting sqref="C30">
    <cfRule type="cellIs" priority="4" dxfId="157" operator="greaterThan" stopIfTrue="1">
      <formula>$C$32*0.1</formula>
    </cfRule>
  </conditionalFormatting>
  <conditionalFormatting sqref="D30">
    <cfRule type="cellIs" priority="5" dxfId="157" operator="greaterThan" stopIfTrue="1">
      <formula>$D$32*0.1</formula>
    </cfRule>
  </conditionalFormatting>
  <conditionalFormatting sqref="E30">
    <cfRule type="cellIs" priority="6" dxfId="157" operator="greaterThan" stopIfTrue="1">
      <formula>$E$32*0.1</formula>
    </cfRule>
  </conditionalFormatting>
  <conditionalFormatting sqref="C51">
    <cfRule type="cellIs" priority="7" dxfId="157" operator="greaterThan" stopIfTrue="1">
      <formula>$C$53*0.1</formula>
    </cfRule>
  </conditionalFormatting>
  <conditionalFormatting sqref="D51">
    <cfRule type="cellIs" priority="8" dxfId="157" operator="greaterThan" stopIfTrue="1">
      <formula>$D$53*0.1</formula>
    </cfRule>
  </conditionalFormatting>
  <conditionalFormatting sqref="E51">
    <cfRule type="cellIs" priority="9" dxfId="157" operator="greaterThan" stopIfTrue="1">
      <formula>$E$53*0.1</formula>
    </cfRule>
  </conditionalFormatting>
  <conditionalFormatting sqref="C15">
    <cfRule type="cellIs" priority="10" dxfId="157" operator="greaterThan" stopIfTrue="1">
      <formula>$C$17*0.1</formula>
    </cfRule>
  </conditionalFormatting>
  <conditionalFormatting sqref="D15">
    <cfRule type="cellIs" priority="11" dxfId="157" operator="greaterThan" stopIfTrue="1">
      <formula>$D$17*0.1</formula>
    </cfRule>
  </conditionalFormatting>
  <conditionalFormatting sqref="E15">
    <cfRule type="cellIs" priority="12" dxfId="157" operator="greaterThan" stopIfTrue="1">
      <formula>$E$17*0.1</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Coffeyville</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E74"/>
  <sheetViews>
    <sheetView view="pageBreakPreview" zoomScaleSheetLayoutView="100" zoomScalePageLayoutView="0" workbookViewId="0" topLeftCell="A1">
      <selection activeCell="E69" sqref="E69"/>
    </sheetView>
  </sheetViews>
  <sheetFormatPr defaultColWidth="8.796875" defaultRowHeight="15"/>
  <cols>
    <col min="1" max="1" width="28.796875" style="2" customWidth="1"/>
    <col min="2" max="2" width="9.59765625" style="2" customWidth="1"/>
    <col min="3" max="4" width="16.3984375" style="2" customWidth="1"/>
    <col min="5" max="5" width="16.3984375" style="2" bestFit="1" customWidth="1"/>
    <col min="6" max="16384" width="8.8984375" style="2"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inputPrYr!B48</f>
        <v>Stormwater Utility</v>
      </c>
      <c r="B5" s="137"/>
      <c r="C5" s="145">
        <f>E1-2</f>
        <v>2010</v>
      </c>
      <c r="D5" s="145">
        <f>E1-1</f>
        <v>2011</v>
      </c>
      <c r="E5" s="145">
        <f>E1</f>
        <v>2012</v>
      </c>
    </row>
    <row r="6" spans="1:5" ht="15.75">
      <c r="A6" s="311" t="s">
        <v>527</v>
      </c>
      <c r="B6" s="317"/>
      <c r="C6" s="313">
        <v>28142.51</v>
      </c>
      <c r="D6" s="85">
        <f>C34</f>
        <v>19174.73000000001</v>
      </c>
      <c r="E6" s="85">
        <f>D34</f>
        <v>6672.310000000027</v>
      </c>
    </row>
    <row r="7" spans="1:5" s="7" customFormat="1" ht="15.75">
      <c r="A7" s="316" t="s">
        <v>529</v>
      </c>
      <c r="B7" s="317"/>
      <c r="C7" s="305"/>
      <c r="D7" s="40"/>
      <c r="E7" s="40"/>
    </row>
    <row r="8" spans="1:5" ht="15.75">
      <c r="A8" s="301" t="s">
        <v>126</v>
      </c>
      <c r="B8" s="318"/>
      <c r="C8" s="313">
        <v>152430.68</v>
      </c>
      <c r="D8" s="9">
        <v>152450</v>
      </c>
      <c r="E8" s="9">
        <v>152450</v>
      </c>
    </row>
    <row r="9" spans="1:5" ht="15.75">
      <c r="A9" s="301" t="s">
        <v>137</v>
      </c>
      <c r="B9" s="318"/>
      <c r="C9" s="313">
        <v>625.38</v>
      </c>
      <c r="D9" s="9">
        <v>750</v>
      </c>
      <c r="E9" s="9">
        <v>750</v>
      </c>
    </row>
    <row r="10" spans="1:5" ht="15.75">
      <c r="A10" s="301" t="s">
        <v>83</v>
      </c>
      <c r="B10" s="318"/>
      <c r="C10" s="313">
        <v>0</v>
      </c>
      <c r="D10" s="9">
        <v>2500</v>
      </c>
      <c r="E10" s="9">
        <v>4000</v>
      </c>
    </row>
    <row r="11" spans="1:5" ht="15.75">
      <c r="A11" s="301"/>
      <c r="B11" s="318"/>
      <c r="C11" s="313"/>
      <c r="D11" s="9"/>
      <c r="E11" s="9"/>
    </row>
    <row r="12" spans="1:5" ht="15.75">
      <c r="A12" s="301"/>
      <c r="B12" s="318"/>
      <c r="C12" s="313"/>
      <c r="D12" s="9"/>
      <c r="E12" s="9"/>
    </row>
    <row r="13" spans="1:5" ht="15.75">
      <c r="A13" s="301"/>
      <c r="B13" s="318"/>
      <c r="C13" s="313"/>
      <c r="D13" s="9"/>
      <c r="E13" s="9"/>
    </row>
    <row r="14" spans="1:5" ht="15.75">
      <c r="A14" s="312" t="s">
        <v>396</v>
      </c>
      <c r="B14" s="318"/>
      <c r="C14" s="313"/>
      <c r="D14" s="9"/>
      <c r="E14" s="9"/>
    </row>
    <row r="15" spans="1:5" ht="15.75">
      <c r="A15" s="321" t="s">
        <v>703</v>
      </c>
      <c r="B15" s="317"/>
      <c r="C15" s="313"/>
      <c r="D15" s="313"/>
      <c r="E15" s="313"/>
    </row>
    <row r="16" spans="1:5" ht="15.75">
      <c r="A16" s="311" t="s">
        <v>705</v>
      </c>
      <c r="B16" s="317"/>
      <c r="C16" s="355">
        <f>IF(C17*0.1&lt;C15,"Exceed 10% Rule","")</f>
      </c>
      <c r="D16" s="355">
        <f>IF(D17*0.1&lt;D15,"Exceed 10% Rule","")</f>
      </c>
      <c r="E16" s="355">
        <f>IF(E17*0.1&lt;E15,"Exceed 10% Rule","")</f>
      </c>
    </row>
    <row r="17" spans="1:5" ht="15.75">
      <c r="A17" s="151" t="s">
        <v>397</v>
      </c>
      <c r="B17" s="317"/>
      <c r="C17" s="314">
        <f>SUM(C8:C15)</f>
        <v>153056.06</v>
      </c>
      <c r="D17" s="263">
        <f>SUM(D8:D15)</f>
        <v>155700</v>
      </c>
      <c r="E17" s="263">
        <f>SUM(E8:E15)</f>
        <v>157200</v>
      </c>
    </row>
    <row r="18" spans="1:5" ht="15.75">
      <c r="A18" s="151" t="s">
        <v>398</v>
      </c>
      <c r="B18" s="317"/>
      <c r="C18" s="314">
        <f>C6+C17</f>
        <v>181198.57</v>
      </c>
      <c r="D18" s="263">
        <f>D6+D17</f>
        <v>174874.73</v>
      </c>
      <c r="E18" s="263">
        <f>E6+E17</f>
        <v>163872.31000000003</v>
      </c>
    </row>
    <row r="19" spans="1:5" ht="15.75">
      <c r="A19" s="37" t="s">
        <v>400</v>
      </c>
      <c r="B19" s="317"/>
      <c r="C19" s="119"/>
      <c r="D19" s="85"/>
      <c r="E19" s="85"/>
    </row>
    <row r="20" spans="1:5" ht="15.75">
      <c r="A20" s="301" t="s">
        <v>91</v>
      </c>
      <c r="B20" s="318"/>
      <c r="C20" s="313">
        <v>106289.14</v>
      </c>
      <c r="D20" s="9">
        <v>116822.42</v>
      </c>
      <c r="E20" s="9">
        <v>116668.84</v>
      </c>
    </row>
    <row r="21" spans="1:5" ht="15.75">
      <c r="A21" s="301" t="s">
        <v>93</v>
      </c>
      <c r="B21" s="318"/>
      <c r="C21" s="313">
        <f>4887.26+503.91</f>
        <v>5391.17</v>
      </c>
      <c r="D21" s="9">
        <f>3925+3250</f>
        <v>7175</v>
      </c>
      <c r="E21" s="9">
        <f>4515+5500</f>
        <v>10015</v>
      </c>
    </row>
    <row r="22" spans="1:5" ht="15.75">
      <c r="A22" s="301" t="s">
        <v>94</v>
      </c>
      <c r="B22" s="318"/>
      <c r="C22" s="313">
        <v>12003.15</v>
      </c>
      <c r="D22" s="9">
        <v>12705</v>
      </c>
      <c r="E22" s="9">
        <v>12375</v>
      </c>
    </row>
    <row r="23" spans="1:5" ht="15.75">
      <c r="A23" s="301" t="s">
        <v>95</v>
      </c>
      <c r="B23" s="318"/>
      <c r="C23" s="313">
        <v>8340.38</v>
      </c>
      <c r="D23" s="9">
        <v>1500</v>
      </c>
      <c r="E23" s="9">
        <v>2813.47</v>
      </c>
    </row>
    <row r="24" spans="1:5" ht="15.75">
      <c r="A24" s="301" t="s">
        <v>128</v>
      </c>
      <c r="B24" s="318"/>
      <c r="C24" s="313">
        <v>30000</v>
      </c>
      <c r="D24" s="9">
        <v>30000</v>
      </c>
      <c r="E24" s="9">
        <v>22000</v>
      </c>
    </row>
    <row r="25" spans="1:5" ht="15.75">
      <c r="A25" s="301"/>
      <c r="B25" s="318"/>
      <c r="C25" s="313"/>
      <c r="D25" s="9"/>
      <c r="E25" s="9"/>
    </row>
    <row r="26" spans="1:5" ht="15.75">
      <c r="A26" s="301"/>
      <c r="B26" s="318"/>
      <c r="C26" s="313"/>
      <c r="D26" s="9"/>
      <c r="E26" s="9"/>
    </row>
    <row r="27" spans="1:5" ht="15.75">
      <c r="A27" s="301"/>
      <c r="B27" s="318"/>
      <c r="C27" s="313"/>
      <c r="D27" s="9"/>
      <c r="E27" s="9"/>
    </row>
    <row r="28" spans="1:5" ht="15.75">
      <c r="A28" s="301"/>
      <c r="B28" s="318"/>
      <c r="C28" s="313"/>
      <c r="D28" s="9"/>
      <c r="E28" s="9"/>
    </row>
    <row r="29" spans="1:5" ht="15.75">
      <c r="A29" s="301"/>
      <c r="B29" s="318"/>
      <c r="C29" s="313"/>
      <c r="D29" s="9"/>
      <c r="E29" s="9"/>
    </row>
    <row r="30" spans="1:5" ht="15.75">
      <c r="A30" s="301"/>
      <c r="B30" s="318"/>
      <c r="C30" s="313"/>
      <c r="D30" s="9"/>
      <c r="E30" s="9"/>
    </row>
    <row r="31" spans="1:5" ht="15.75">
      <c r="A31" s="319" t="s">
        <v>703</v>
      </c>
      <c r="B31" s="317"/>
      <c r="C31" s="313"/>
      <c r="D31" s="313"/>
      <c r="E31" s="313"/>
    </row>
    <row r="32" spans="1:5" ht="15.75">
      <c r="A32" s="319" t="s">
        <v>704</v>
      </c>
      <c r="B32" s="317"/>
      <c r="C32" s="355">
        <f>IF(C33*0.1&lt;C31,"Exceed 10% Rule","")</f>
      </c>
      <c r="D32" s="355">
        <f>IF(D33*0.1&lt;D31,"Exceed 10% Rule","")</f>
      </c>
      <c r="E32" s="355">
        <f>IF(E33*0.1&lt;E31,"Exceed 10% Rule","")</f>
      </c>
    </row>
    <row r="33" spans="1:5" ht="15.75">
      <c r="A33" s="151" t="s">
        <v>404</v>
      </c>
      <c r="B33" s="317"/>
      <c r="C33" s="314">
        <f>SUM(C20:C31)</f>
        <v>162023.84</v>
      </c>
      <c r="D33" s="263">
        <f>SUM(D20:D31)</f>
        <v>168202.41999999998</v>
      </c>
      <c r="E33" s="263">
        <f>SUM(E20:E31)</f>
        <v>163872.31</v>
      </c>
    </row>
    <row r="34" spans="1:5" ht="15.75">
      <c r="A34" s="37" t="s">
        <v>528</v>
      </c>
      <c r="B34" s="317"/>
      <c r="C34" s="315">
        <f>C18-C33</f>
        <v>19174.73000000001</v>
      </c>
      <c r="D34" s="262">
        <f>D18-D33</f>
        <v>6672.310000000027</v>
      </c>
      <c r="E34" s="262">
        <f>E18-E33</f>
        <v>0</v>
      </c>
    </row>
    <row r="35" spans="1:5" ht="15.75">
      <c r="A35" s="23" t="str">
        <f>CONCATENATE("",E1-2," Budget Authority Limited Amount:")</f>
        <v>2010 Budget Authority Limited Amount:</v>
      </c>
      <c r="B35" s="338">
        <f>inputOth!B79</f>
        <v>174285</v>
      </c>
      <c r="C35" s="65"/>
      <c r="D35" s="65"/>
      <c r="E35" s="65"/>
    </row>
    <row r="36" spans="1:5" ht="15.75">
      <c r="A36" s="23" t="str">
        <f>CONCATENATE("Violation of Budget Law for ",E1-2,":")</f>
        <v>Violation of Budget Law for 2010:</v>
      </c>
      <c r="B36" s="339">
        <f>IF(C33&gt;B35,"Yes","")</f>
      </c>
      <c r="C36" s="65"/>
      <c r="D36" s="65"/>
      <c r="E36" s="65"/>
    </row>
    <row r="37" spans="1:5" ht="15.75">
      <c r="A37" s="23" t="str">
        <f>CONCATENATE("Possible Cash Violation for ",E1-2,":")</f>
        <v>Possible Cash Violation for 2010:</v>
      </c>
      <c r="B37" s="339">
        <f>IF(C34&lt;0,"Yes","")</f>
      </c>
      <c r="C37" s="65"/>
      <c r="D37" s="65"/>
      <c r="E37" s="65"/>
    </row>
    <row r="38" spans="1:5" ht="15.75">
      <c r="A38" s="21"/>
      <c r="B38" s="21"/>
      <c r="C38" s="65"/>
      <c r="D38" s="65"/>
      <c r="E38" s="65"/>
    </row>
    <row r="39" spans="1:5" ht="15.75">
      <c r="A39" s="25" t="s">
        <v>391</v>
      </c>
      <c r="B39" s="25"/>
      <c r="C39" s="102"/>
      <c r="D39" s="102"/>
      <c r="E39" s="102"/>
    </row>
    <row r="40" spans="1:5" ht="15.75">
      <c r="A40" s="21"/>
      <c r="B40" s="21"/>
      <c r="C40" s="93" t="s">
        <v>412</v>
      </c>
      <c r="D40" s="33" t="s">
        <v>556</v>
      </c>
      <c r="E40" s="33" t="s">
        <v>557</v>
      </c>
    </row>
    <row r="41" spans="1:5" ht="15.75">
      <c r="A41" s="137" t="str">
        <f>+inputPrYr!B49</f>
        <v>Electric Debt Service</v>
      </c>
      <c r="B41" s="137"/>
      <c r="C41" s="145">
        <f>C5</f>
        <v>2010</v>
      </c>
      <c r="D41" s="145">
        <f>D5</f>
        <v>2011</v>
      </c>
      <c r="E41" s="145">
        <f>E5</f>
        <v>2012</v>
      </c>
    </row>
    <row r="42" spans="1:5" ht="15.75">
      <c r="A42" s="311" t="s">
        <v>527</v>
      </c>
      <c r="B42" s="317"/>
      <c r="C42" s="313">
        <v>168902.23</v>
      </c>
      <c r="D42" s="85">
        <f>C69</f>
        <v>174891.52000000002</v>
      </c>
      <c r="E42" s="85">
        <f>D69</f>
        <v>174891.52000000002</v>
      </c>
    </row>
    <row r="43" spans="1:5" s="7" customFormat="1" ht="15.75">
      <c r="A43" s="316" t="s">
        <v>529</v>
      </c>
      <c r="B43" s="317"/>
      <c r="C43" s="305"/>
      <c r="D43" s="40"/>
      <c r="E43" s="40"/>
    </row>
    <row r="44" spans="1:5" ht="15.75">
      <c r="A44" s="301" t="s">
        <v>49</v>
      </c>
      <c r="B44" s="318"/>
      <c r="C44" s="313">
        <v>1056224.01</v>
      </c>
      <c r="D44" s="9">
        <v>1060097.22</v>
      </c>
      <c r="E44" s="9">
        <v>1047147.22</v>
      </c>
    </row>
    <row r="45" spans="1:5" ht="15.75">
      <c r="A45" s="301"/>
      <c r="B45" s="318"/>
      <c r="C45" s="313"/>
      <c r="D45" s="9"/>
      <c r="E45" s="9"/>
    </row>
    <row r="46" spans="1:5" ht="15.75">
      <c r="A46" s="301"/>
      <c r="B46" s="318"/>
      <c r="C46" s="313"/>
      <c r="D46" s="9"/>
      <c r="E46" s="9"/>
    </row>
    <row r="47" spans="1:5" ht="15.75">
      <c r="A47" s="301"/>
      <c r="B47" s="318"/>
      <c r="C47" s="313"/>
      <c r="D47" s="9"/>
      <c r="E47" s="9"/>
    </row>
    <row r="48" spans="1:5" ht="15.75">
      <c r="A48" s="301"/>
      <c r="B48" s="318"/>
      <c r="C48" s="313"/>
      <c r="D48" s="9"/>
      <c r="E48" s="9"/>
    </row>
    <row r="49" spans="1:5" ht="15.75">
      <c r="A49" s="301"/>
      <c r="B49" s="318"/>
      <c r="C49" s="313"/>
      <c r="D49" s="9"/>
      <c r="E49" s="9"/>
    </row>
    <row r="50" spans="1:5" ht="15.75">
      <c r="A50" s="301"/>
      <c r="B50" s="318"/>
      <c r="C50" s="313"/>
      <c r="D50" s="9"/>
      <c r="E50" s="9"/>
    </row>
    <row r="51" spans="1:5" ht="15.75">
      <c r="A51" s="312" t="s">
        <v>396</v>
      </c>
      <c r="B51" s="318"/>
      <c r="C51" s="313"/>
      <c r="D51" s="9"/>
      <c r="E51" s="9"/>
    </row>
    <row r="52" spans="1:5" ht="15.75">
      <c r="A52" s="321" t="s">
        <v>703</v>
      </c>
      <c r="B52" s="317"/>
      <c r="C52" s="313"/>
      <c r="D52" s="313"/>
      <c r="E52" s="313"/>
    </row>
    <row r="53" spans="1:5" ht="15.75">
      <c r="A53" s="311" t="s">
        <v>705</v>
      </c>
      <c r="B53" s="317"/>
      <c r="C53" s="355">
        <f>IF(C54*0.1&lt;C52,"Exceed 10% Rule","")</f>
      </c>
      <c r="D53" s="355">
        <f>IF(D54*0.1&lt;D52,"Exceed 10% Rule","")</f>
      </c>
      <c r="E53" s="355">
        <f>IF(E54*0.1&lt;E52,"Exceed 10% Rule","")</f>
      </c>
    </row>
    <row r="54" spans="1:5" ht="15.75">
      <c r="A54" s="151" t="s">
        <v>397</v>
      </c>
      <c r="B54" s="317"/>
      <c r="C54" s="314">
        <f>SUM(C44:C52)</f>
        <v>1056224.01</v>
      </c>
      <c r="D54" s="263">
        <f>SUM(D44:D52)</f>
        <v>1060097.22</v>
      </c>
      <c r="E54" s="263">
        <f>SUM(E44:E52)</f>
        <v>1047147.22</v>
      </c>
    </row>
    <row r="55" spans="1:5" ht="15.75">
      <c r="A55" s="151" t="s">
        <v>398</v>
      </c>
      <c r="B55" s="317"/>
      <c r="C55" s="314">
        <f>C42+C54</f>
        <v>1225126.24</v>
      </c>
      <c r="D55" s="263">
        <f>D42+D54</f>
        <v>1234988.74</v>
      </c>
      <c r="E55" s="263">
        <f>E42+E54</f>
        <v>1222038.74</v>
      </c>
    </row>
    <row r="56" spans="1:5" ht="15.75">
      <c r="A56" s="37" t="s">
        <v>400</v>
      </c>
      <c r="B56" s="317"/>
      <c r="C56" s="119"/>
      <c r="D56" s="85"/>
      <c r="E56" s="85"/>
    </row>
    <row r="57" spans="1:5" ht="15.75">
      <c r="A57" s="301" t="s">
        <v>185</v>
      </c>
      <c r="B57" s="318"/>
      <c r="C57" s="313">
        <v>344776.26</v>
      </c>
      <c r="D57" s="9">
        <v>324638.76</v>
      </c>
      <c r="E57" s="9">
        <v>301588.76</v>
      </c>
    </row>
    <row r="58" spans="1:5" ht="15.75">
      <c r="A58" s="301" t="s">
        <v>186</v>
      </c>
      <c r="B58" s="318"/>
      <c r="C58" s="313">
        <v>550000</v>
      </c>
      <c r="D58" s="9">
        <v>580000</v>
      </c>
      <c r="E58" s="9">
        <v>590000</v>
      </c>
    </row>
    <row r="59" spans="1:5" ht="15.75">
      <c r="A59" s="301" t="s">
        <v>187</v>
      </c>
      <c r="B59" s="318"/>
      <c r="C59" s="313">
        <v>87475.83</v>
      </c>
      <c r="D59" s="9">
        <v>84034.22</v>
      </c>
      <c r="E59" s="9">
        <v>80418.36</v>
      </c>
    </row>
    <row r="60" spans="1:5" ht="15.75">
      <c r="A60" s="301" t="s">
        <v>535</v>
      </c>
      <c r="B60" s="318"/>
      <c r="C60" s="313">
        <v>67982.63</v>
      </c>
      <c r="D60" s="9">
        <v>71424.24</v>
      </c>
      <c r="E60" s="9">
        <v>75040.1</v>
      </c>
    </row>
    <row r="61" spans="1:5" ht="15.75">
      <c r="A61" s="301" t="s">
        <v>445</v>
      </c>
      <c r="B61" s="318"/>
      <c r="C61" s="313">
        <v>0</v>
      </c>
      <c r="D61" s="9">
        <v>0</v>
      </c>
      <c r="E61" s="9">
        <v>100</v>
      </c>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19" t="s">
        <v>703</v>
      </c>
      <c r="B66" s="317"/>
      <c r="C66" s="313"/>
      <c r="D66" s="313"/>
      <c r="E66" s="313"/>
    </row>
    <row r="67" spans="1:5" ht="15.75">
      <c r="A67" s="319" t="s">
        <v>704</v>
      </c>
      <c r="B67" s="317"/>
      <c r="C67" s="355">
        <f>IF(C68*0.1&lt;C66,"Exceed 10% Rule","")</f>
      </c>
      <c r="D67" s="355">
        <f>IF(D68*0.1&lt;D66,"Exceed 10% Rule","")</f>
      </c>
      <c r="E67" s="355">
        <f>IF(E68*0.1&lt;E66,"Exceed 10% Rule","")</f>
      </c>
    </row>
    <row r="68" spans="1:5" ht="15.75">
      <c r="A68" s="151" t="s">
        <v>404</v>
      </c>
      <c r="B68" s="317"/>
      <c r="C68" s="314">
        <f>SUM(C57:C66)</f>
        <v>1050234.72</v>
      </c>
      <c r="D68" s="263">
        <f>SUM(D57:D66)</f>
        <v>1060097.22</v>
      </c>
      <c r="E68" s="263">
        <f>SUM(E57:E66)</f>
        <v>1047147.22</v>
      </c>
    </row>
    <row r="69" spans="1:5" ht="15.75">
      <c r="A69" s="37" t="s">
        <v>528</v>
      </c>
      <c r="B69" s="317"/>
      <c r="C69" s="315">
        <f>C55-C68</f>
        <v>174891.52000000002</v>
      </c>
      <c r="D69" s="262">
        <f>D55-D68</f>
        <v>174891.52000000002</v>
      </c>
      <c r="E69" s="262">
        <f>E55-E68</f>
        <v>174891.52000000002</v>
      </c>
    </row>
    <row r="70" spans="1:5" ht="15.75">
      <c r="A70" s="23" t="str">
        <f>CONCATENATE("",E1-2," Budget Authority Limited Amount:")</f>
        <v>2010 Budget Authority Limited Amount:</v>
      </c>
      <c r="B70" s="338">
        <f>inputOth!B80</f>
        <v>1550435</v>
      </c>
      <c r="C70" s="21"/>
      <c r="D70" s="21"/>
      <c r="E70" s="21"/>
    </row>
    <row r="71" spans="1:5" ht="15.75">
      <c r="A71" s="23" t="str">
        <f>CONCATENATE("Violation of Budget Law for ",E1-2,":")</f>
        <v>Violation of Budget Law for 2010:</v>
      </c>
      <c r="B71" s="339">
        <f>IF(C68&gt;B70,"Yes","")</f>
      </c>
      <c r="C71" s="21"/>
      <c r="D71" s="21"/>
      <c r="E71" s="21"/>
    </row>
    <row r="72" spans="1:5" ht="15.75">
      <c r="A72" s="23" t="str">
        <f>CONCATENATE("Possible Cash Violation for ",E1-2,":")</f>
        <v>Possible Cash Violation for 2010:</v>
      </c>
      <c r="B72" s="339">
        <f>IF(C69&lt;0,"Yes","")</f>
      </c>
      <c r="C72" s="21"/>
      <c r="D72" s="21"/>
      <c r="E72" s="21"/>
    </row>
    <row r="73" spans="1:5" ht="15.75">
      <c r="A73" s="21"/>
      <c r="B73" s="21"/>
      <c r="C73" s="21"/>
      <c r="D73" s="21"/>
      <c r="E73" s="21"/>
    </row>
    <row r="74" spans="1:5" ht="15.75">
      <c r="A74" s="24"/>
      <c r="B74" s="24" t="s">
        <v>408</v>
      </c>
      <c r="C74" s="100">
        <v>18</v>
      </c>
      <c r="D74" s="21"/>
      <c r="E74" s="21"/>
    </row>
  </sheetData>
  <sheetProtection/>
  <conditionalFormatting sqref="C66">
    <cfRule type="cellIs" priority="1" dxfId="157" operator="greaterThan" stopIfTrue="1">
      <formula>$C$68*0.1</formula>
    </cfRule>
  </conditionalFormatting>
  <conditionalFormatting sqref="D66">
    <cfRule type="cellIs" priority="2" dxfId="157" operator="greaterThan" stopIfTrue="1">
      <formula>$D$68*0.1</formula>
    </cfRule>
  </conditionalFormatting>
  <conditionalFormatting sqref="E66">
    <cfRule type="cellIs" priority="3" dxfId="157" operator="greaterThan" stopIfTrue="1">
      <formula>$E$68*0.1</formula>
    </cfRule>
  </conditionalFormatting>
  <conditionalFormatting sqref="C15">
    <cfRule type="cellIs" priority="4" dxfId="157" operator="greaterThan" stopIfTrue="1">
      <formula>$C$17*0.1</formula>
    </cfRule>
  </conditionalFormatting>
  <conditionalFormatting sqref="D15">
    <cfRule type="cellIs" priority="5" dxfId="157" operator="greaterThan" stopIfTrue="1">
      <formula>$D$17*0.1</formula>
    </cfRule>
  </conditionalFormatting>
  <conditionalFormatting sqref="E15">
    <cfRule type="cellIs" priority="6" dxfId="157" operator="greaterThan" stopIfTrue="1">
      <formula>$E$17*0.1</formula>
    </cfRule>
  </conditionalFormatting>
  <conditionalFormatting sqref="C31">
    <cfRule type="cellIs" priority="7" dxfId="157" operator="greaterThan" stopIfTrue="1">
      <formula>$C$33*0.1</formula>
    </cfRule>
  </conditionalFormatting>
  <conditionalFormatting sqref="D31">
    <cfRule type="cellIs" priority="8" dxfId="157" operator="greaterThan" stopIfTrue="1">
      <formula>$D$33*0.1</formula>
    </cfRule>
  </conditionalFormatting>
  <conditionalFormatting sqref="E31">
    <cfRule type="cellIs" priority="9" dxfId="157" operator="greaterThan" stopIfTrue="1">
      <formula>$E$33*0.1</formula>
    </cfRule>
  </conditionalFormatting>
  <conditionalFormatting sqref="C52">
    <cfRule type="cellIs" priority="10" dxfId="157" operator="greaterThan" stopIfTrue="1">
      <formula>$C$54*0.1</formula>
    </cfRule>
  </conditionalFormatting>
  <conditionalFormatting sqref="D52">
    <cfRule type="cellIs" priority="11" dxfId="157" operator="greaterThan" stopIfTrue="1">
      <formula>$D$54*0.1</formula>
    </cfRule>
  </conditionalFormatting>
  <conditionalFormatting sqref="E52">
    <cfRule type="cellIs" priority="12" dxfId="157" operator="greaterThan" stopIfTrue="1">
      <formula>$E$54*0.1</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Coffeyville</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E74"/>
  <sheetViews>
    <sheetView view="pageBreakPreview" zoomScaleSheetLayoutView="100" zoomScalePageLayoutView="0" workbookViewId="0" topLeftCell="A1">
      <selection activeCell="E20" sqref="E20"/>
    </sheetView>
  </sheetViews>
  <sheetFormatPr defaultColWidth="8.796875" defaultRowHeight="15"/>
  <cols>
    <col min="1" max="1" width="28.796875" style="2" customWidth="1"/>
    <col min="2" max="2" width="9.59765625" style="2" customWidth="1"/>
    <col min="3" max="4" width="16.3984375" style="2" customWidth="1"/>
    <col min="5" max="5" width="16.3984375" style="2" bestFit="1" customWidth="1"/>
    <col min="6" max="16384" width="8.8984375" style="2" customWidth="1"/>
  </cols>
  <sheetData>
    <row r="1" spans="1:5" ht="15.75">
      <c r="A1" s="72" t="str">
        <f>(inputPrYr!D2)</f>
        <v>City of Coffeyville</v>
      </c>
      <c r="B1" s="72"/>
      <c r="C1" s="21"/>
      <c r="D1" s="21"/>
      <c r="E1" s="138">
        <f>inputPrYr!C5</f>
        <v>2012</v>
      </c>
    </row>
    <row r="2" spans="1:5" ht="15.75">
      <c r="A2" s="21"/>
      <c r="B2" s="21"/>
      <c r="C2" s="21"/>
      <c r="D2" s="21"/>
      <c r="E2" s="24"/>
    </row>
    <row r="3" spans="1:5" ht="15.75">
      <c r="A3" s="90" t="s">
        <v>466</v>
      </c>
      <c r="B3" s="90"/>
      <c r="C3" s="96"/>
      <c r="D3" s="96"/>
      <c r="E3" s="96"/>
    </row>
    <row r="4" spans="1:5" ht="15.75">
      <c r="A4" s="25" t="s">
        <v>391</v>
      </c>
      <c r="B4" s="25"/>
      <c r="C4" s="93" t="s">
        <v>412</v>
      </c>
      <c r="D4" s="33" t="s">
        <v>556</v>
      </c>
      <c r="E4" s="33" t="s">
        <v>557</v>
      </c>
    </row>
    <row r="5" spans="1:5" ht="15.75">
      <c r="A5" s="137" t="str">
        <f>inputPrYr!B50</f>
        <v>Water/Wastewater Debt Service</v>
      </c>
      <c r="B5" s="137"/>
      <c r="C5" s="145">
        <f>E1-2</f>
        <v>2010</v>
      </c>
      <c r="D5" s="145">
        <f>E1-1</f>
        <v>2011</v>
      </c>
      <c r="E5" s="145">
        <f>E1</f>
        <v>2012</v>
      </c>
    </row>
    <row r="6" spans="1:5" ht="15.75">
      <c r="A6" s="311" t="s">
        <v>527</v>
      </c>
      <c r="B6" s="317"/>
      <c r="C6" s="313">
        <v>261849.61</v>
      </c>
      <c r="D6" s="85">
        <f>C34</f>
        <v>261849.6100000001</v>
      </c>
      <c r="E6" s="85">
        <f>D34</f>
        <v>261849.6100000001</v>
      </c>
    </row>
    <row r="7" spans="1:5" s="7" customFormat="1" ht="15.75">
      <c r="A7" s="316" t="s">
        <v>529</v>
      </c>
      <c r="B7" s="317"/>
      <c r="C7" s="305"/>
      <c r="D7" s="40"/>
      <c r="E7" s="40"/>
    </row>
    <row r="8" spans="1:5" ht="15.75">
      <c r="A8" s="301" t="s">
        <v>129</v>
      </c>
      <c r="B8" s="318"/>
      <c r="C8" s="313">
        <v>1142439.78</v>
      </c>
      <c r="D8" s="9">
        <v>1180066.1</v>
      </c>
      <c r="E8" s="9">
        <v>1177332.46</v>
      </c>
    </row>
    <row r="9" spans="1:5" ht="15.75">
      <c r="A9" s="301"/>
      <c r="B9" s="318"/>
      <c r="C9" s="313"/>
      <c r="D9" s="9"/>
      <c r="E9" s="9"/>
    </row>
    <row r="10" spans="1:5" ht="15.75">
      <c r="A10" s="301"/>
      <c r="B10" s="318"/>
      <c r="C10" s="313"/>
      <c r="D10" s="9"/>
      <c r="E10" s="9"/>
    </row>
    <row r="11" spans="1:5" ht="15.75">
      <c r="A11" s="301"/>
      <c r="B11" s="318"/>
      <c r="C11" s="313"/>
      <c r="D11" s="9"/>
      <c r="E11" s="9"/>
    </row>
    <row r="12" spans="1:5" ht="15.75">
      <c r="A12" s="301"/>
      <c r="B12" s="318"/>
      <c r="C12" s="313"/>
      <c r="D12" s="9"/>
      <c r="E12" s="9"/>
    </row>
    <row r="13" spans="1:5" ht="15.75">
      <c r="A13" s="301"/>
      <c r="B13" s="318"/>
      <c r="C13" s="313"/>
      <c r="D13" s="9"/>
      <c r="E13" s="9"/>
    </row>
    <row r="14" spans="1:5" ht="15.75">
      <c r="A14" s="312" t="s">
        <v>396</v>
      </c>
      <c r="B14" s="318"/>
      <c r="C14" s="313"/>
      <c r="D14" s="9"/>
      <c r="E14" s="9"/>
    </row>
    <row r="15" spans="1:5" ht="15.75">
      <c r="A15" s="321" t="s">
        <v>703</v>
      </c>
      <c r="B15" s="317"/>
      <c r="C15" s="313"/>
      <c r="D15" s="313"/>
      <c r="E15" s="313"/>
    </row>
    <row r="16" spans="1:5" ht="15.75">
      <c r="A16" s="311" t="s">
        <v>705</v>
      </c>
      <c r="B16" s="317"/>
      <c r="C16" s="355">
        <f>IF(C17*0.1&lt;C15,"Exceed 10% Rule","")</f>
      </c>
      <c r="D16" s="355">
        <f>IF(D17*0.1&lt;D15,"Exceed 10% Rule","")</f>
      </c>
      <c r="E16" s="355">
        <f>IF(E17*0.1&lt;E15,"Exceed 10% Rule","")</f>
      </c>
    </row>
    <row r="17" spans="1:5" ht="15.75">
      <c r="A17" s="151" t="s">
        <v>397</v>
      </c>
      <c r="B17" s="317"/>
      <c r="C17" s="314">
        <f>SUM(C8:C15)</f>
        <v>1142439.78</v>
      </c>
      <c r="D17" s="263">
        <f>SUM(D8:D15)</f>
        <v>1180066.1</v>
      </c>
      <c r="E17" s="263">
        <f>SUM(E8:E15)</f>
        <v>1177332.46</v>
      </c>
    </row>
    <row r="18" spans="1:5" ht="15.75">
      <c r="A18" s="151" t="s">
        <v>398</v>
      </c>
      <c r="B18" s="317"/>
      <c r="C18" s="314">
        <f>C6+C17</f>
        <v>1404289.3900000001</v>
      </c>
      <c r="D18" s="263">
        <f>D6+D17</f>
        <v>1441915.7100000002</v>
      </c>
      <c r="E18" s="263">
        <f>E6+E17</f>
        <v>1439182.07</v>
      </c>
    </row>
    <row r="19" spans="1:5" ht="15.75">
      <c r="A19" s="37" t="s">
        <v>400</v>
      </c>
      <c r="B19" s="317"/>
      <c r="C19" s="119"/>
      <c r="D19" s="85"/>
      <c r="E19" s="85"/>
    </row>
    <row r="20" spans="1:5" ht="15.75">
      <c r="A20" s="301" t="s">
        <v>97</v>
      </c>
      <c r="B20" s="318"/>
      <c r="C20" s="313">
        <f>108243.55+246577.5</f>
        <v>354821.05</v>
      </c>
      <c r="D20" s="9">
        <f>116341.68+226172.4</f>
        <v>342514.07999999996</v>
      </c>
      <c r="E20" s="9">
        <f>112856.71+205127.77</f>
        <v>317984.48</v>
      </c>
    </row>
    <row r="21" spans="1:5" ht="15.75">
      <c r="A21" s="301" t="s">
        <v>96</v>
      </c>
      <c r="B21" s="318"/>
      <c r="C21" s="313">
        <f>136568.35+651050.38</f>
        <v>787618.73</v>
      </c>
      <c r="D21" s="9">
        <f>166096.53+671455.49</f>
        <v>837552.02</v>
      </c>
      <c r="E21" s="9">
        <f>166447.87+692500.11</f>
        <v>858947.98</v>
      </c>
    </row>
    <row r="22" spans="1:5" ht="15.75">
      <c r="A22" s="301" t="s">
        <v>445</v>
      </c>
      <c r="B22" s="318"/>
      <c r="C22" s="313">
        <v>0</v>
      </c>
      <c r="D22" s="9">
        <v>0</v>
      </c>
      <c r="E22" s="9">
        <f>200+200</f>
        <v>400</v>
      </c>
    </row>
    <row r="23" spans="1:5" ht="15.75">
      <c r="A23" s="301"/>
      <c r="B23" s="318"/>
      <c r="C23" s="313"/>
      <c r="D23" s="9"/>
      <c r="E23" s="9"/>
    </row>
    <row r="24" spans="1:5" ht="15.75">
      <c r="A24" s="301"/>
      <c r="B24" s="318"/>
      <c r="C24" s="313"/>
      <c r="D24" s="9"/>
      <c r="E24" s="9"/>
    </row>
    <row r="25" spans="1:5" ht="15.75">
      <c r="A25" s="301"/>
      <c r="B25" s="318"/>
      <c r="C25" s="313"/>
      <c r="D25" s="9"/>
      <c r="E25" s="9"/>
    </row>
    <row r="26" spans="1:5" ht="15.75">
      <c r="A26" s="301"/>
      <c r="B26" s="318"/>
      <c r="C26" s="313"/>
      <c r="D26" s="9"/>
      <c r="E26" s="9"/>
    </row>
    <row r="27" spans="1:5" ht="15.75">
      <c r="A27" s="301"/>
      <c r="B27" s="318"/>
      <c r="C27" s="313"/>
      <c r="D27" s="9"/>
      <c r="E27" s="9"/>
    </row>
    <row r="28" spans="1:5" ht="15.75">
      <c r="A28" s="301"/>
      <c r="B28" s="318"/>
      <c r="C28" s="313"/>
      <c r="D28" s="9"/>
      <c r="E28" s="9"/>
    </row>
    <row r="29" spans="1:5" ht="15.75">
      <c r="A29" s="301"/>
      <c r="B29" s="318"/>
      <c r="C29" s="313"/>
      <c r="D29" s="9"/>
      <c r="E29" s="9"/>
    </row>
    <row r="30" spans="1:5" ht="15.75">
      <c r="A30" s="301"/>
      <c r="B30" s="318"/>
      <c r="C30" s="313"/>
      <c r="D30" s="9"/>
      <c r="E30" s="9"/>
    </row>
    <row r="31" spans="1:5" ht="15.75">
      <c r="A31" s="319" t="s">
        <v>703</v>
      </c>
      <c r="B31" s="317"/>
      <c r="C31" s="313"/>
      <c r="D31" s="313"/>
      <c r="E31" s="313"/>
    </row>
    <row r="32" spans="1:5" ht="15.75">
      <c r="A32" s="319" t="s">
        <v>704</v>
      </c>
      <c r="B32" s="317"/>
      <c r="C32" s="355">
        <f>IF(C33*0.1&lt;C31,"Exceed 10% Rule","")</f>
      </c>
      <c r="D32" s="355">
        <f>IF(D33*0.1&lt;D31,"Exceed 10% Rule","")</f>
      </c>
      <c r="E32" s="355">
        <f>IF(E33*0.1&lt;E31,"Exceed 10% Rule","")</f>
      </c>
    </row>
    <row r="33" spans="1:5" ht="15.75">
      <c r="A33" s="151" t="s">
        <v>404</v>
      </c>
      <c r="B33" s="317"/>
      <c r="C33" s="314">
        <f>SUM(C20:C31)</f>
        <v>1142439.78</v>
      </c>
      <c r="D33" s="263">
        <f>SUM(D20:D31)</f>
        <v>1180066.1</v>
      </c>
      <c r="E33" s="263">
        <f>SUM(E20:E31)</f>
        <v>1177332.46</v>
      </c>
    </row>
    <row r="34" spans="1:5" ht="15.75">
      <c r="A34" s="37" t="s">
        <v>528</v>
      </c>
      <c r="B34" s="317"/>
      <c r="C34" s="315">
        <f>C18-C33</f>
        <v>261849.6100000001</v>
      </c>
      <c r="D34" s="262">
        <f>D18-D33</f>
        <v>261849.6100000001</v>
      </c>
      <c r="E34" s="262">
        <f>E18-E33</f>
        <v>261849.6100000001</v>
      </c>
    </row>
    <row r="35" spans="1:5" ht="15.75">
      <c r="A35" s="23" t="str">
        <f>CONCATENATE("",E1-2," Budget Authority Limited Amount:")</f>
        <v>2010 Budget Authority Limited Amount:</v>
      </c>
      <c r="B35" s="338">
        <f>inputOth!B81</f>
        <v>1185606</v>
      </c>
      <c r="C35" s="65"/>
      <c r="D35" s="65"/>
      <c r="E35" s="65"/>
    </row>
    <row r="36" spans="1:5" ht="15.75">
      <c r="A36" s="23" t="str">
        <f>CONCATENATE("Violation of Budget Law for ",E1-2,":")</f>
        <v>Violation of Budget Law for 2010:</v>
      </c>
      <c r="B36" s="339">
        <f>IF(C33&gt;B35,"Yes","")</f>
      </c>
      <c r="C36" s="65"/>
      <c r="D36" s="65"/>
      <c r="E36" s="65"/>
    </row>
    <row r="37" spans="1:5" ht="15.75">
      <c r="A37" s="23" t="str">
        <f>CONCATENATE("Possible Cash Violation for ",E1-2,":")</f>
        <v>Possible Cash Violation for 2010:</v>
      </c>
      <c r="B37" s="339">
        <f>IF(C34&lt;0,"Yes","")</f>
      </c>
      <c r="C37" s="65"/>
      <c r="D37" s="65"/>
      <c r="E37" s="65"/>
    </row>
    <row r="38" spans="1:5" ht="15.75">
      <c r="A38" s="21"/>
      <c r="B38" s="21"/>
      <c r="C38" s="65"/>
      <c r="D38" s="65"/>
      <c r="E38" s="65"/>
    </row>
    <row r="39" spans="1:5" ht="15.75">
      <c r="A39" s="25" t="s">
        <v>391</v>
      </c>
      <c r="B39" s="25"/>
      <c r="C39" s="102"/>
      <c r="D39" s="102"/>
      <c r="E39" s="102"/>
    </row>
    <row r="40" spans="1:5" ht="15.75">
      <c r="A40" s="21"/>
      <c r="B40" s="21"/>
      <c r="C40" s="93" t="s">
        <v>412</v>
      </c>
      <c r="D40" s="33" t="s">
        <v>556</v>
      </c>
      <c r="E40" s="33" t="s">
        <v>557</v>
      </c>
    </row>
    <row r="41" spans="1:5" ht="15.75">
      <c r="A41" s="137"/>
      <c r="B41" s="137"/>
      <c r="C41" s="145">
        <f>C5</f>
        <v>2010</v>
      </c>
      <c r="D41" s="145">
        <f>D5</f>
        <v>2011</v>
      </c>
      <c r="E41" s="145">
        <f>E5</f>
        <v>2012</v>
      </c>
    </row>
    <row r="42" spans="1:5" ht="15.75">
      <c r="A42" s="311" t="s">
        <v>527</v>
      </c>
      <c r="B42" s="317"/>
      <c r="C42" s="313"/>
      <c r="D42" s="85">
        <f>C69</f>
        <v>0</v>
      </c>
      <c r="E42" s="85">
        <f>D69</f>
        <v>0</v>
      </c>
    </row>
    <row r="43" spans="1:5" s="7" customFormat="1" ht="15.75">
      <c r="A43" s="316" t="s">
        <v>529</v>
      </c>
      <c r="B43" s="317"/>
      <c r="C43" s="305"/>
      <c r="D43" s="40"/>
      <c r="E43" s="40"/>
    </row>
    <row r="44" spans="1:5" ht="15.75">
      <c r="A44" s="301"/>
      <c r="B44" s="318"/>
      <c r="C44" s="313"/>
      <c r="D44" s="9"/>
      <c r="E44" s="9"/>
    </row>
    <row r="45" spans="1:5" ht="15.75">
      <c r="A45" s="301"/>
      <c r="B45" s="318"/>
      <c r="C45" s="313"/>
      <c r="D45" s="9"/>
      <c r="E45" s="9"/>
    </row>
    <row r="46" spans="1:5" ht="15.75">
      <c r="A46" s="301"/>
      <c r="B46" s="318"/>
      <c r="C46" s="313"/>
      <c r="D46" s="9"/>
      <c r="E46" s="9"/>
    </row>
    <row r="47" spans="1:5" ht="15.75">
      <c r="A47" s="301"/>
      <c r="B47" s="318"/>
      <c r="C47" s="313"/>
      <c r="D47" s="9"/>
      <c r="E47" s="9"/>
    </row>
    <row r="48" spans="1:5" ht="15.75">
      <c r="A48" s="301"/>
      <c r="B48" s="318"/>
      <c r="C48" s="313"/>
      <c r="D48" s="9"/>
      <c r="E48" s="9"/>
    </row>
    <row r="49" spans="1:5" ht="15.75">
      <c r="A49" s="301"/>
      <c r="B49" s="318"/>
      <c r="C49" s="313"/>
      <c r="D49" s="9"/>
      <c r="E49" s="9"/>
    </row>
    <row r="50" spans="1:5" ht="15.75">
      <c r="A50" s="312" t="s">
        <v>396</v>
      </c>
      <c r="B50" s="318"/>
      <c r="C50" s="313"/>
      <c r="D50" s="9"/>
      <c r="E50" s="9"/>
    </row>
    <row r="51" spans="1:5" ht="15.75">
      <c r="A51" s="321" t="s">
        <v>703</v>
      </c>
      <c r="B51" s="317"/>
      <c r="C51" s="313"/>
      <c r="D51" s="313"/>
      <c r="E51" s="313"/>
    </row>
    <row r="52" spans="1:5" ht="15.75">
      <c r="A52" s="311" t="s">
        <v>705</v>
      </c>
      <c r="B52" s="317"/>
      <c r="C52" s="355">
        <f>IF(C53*0.1&lt;C51,"Exceed 10% Rule","")</f>
      </c>
      <c r="D52" s="355">
        <f>IF(D53*0.1&lt;D51,"Exceed 10% Rule","")</f>
      </c>
      <c r="E52" s="355">
        <f>IF(E53*0.1&lt;E51,"Exceed 10% Rule","")</f>
      </c>
    </row>
    <row r="53" spans="1:5" ht="15.75">
      <c r="A53" s="151" t="s">
        <v>397</v>
      </c>
      <c r="B53" s="317"/>
      <c r="C53" s="314">
        <f>SUM(C44:C51)</f>
        <v>0</v>
      </c>
      <c r="D53" s="263">
        <f>SUM(D44:D51)</f>
        <v>0</v>
      </c>
      <c r="E53" s="263">
        <f>SUM(E44:E51)</f>
        <v>0</v>
      </c>
    </row>
    <row r="54" spans="1:5" ht="15.75">
      <c r="A54" s="151" t="s">
        <v>398</v>
      </c>
      <c r="B54" s="317"/>
      <c r="C54" s="314">
        <f>C42+C53</f>
        <v>0</v>
      </c>
      <c r="D54" s="263">
        <f>D42+D53</f>
        <v>0</v>
      </c>
      <c r="E54" s="263">
        <f>E42+E53</f>
        <v>0</v>
      </c>
    </row>
    <row r="55" spans="1:5" ht="15.75">
      <c r="A55" s="37" t="s">
        <v>400</v>
      </c>
      <c r="B55" s="317"/>
      <c r="C55" s="119"/>
      <c r="D55" s="85"/>
      <c r="E55" s="85"/>
    </row>
    <row r="56" spans="1:5" ht="15.75">
      <c r="A56" s="301"/>
      <c r="B56" s="318"/>
      <c r="C56" s="313"/>
      <c r="D56" s="9"/>
      <c r="E56" s="9"/>
    </row>
    <row r="57" spans="1:5" ht="15.75">
      <c r="A57" s="301"/>
      <c r="B57" s="318"/>
      <c r="C57" s="313"/>
      <c r="D57" s="9"/>
      <c r="E57" s="9"/>
    </row>
    <row r="58" spans="1:5" ht="15.75">
      <c r="A58" s="301"/>
      <c r="B58" s="318"/>
      <c r="C58" s="313"/>
      <c r="D58" s="9"/>
      <c r="E58" s="9"/>
    </row>
    <row r="59" spans="1:5" ht="15.75">
      <c r="A59" s="301"/>
      <c r="B59" s="318"/>
      <c r="C59" s="313"/>
      <c r="D59" s="9"/>
      <c r="E59" s="9"/>
    </row>
    <row r="60" spans="1:5" ht="15.75">
      <c r="A60" s="301"/>
      <c r="B60" s="318"/>
      <c r="C60" s="313"/>
      <c r="D60" s="9"/>
      <c r="E60" s="9"/>
    </row>
    <row r="61" spans="1:5" ht="15.75">
      <c r="A61" s="301"/>
      <c r="B61" s="318"/>
      <c r="C61" s="313"/>
      <c r="D61" s="9"/>
      <c r="E61" s="9"/>
    </row>
    <row r="62" spans="1:5" ht="15.75">
      <c r="A62" s="301"/>
      <c r="B62" s="318"/>
      <c r="C62" s="313"/>
      <c r="D62" s="9"/>
      <c r="E62" s="9"/>
    </row>
    <row r="63" spans="1:5" ht="15.75">
      <c r="A63" s="301"/>
      <c r="B63" s="318"/>
      <c r="C63" s="313"/>
      <c r="D63" s="9"/>
      <c r="E63" s="9"/>
    </row>
    <row r="64" spans="1:5" ht="15.75">
      <c r="A64" s="301"/>
      <c r="B64" s="318"/>
      <c r="C64" s="313"/>
      <c r="D64" s="9"/>
      <c r="E64" s="9"/>
    </row>
    <row r="65" spans="1:5" ht="15.75">
      <c r="A65" s="301"/>
      <c r="B65" s="318"/>
      <c r="C65" s="313"/>
      <c r="D65" s="9"/>
      <c r="E65" s="9"/>
    </row>
    <row r="66" spans="1:5" ht="15.75">
      <c r="A66" s="319" t="s">
        <v>703</v>
      </c>
      <c r="B66" s="317"/>
      <c r="C66" s="313"/>
      <c r="D66" s="313"/>
      <c r="E66" s="313"/>
    </row>
    <row r="67" spans="1:5" ht="15.75">
      <c r="A67" s="319" t="s">
        <v>704</v>
      </c>
      <c r="B67" s="317"/>
      <c r="C67" s="355">
        <f>IF(C68*0.1&lt;C66,"Exceed 10% Rule","")</f>
      </c>
      <c r="D67" s="355">
        <f>IF(D68*0.1&lt;D66,"Exceed 10% Rule","")</f>
      </c>
      <c r="E67" s="355">
        <f>IF(E68*0.1&lt;E66,"Exceed 10% Rule","")</f>
      </c>
    </row>
    <row r="68" spans="1:5" ht="15.75">
      <c r="A68" s="151" t="s">
        <v>404</v>
      </c>
      <c r="B68" s="317"/>
      <c r="C68" s="314">
        <f>SUM(C56:C66)</f>
        <v>0</v>
      </c>
      <c r="D68" s="263">
        <f>SUM(D56:D66)</f>
        <v>0</v>
      </c>
      <c r="E68" s="263">
        <f>SUM(E56:E66)</f>
        <v>0</v>
      </c>
    </row>
    <row r="69" spans="1:5" ht="15.75">
      <c r="A69" s="37" t="s">
        <v>528</v>
      </c>
      <c r="B69" s="317"/>
      <c r="C69" s="315">
        <f>C54-C68</f>
        <v>0</v>
      </c>
      <c r="D69" s="262">
        <f>D54-D68</f>
        <v>0</v>
      </c>
      <c r="E69" s="262">
        <f>E54-E68</f>
        <v>0</v>
      </c>
    </row>
    <row r="70" spans="1:5" ht="15.75">
      <c r="A70" s="23" t="str">
        <f>CONCATENATE("",E1-2," Budget Authority Limited Amount:")</f>
        <v>2010 Budget Authority Limited Amount:</v>
      </c>
      <c r="B70" s="338"/>
      <c r="C70" s="21"/>
      <c r="D70" s="21"/>
      <c r="E70" s="21"/>
    </row>
    <row r="71" spans="1:5" ht="15.75">
      <c r="A71" s="23" t="str">
        <f>CONCATENATE("Violation of Budget Law for ",E1-2,":")</f>
        <v>Violation of Budget Law for 2010:</v>
      </c>
      <c r="B71" s="339">
        <f>IF(C68&gt;B70,"Yes","")</f>
      </c>
      <c r="C71" s="21"/>
      <c r="D71" s="21"/>
      <c r="E71" s="21"/>
    </row>
    <row r="72" spans="1:5" ht="15.75">
      <c r="A72" s="23" t="str">
        <f>CONCATENATE("Possible Cash Violation for ",E1-2,":")</f>
        <v>Possible Cash Violation for 2010:</v>
      </c>
      <c r="B72" s="339">
        <f>IF(C69&lt;0,"Yes","")</f>
      </c>
      <c r="C72" s="21"/>
      <c r="D72" s="21"/>
      <c r="E72" s="21"/>
    </row>
    <row r="73" spans="1:5" ht="15.75">
      <c r="A73" s="21"/>
      <c r="B73" s="21"/>
      <c r="C73" s="21"/>
      <c r="D73" s="21"/>
      <c r="E73" s="21"/>
    </row>
    <row r="74" spans="1:5" ht="15.75">
      <c r="A74" s="24"/>
      <c r="B74" s="24" t="s">
        <v>408</v>
      </c>
      <c r="C74" s="100">
        <v>19</v>
      </c>
      <c r="D74" s="21"/>
      <c r="E74" s="21"/>
    </row>
  </sheetData>
  <sheetProtection/>
  <conditionalFormatting sqref="C66">
    <cfRule type="cellIs" priority="1" dxfId="157" operator="greaterThan" stopIfTrue="1">
      <formula>$C$68*0.1</formula>
    </cfRule>
  </conditionalFormatting>
  <conditionalFormatting sqref="D66">
    <cfRule type="cellIs" priority="2" dxfId="157" operator="greaterThan" stopIfTrue="1">
      <formula>$D$68*0.1</formula>
    </cfRule>
  </conditionalFormatting>
  <conditionalFormatting sqref="E66">
    <cfRule type="cellIs" priority="3" dxfId="157" operator="greaterThan" stopIfTrue="1">
      <formula>$E$68*0.1</formula>
    </cfRule>
  </conditionalFormatting>
  <conditionalFormatting sqref="C15">
    <cfRule type="cellIs" priority="4" dxfId="157" operator="greaterThan" stopIfTrue="1">
      <formula>$C$17*0.1</formula>
    </cfRule>
  </conditionalFormatting>
  <conditionalFormatting sqref="D15">
    <cfRule type="cellIs" priority="5" dxfId="157" operator="greaterThan" stopIfTrue="1">
      <formula>$D$17*0.1</formula>
    </cfRule>
  </conditionalFormatting>
  <conditionalFormatting sqref="E15">
    <cfRule type="cellIs" priority="6" dxfId="157" operator="greaterThan" stopIfTrue="1">
      <formula>$E$17*0.1</formula>
    </cfRule>
  </conditionalFormatting>
  <conditionalFormatting sqref="C31">
    <cfRule type="cellIs" priority="7" dxfId="157" operator="greaterThan" stopIfTrue="1">
      <formula>$C$33*0.1</formula>
    </cfRule>
  </conditionalFormatting>
  <conditionalFormatting sqref="D31">
    <cfRule type="cellIs" priority="8" dxfId="157" operator="greaterThan" stopIfTrue="1">
      <formula>$D$33*0.1</formula>
    </cfRule>
  </conditionalFormatting>
  <conditionalFormatting sqref="E31">
    <cfRule type="cellIs" priority="9" dxfId="157" operator="greaterThan" stopIfTrue="1">
      <formula>$E$33*0.1</formula>
    </cfRule>
  </conditionalFormatting>
  <conditionalFormatting sqref="C51">
    <cfRule type="cellIs" priority="10" dxfId="157" operator="greaterThan" stopIfTrue="1">
      <formula>$C$53*0.1</formula>
    </cfRule>
  </conditionalFormatting>
  <conditionalFormatting sqref="D51">
    <cfRule type="cellIs" priority="11" dxfId="157" operator="greaterThan" stopIfTrue="1">
      <formula>$D$53*0.1</formula>
    </cfRule>
  </conditionalFormatting>
  <conditionalFormatting sqref="E51">
    <cfRule type="cellIs" priority="12" dxfId="157" operator="greaterThan" stopIfTrue="1">
      <formula>$E$53*0.1</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Coffeyville</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89"/>
  <sheetViews>
    <sheetView view="pageBreakPreview" zoomScaleSheetLayoutView="100" zoomScalePageLayoutView="0" workbookViewId="0" topLeftCell="A1">
      <selection activeCell="E6" sqref="E6"/>
    </sheetView>
  </sheetViews>
  <sheetFormatPr defaultColWidth="8.796875" defaultRowHeight="15"/>
  <cols>
    <col min="1" max="1" width="15.796875" style="0" customWidth="1"/>
    <col min="2" max="2" width="20.796875" style="0" customWidth="1"/>
    <col min="3" max="3" width="9.796875" style="0" customWidth="1"/>
    <col min="4" max="4" width="15.09765625" style="0" customWidth="1"/>
    <col min="5" max="5" width="15.796875" style="0" customWidth="1"/>
    <col min="6" max="6" width="11" style="0" bestFit="1" customWidth="1"/>
    <col min="7" max="7" width="9" style="0" bestFit="1" customWidth="1"/>
  </cols>
  <sheetData>
    <row r="1" spans="1:5" ht="15">
      <c r="A1" s="167" t="str">
        <f>inputPrYr!$D$2</f>
        <v>City of Coffeyville</v>
      </c>
      <c r="B1" s="168"/>
      <c r="C1" s="168"/>
      <c r="D1" s="168"/>
      <c r="E1" s="168">
        <f>inputPrYr!C5</f>
        <v>2012</v>
      </c>
    </row>
    <row r="2" spans="1:5" ht="15">
      <c r="A2" s="168"/>
      <c r="B2" s="168"/>
      <c r="C2" s="168"/>
      <c r="D2" s="168"/>
      <c r="E2" s="168"/>
    </row>
    <row r="3" spans="1:5" ht="15">
      <c r="A3" s="433" t="s">
        <v>651</v>
      </c>
      <c r="B3" s="434"/>
      <c r="C3" s="434"/>
      <c r="D3" s="434"/>
      <c r="E3" s="434"/>
    </row>
    <row r="4" spans="1:5" ht="15">
      <c r="A4" s="168"/>
      <c r="B4" s="168"/>
      <c r="C4" s="168"/>
      <c r="D4" s="168"/>
      <c r="E4" s="168"/>
    </row>
    <row r="5" spans="1:5" ht="15.75">
      <c r="A5" s="123" t="str">
        <f>CONCATENATE("From the County Clerks ",E1," Budget Information:")</f>
        <v>From the County Clerks 2012 Budget Information:</v>
      </c>
      <c r="B5" s="124"/>
      <c r="C5" s="21"/>
      <c r="D5" s="21"/>
      <c r="E5" s="65"/>
    </row>
    <row r="6" spans="1:5" ht="15.75">
      <c r="A6" s="112" t="str">
        <f>CONCATENATE("Total Assessed Valuation for ",E1-1,"")</f>
        <v>Total Assessed Valuation for 2011</v>
      </c>
      <c r="B6" s="115"/>
      <c r="C6" s="115"/>
      <c r="D6" s="115"/>
      <c r="E6" s="9">
        <v>106134873</v>
      </c>
    </row>
    <row r="7" spans="1:5" ht="15.75">
      <c r="A7" s="112" t="str">
        <f>CONCATENATE("New Improvements for ",E1-1,"")</f>
        <v>New Improvements for 2011</v>
      </c>
      <c r="B7" s="115"/>
      <c r="C7" s="115"/>
      <c r="D7" s="115"/>
      <c r="E7" s="18">
        <v>535302</v>
      </c>
    </row>
    <row r="8" spans="1:5" ht="15.75">
      <c r="A8" s="112" t="str">
        <f>CONCATENATE("Personal Property excluding oil, gas, mobile homes - ",E1-1,"")</f>
        <v>Personal Property excluding oil, gas, mobile homes - 2011</v>
      </c>
      <c r="B8" s="115"/>
      <c r="C8" s="115"/>
      <c r="D8" s="115"/>
      <c r="E8" s="18">
        <v>2201386</v>
      </c>
    </row>
    <row r="9" spans="1:5" ht="15.75">
      <c r="A9" s="113" t="s">
        <v>569</v>
      </c>
      <c r="B9" s="115"/>
      <c r="C9" s="115"/>
      <c r="D9" s="115"/>
      <c r="E9" s="40"/>
    </row>
    <row r="10" spans="1:5" ht="15.75">
      <c r="A10" s="112" t="s">
        <v>520</v>
      </c>
      <c r="B10" s="115"/>
      <c r="C10" s="115"/>
      <c r="D10" s="115"/>
      <c r="E10" s="18">
        <v>0</v>
      </c>
    </row>
    <row r="11" spans="1:5" ht="15.75">
      <c r="A11" s="112" t="s">
        <v>521</v>
      </c>
      <c r="B11" s="115"/>
      <c r="C11" s="115"/>
      <c r="D11" s="115"/>
      <c r="E11" s="18">
        <v>0</v>
      </c>
    </row>
    <row r="12" spans="1:5" ht="15.75">
      <c r="A12" s="112" t="s">
        <v>522</v>
      </c>
      <c r="B12" s="115"/>
      <c r="C12" s="115"/>
      <c r="D12" s="115"/>
      <c r="E12" s="18">
        <v>0</v>
      </c>
    </row>
    <row r="13" spans="1:5" ht="15.75">
      <c r="A13" s="112" t="str">
        <f>CONCATENATE("Property that has changed in use for ",E1-1,"")</f>
        <v>Property that has changed in use for 2011</v>
      </c>
      <c r="B13" s="115"/>
      <c r="C13" s="115"/>
      <c r="D13" s="115"/>
      <c r="E13" s="18">
        <v>0</v>
      </c>
    </row>
    <row r="14" spans="1:5" ht="15.75">
      <c r="A14" s="112" t="str">
        <f>CONCATENATE("Personal Property  excluding oil, gas, mobile homes- ",E1-2,"")</f>
        <v>Personal Property  excluding oil, gas, mobile homes- 2010</v>
      </c>
      <c r="B14" s="115"/>
      <c r="C14" s="115"/>
      <c r="D14" s="115"/>
      <c r="E14" s="18">
        <v>3077192</v>
      </c>
    </row>
    <row r="15" spans="1:5" ht="15.75">
      <c r="A15" s="112" t="str">
        <f>CONCATENATE("Gross earnings (intangible) tax estimate for ",E1,"")</f>
        <v>Gross earnings (intangible) tax estimate for 2012</v>
      </c>
      <c r="B15" s="115"/>
      <c r="C15" s="115"/>
      <c r="D15" s="38"/>
      <c r="E15" s="9">
        <v>0</v>
      </c>
    </row>
    <row r="16" spans="1:5" ht="15.75">
      <c r="A16" s="112" t="s">
        <v>570</v>
      </c>
      <c r="B16" s="115"/>
      <c r="C16" s="115"/>
      <c r="D16" s="115"/>
      <c r="E16" s="17">
        <v>0</v>
      </c>
    </row>
    <row r="17" spans="1:5" ht="15.75">
      <c r="A17" s="130"/>
      <c r="B17" s="106"/>
      <c r="C17" s="106"/>
      <c r="D17" s="106"/>
      <c r="E17" s="169"/>
    </row>
    <row r="18" spans="1:5" ht="15.75">
      <c r="A18" s="130" t="str">
        <f>CONCATENATE("Actual Tax Rates for the ",E1-1," Budget:")</f>
        <v>Actual Tax Rates for the 2011 Budget:</v>
      </c>
      <c r="B18" s="106"/>
      <c r="C18" s="106"/>
      <c r="D18" s="106"/>
      <c r="E18" s="169"/>
    </row>
    <row r="19" spans="1:5" ht="15.75">
      <c r="A19" s="439" t="s">
        <v>377</v>
      </c>
      <c r="B19" s="440"/>
      <c r="C19" s="168"/>
      <c r="D19" s="170" t="s">
        <v>432</v>
      </c>
      <c r="E19" s="169"/>
    </row>
    <row r="20" spans="1:5" ht="15.75">
      <c r="A20" s="111" t="s">
        <v>361</v>
      </c>
      <c r="B20" s="20"/>
      <c r="C20" s="106"/>
      <c r="D20" s="293">
        <v>36.471</v>
      </c>
      <c r="E20" s="169"/>
    </row>
    <row r="21" spans="1:5" ht="15.75">
      <c r="A21" s="112" t="s">
        <v>571</v>
      </c>
      <c r="B21" s="115"/>
      <c r="C21" s="106"/>
      <c r="D21" s="294">
        <v>0</v>
      </c>
      <c r="E21" s="169"/>
    </row>
    <row r="22" spans="1:5" ht="15.75">
      <c r="A22" s="112" t="str">
        <f>IF(inputPrYr!B19&gt;" ",(inputPrYr!B19)," ")</f>
        <v>Library</v>
      </c>
      <c r="B22" s="115"/>
      <c r="C22" s="106"/>
      <c r="D22" s="294">
        <v>3.085</v>
      </c>
      <c r="E22" s="169"/>
    </row>
    <row r="23" spans="1:5" ht="15.75">
      <c r="A23" s="112" t="str">
        <f>IF(inputPrYr!B20&gt;" ",(inputPrYr!B20)," ")</f>
        <v>Employee Benefits</v>
      </c>
      <c r="B23" s="115"/>
      <c r="C23" s="106"/>
      <c r="D23" s="294">
        <v>0</v>
      </c>
      <c r="E23" s="169"/>
    </row>
    <row r="24" spans="1:5" ht="15.75">
      <c r="A24" s="112" t="str">
        <f>IF(inputPrYr!B21&gt;" ",(inputPrYr!B21)," ")</f>
        <v> </v>
      </c>
      <c r="B24" s="115"/>
      <c r="C24" s="106"/>
      <c r="D24" s="294"/>
      <c r="E24" s="169"/>
    </row>
    <row r="25" spans="1:5" ht="15.75">
      <c r="A25" s="112" t="str">
        <f>IF(inputPrYr!B22&gt;" ",(inputPrYr!B22)," ")</f>
        <v> </v>
      </c>
      <c r="B25" s="208"/>
      <c r="C25" s="106"/>
      <c r="D25" s="295"/>
      <c r="E25" s="169"/>
    </row>
    <row r="26" spans="1:5" ht="15.75">
      <c r="A26" s="112" t="str">
        <f>IF(inputPrYr!B23&gt;" ",(inputPrYr!B23)," ")</f>
        <v> </v>
      </c>
      <c r="B26" s="208"/>
      <c r="C26" s="106"/>
      <c r="D26" s="295"/>
      <c r="E26" s="169"/>
    </row>
    <row r="27" spans="1:5" ht="15.75">
      <c r="A27" s="112" t="str">
        <f>IF(inputPrYr!B24&gt;" ",(inputPrYr!B24)," ")</f>
        <v> </v>
      </c>
      <c r="B27" s="208"/>
      <c r="C27" s="106"/>
      <c r="D27" s="295"/>
      <c r="E27" s="169"/>
    </row>
    <row r="28" spans="1:5" ht="15.75">
      <c r="A28" s="112" t="str">
        <f>IF(inputPrYr!B25&gt;" ",(inputPrYr!B25)," ")</f>
        <v> </v>
      </c>
      <c r="B28" s="208"/>
      <c r="C28" s="106"/>
      <c r="D28" s="295"/>
      <c r="E28" s="169"/>
    </row>
    <row r="29" spans="1:5" ht="15.75">
      <c r="A29" s="112" t="str">
        <f>IF(inputPrYr!B26&gt;" ",(inputPrYr!B26)," ")</f>
        <v> </v>
      </c>
      <c r="B29" s="208"/>
      <c r="C29" s="106"/>
      <c r="D29" s="295"/>
      <c r="E29" s="169"/>
    </row>
    <row r="30" spans="1:5" ht="15.75">
      <c r="A30" s="112" t="str">
        <f>IF(inputPrYr!B27&gt;" ",(inputPrYr!B27)," ")</f>
        <v> </v>
      </c>
      <c r="B30" s="208"/>
      <c r="C30" s="106"/>
      <c r="D30" s="295"/>
      <c r="E30" s="169"/>
    </row>
    <row r="31" spans="1:5" ht="15.75">
      <c r="A31" s="112" t="str">
        <f>IF(inputPrYr!B28&gt;" ",(inputPrYr!B28)," ")</f>
        <v> </v>
      </c>
      <c r="B31" s="208"/>
      <c r="C31" s="106"/>
      <c r="D31" s="295"/>
      <c r="E31" s="169"/>
    </row>
    <row r="32" spans="1:5" ht="15.75">
      <c r="A32" s="114"/>
      <c r="B32" s="42" t="s">
        <v>363</v>
      </c>
      <c r="C32" s="171"/>
      <c r="D32" s="131">
        <f>SUM(D20:D31)</f>
        <v>39.556</v>
      </c>
      <c r="E32" s="114"/>
    </row>
    <row r="33" spans="1:5" ht="15">
      <c r="A33" s="114"/>
      <c r="B33" s="114"/>
      <c r="C33" s="114"/>
      <c r="D33" s="114"/>
      <c r="E33" s="114"/>
    </row>
    <row r="34" spans="1:5" ht="15.75">
      <c r="A34" s="20" t="str">
        <f>CONCATENATE("Final Assessed Valuation from the November 1, ",E1-2," Abstract")</f>
        <v>Final Assessed Valuation from the November 1, 2010 Abstract</v>
      </c>
      <c r="B34" s="172"/>
      <c r="C34" s="172"/>
      <c r="D34" s="172"/>
      <c r="E34" s="17">
        <v>107095234</v>
      </c>
    </row>
    <row r="35" spans="1:5" ht="15">
      <c r="A35" s="114"/>
      <c r="B35" s="114"/>
      <c r="C35" s="114"/>
      <c r="D35" s="114"/>
      <c r="E35" s="114"/>
    </row>
    <row r="36" spans="1:5" ht="15.75">
      <c r="A36" s="125" t="str">
        <f>CONCATENATE("From the County Treasurer's Budget Information - ",E1," Budget Year Estimates:")</f>
        <v>From the County Treasurer's Budget Information - 2012 Budget Year Estimates:</v>
      </c>
      <c r="B36" s="126"/>
      <c r="C36" s="126"/>
      <c r="D36" s="127"/>
      <c r="E36" s="65"/>
    </row>
    <row r="37" spans="1:5" ht="15.75">
      <c r="A37" s="111" t="s">
        <v>364</v>
      </c>
      <c r="B37" s="20"/>
      <c r="C37" s="20"/>
      <c r="D37" s="118"/>
      <c r="E37" s="9">
        <v>213229.93</v>
      </c>
    </row>
    <row r="38" spans="1:5" ht="15.75">
      <c r="A38" s="112" t="s">
        <v>365</v>
      </c>
      <c r="B38" s="115"/>
      <c r="C38" s="115"/>
      <c r="D38" s="119"/>
      <c r="E38" s="9">
        <v>1999.89</v>
      </c>
    </row>
    <row r="39" spans="1:5" ht="15.75">
      <c r="A39" s="112" t="s">
        <v>572</v>
      </c>
      <c r="B39" s="115"/>
      <c r="C39" s="115"/>
      <c r="D39" s="119"/>
      <c r="E39" s="9">
        <v>2314.86</v>
      </c>
    </row>
    <row r="40" spans="1:5" ht="15.75">
      <c r="A40" s="112" t="s">
        <v>573</v>
      </c>
      <c r="B40" s="115"/>
      <c r="C40" s="115"/>
      <c r="D40" s="119"/>
      <c r="E40" s="9">
        <v>0</v>
      </c>
    </row>
    <row r="41" spans="1:5" ht="15.75">
      <c r="A41" s="112" t="s">
        <v>574</v>
      </c>
      <c r="B41" s="115"/>
      <c r="C41" s="115"/>
      <c r="D41" s="119"/>
      <c r="E41" s="9">
        <v>0</v>
      </c>
    </row>
    <row r="42" spans="1:5" ht="15.75">
      <c r="A42" s="111" t="s">
        <v>575</v>
      </c>
      <c r="B42" s="20"/>
      <c r="C42" s="20"/>
      <c r="D42" s="118"/>
      <c r="E42" s="9">
        <v>0</v>
      </c>
    </row>
    <row r="43" spans="1:5" ht="15.75">
      <c r="A43" s="21" t="s">
        <v>576</v>
      </c>
      <c r="B43" s="21"/>
      <c r="C43" s="21"/>
      <c r="D43" s="21"/>
      <c r="E43" s="21"/>
    </row>
    <row r="44" spans="1:5" ht="15.75">
      <c r="A44" s="22" t="s">
        <v>385</v>
      </c>
      <c r="B44" s="27"/>
      <c r="C44" s="27"/>
      <c r="D44" s="21"/>
      <c r="E44" s="21"/>
    </row>
    <row r="45" spans="1:5" ht="15.75">
      <c r="A45" s="130" t="str">
        <f>CONCATENATE("Actual Delinquency for ",E1-2," Tax")</f>
        <v>Actual Delinquency for 2010 Tax</v>
      </c>
      <c r="B45" s="106"/>
      <c r="C45" s="21"/>
      <c r="D45" s="21"/>
      <c r="E45" s="289">
        <v>0.019527</v>
      </c>
    </row>
    <row r="46" spans="1:5" ht="15.75">
      <c r="A46" s="111" t="s">
        <v>577</v>
      </c>
      <c r="B46" s="111"/>
      <c r="C46" s="20"/>
      <c r="D46" s="20"/>
      <c r="E46" s="373">
        <v>0</v>
      </c>
    </row>
    <row r="47" spans="1:5" ht="15.75">
      <c r="A47" s="21"/>
      <c r="B47" s="21"/>
      <c r="C47" s="21"/>
      <c r="D47" s="21"/>
      <c r="E47" s="21"/>
    </row>
    <row r="48" spans="1:5" ht="15.75">
      <c r="A48" s="173" t="s">
        <v>683</v>
      </c>
      <c r="B48" s="174"/>
      <c r="C48" s="175"/>
      <c r="D48" s="175"/>
      <c r="E48" s="175"/>
    </row>
    <row r="49" spans="1:5" ht="15.75">
      <c r="A49" s="153" t="str">
        <f>CONCATENATE("",E1," State Distribution for Kansas Gas Tax")</f>
        <v>2012 State Distribution for Kansas Gas Tax</v>
      </c>
      <c r="B49" s="176"/>
      <c r="C49" s="176"/>
      <c r="D49" s="177"/>
      <c r="E49" s="17">
        <v>274770</v>
      </c>
    </row>
    <row r="50" spans="1:5" ht="15.75">
      <c r="A50" s="178" t="str">
        <f>CONCATENATE("",E1," County Transfers for Gas**")</f>
        <v>2012 County Transfers for Gas**</v>
      </c>
      <c r="B50" s="179"/>
      <c r="C50" s="179"/>
      <c r="D50" s="180"/>
      <c r="E50" s="17">
        <v>43590</v>
      </c>
    </row>
    <row r="51" spans="1:5" ht="15.75">
      <c r="A51" s="178" t="str">
        <f>CONCATENATE("Adjusted ",E1-1," State Distribution for Kansas Gas Tax")</f>
        <v>Adjusted 2011 State Distribution for Kansas Gas Tax</v>
      </c>
      <c r="B51" s="179"/>
      <c r="C51" s="179"/>
      <c r="D51" s="180"/>
      <c r="E51" s="17">
        <v>280430</v>
      </c>
    </row>
    <row r="52" spans="1:5" ht="15.75">
      <c r="A52" s="178" t="str">
        <f>CONCATENATE("Adjusted ",E1-1," County Transfers for Gas**")</f>
        <v>Adjusted 2011 County Transfers for Gas**</v>
      </c>
      <c r="B52" s="179"/>
      <c r="C52" s="179"/>
      <c r="D52" s="180"/>
      <c r="E52" s="17">
        <v>43210</v>
      </c>
    </row>
    <row r="53" spans="1:5" ht="15.75">
      <c r="A53" s="441" t="s">
        <v>646</v>
      </c>
      <c r="B53" s="442"/>
      <c r="C53" s="442"/>
      <c r="D53" s="442"/>
      <c r="E53" s="442"/>
    </row>
    <row r="54" spans="1:5" ht="15">
      <c r="A54" s="181" t="s">
        <v>647</v>
      </c>
      <c r="B54" s="181"/>
      <c r="C54" s="181"/>
      <c r="D54" s="181"/>
      <c r="E54" s="181"/>
    </row>
    <row r="55" spans="1:5" ht="15">
      <c r="A55" s="168"/>
      <c r="B55" s="168"/>
      <c r="C55" s="168"/>
      <c r="D55" s="168"/>
      <c r="E55" s="168"/>
    </row>
    <row r="56" spans="1:5" ht="15.75">
      <c r="A56" s="443" t="str">
        <f>CONCATENATE("From the ",E1-2," Budget Summary Page")</f>
        <v>From the 2010 Budget Summary Page</v>
      </c>
      <c r="B56" s="444"/>
      <c r="C56" s="168"/>
      <c r="D56" s="168"/>
      <c r="E56" s="168"/>
    </row>
    <row r="57" spans="1:5" ht="15.75">
      <c r="A57" s="332"/>
      <c r="B57" s="332" t="str">
        <f>CONCATENATE("",E1-2," Expenditure Amounts")</f>
        <v>2010 Expenditure Amounts</v>
      </c>
      <c r="C57" s="437" t="str">
        <f>CONCATENATE("Note: If the ",E1-2," budget was amended, then the")</f>
        <v>Note: If the 2010 budget was amended, then the</v>
      </c>
      <c r="D57" s="438"/>
      <c r="E57" s="438"/>
    </row>
    <row r="58" spans="1:5" ht="15.75">
      <c r="A58" s="333" t="s">
        <v>692</v>
      </c>
      <c r="B58" s="333" t="s">
        <v>693</v>
      </c>
      <c r="C58" s="334" t="s">
        <v>694</v>
      </c>
      <c r="D58" s="335"/>
      <c r="E58" s="335"/>
    </row>
    <row r="59" spans="1:5" ht="15.75">
      <c r="A59" s="336" t="str">
        <f>inputPrYr!B16</f>
        <v>General</v>
      </c>
      <c r="B59" s="17">
        <v>13592437</v>
      </c>
      <c r="C59" s="334" t="s">
        <v>695</v>
      </c>
      <c r="D59" s="337"/>
      <c r="E59" s="337"/>
    </row>
    <row r="60" spans="1:5" ht="15.75">
      <c r="A60" s="336" t="str">
        <f>inputPrYr!B17</f>
        <v>Bond &amp; Interest</v>
      </c>
      <c r="B60" s="17">
        <v>3309225</v>
      </c>
      <c r="C60" s="334"/>
      <c r="D60" s="337"/>
      <c r="E60" s="337"/>
    </row>
    <row r="61" spans="1:5" ht="15.75">
      <c r="A61" s="336" t="str">
        <f>inputPrYr!B19</f>
        <v>Library</v>
      </c>
      <c r="B61" s="17">
        <v>362253</v>
      </c>
      <c r="C61" s="168"/>
      <c r="D61" s="168"/>
      <c r="E61" s="168"/>
    </row>
    <row r="62" spans="1:5" ht="15.75">
      <c r="A62" s="336" t="str">
        <f>inputPrYr!B20</f>
        <v>Employee Benefits</v>
      </c>
      <c r="B62" s="17">
        <v>0</v>
      </c>
      <c r="C62" s="168"/>
      <c r="D62" s="168"/>
      <c r="E62" s="168"/>
    </row>
    <row r="63" spans="1:6" ht="15.75">
      <c r="A63" s="336" t="str">
        <f>inputPrYr!B32</f>
        <v>Special Highway</v>
      </c>
      <c r="B63" s="17">
        <v>0</v>
      </c>
      <c r="C63" s="168"/>
      <c r="D63" s="168"/>
      <c r="E63" s="168"/>
      <c r="F63" s="404"/>
    </row>
    <row r="64" spans="1:5" ht="15.75">
      <c r="A64" s="336" t="str">
        <f>inputPrYr!B33</f>
        <v>Local Alcohol Liquor</v>
      </c>
      <c r="B64" s="17">
        <v>130316</v>
      </c>
      <c r="C64" s="168"/>
      <c r="D64" s="168"/>
      <c r="E64" s="168"/>
    </row>
    <row r="65" spans="1:5" ht="15.75">
      <c r="A65" s="336" t="str">
        <f>inputPrYr!B34</f>
        <v>Youth Activity Center</v>
      </c>
      <c r="B65" s="17">
        <v>51864</v>
      </c>
      <c r="C65" s="168"/>
      <c r="D65" s="168"/>
      <c r="E65" s="168"/>
    </row>
    <row r="66" spans="1:5" ht="15.75">
      <c r="A66" s="336" t="str">
        <f>inputPrYr!B35</f>
        <v>Community Development</v>
      </c>
      <c r="B66" s="17">
        <v>187687</v>
      </c>
      <c r="C66" s="168"/>
      <c r="D66" s="168"/>
      <c r="E66" s="168"/>
    </row>
    <row r="67" spans="1:5" ht="15.75">
      <c r="A67" s="336" t="str">
        <f>inputPrYr!B36</f>
        <v>Police VIN</v>
      </c>
      <c r="B67" s="17">
        <v>14423</v>
      </c>
      <c r="C67" s="168"/>
      <c r="D67" s="168"/>
      <c r="E67" s="168"/>
    </row>
    <row r="68" spans="1:5" ht="15.75">
      <c r="A68" s="336" t="str">
        <f>inputPrYr!B37</f>
        <v>Memorial Hall Building</v>
      </c>
      <c r="B68" s="17">
        <v>12824</v>
      </c>
      <c r="C68" s="168"/>
      <c r="D68" s="168"/>
      <c r="E68" s="168"/>
    </row>
    <row r="69" spans="1:5" ht="15.75">
      <c r="A69" s="336" t="str">
        <f>inputPrYr!B38</f>
        <v>Airport</v>
      </c>
      <c r="B69" s="17">
        <v>40381</v>
      </c>
      <c r="C69" s="168"/>
      <c r="D69" s="168"/>
      <c r="E69" s="168"/>
    </row>
    <row r="70" spans="1:5" ht="15.75">
      <c r="A70" s="336" t="str">
        <f>inputPrYr!B39</f>
        <v>Hillcrest Golf Course</v>
      </c>
      <c r="B70" s="17">
        <v>507134</v>
      </c>
      <c r="C70" s="168"/>
      <c r="D70" s="168"/>
      <c r="E70" s="168"/>
    </row>
    <row r="71" spans="1:5" ht="15.75">
      <c r="A71" s="336" t="str">
        <f>inputPrYr!B40</f>
        <v>Aquatic Center</v>
      </c>
      <c r="B71" s="17">
        <v>110818</v>
      </c>
      <c r="C71" s="168"/>
      <c r="D71" s="168"/>
      <c r="E71" s="168"/>
    </row>
    <row r="72" spans="1:5" ht="15.75">
      <c r="A72" s="336" t="str">
        <f>inputPrYr!B41</f>
        <v>Sales Tax Bond Debt Service</v>
      </c>
      <c r="B72" s="17">
        <v>420578</v>
      </c>
      <c r="C72" s="168"/>
      <c r="D72" s="168"/>
      <c r="E72" s="168"/>
    </row>
    <row r="73" spans="1:5" ht="15.75">
      <c r="A73" s="336" t="str">
        <f>inputPrYr!B42</f>
        <v>USD 445 Sales Tax </v>
      </c>
      <c r="B73" s="17">
        <v>1425000</v>
      </c>
      <c r="C73" s="168"/>
      <c r="D73" s="168"/>
      <c r="E73" s="168"/>
    </row>
    <row r="74" spans="1:5" ht="15.75">
      <c r="A74" s="336" t="str">
        <f>inputPrYr!B43</f>
        <v>CRMC Sales Tax</v>
      </c>
      <c r="B74" s="17">
        <v>1000000</v>
      </c>
      <c r="C74" s="168"/>
      <c r="D74" s="168"/>
      <c r="E74" s="168"/>
    </row>
    <row r="75" spans="1:5" ht="15.75">
      <c r="A75" s="336" t="str">
        <f>inputPrYr!B44</f>
        <v>Business Dev. Training Center (BDTC)</v>
      </c>
      <c r="B75" s="17">
        <v>126236</v>
      </c>
      <c r="C75" s="168"/>
      <c r="D75" s="168"/>
      <c r="E75" s="168"/>
    </row>
    <row r="76" spans="1:5" ht="15.75">
      <c r="A76" s="336" t="str">
        <f>inputPrYr!B45</f>
        <v>Veterans Memorial Stadium (VMS)</v>
      </c>
      <c r="B76" s="17">
        <v>49883</v>
      </c>
      <c r="C76" s="168"/>
      <c r="D76" s="168"/>
      <c r="E76" s="168"/>
    </row>
    <row r="77" spans="1:5" ht="15.75">
      <c r="A77" s="336" t="str">
        <f>inputPrYr!B46</f>
        <v>Refuse Utility</v>
      </c>
      <c r="B77" s="17">
        <v>554134</v>
      </c>
      <c r="C77" s="168"/>
      <c r="D77" s="168"/>
      <c r="E77" s="168"/>
    </row>
    <row r="78" spans="1:5" ht="15.75">
      <c r="A78" s="336" t="str">
        <f>inputPrYr!B47</f>
        <v>Internet Utility</v>
      </c>
      <c r="B78" s="17">
        <v>237818</v>
      </c>
      <c r="C78" s="168"/>
      <c r="D78" s="168"/>
      <c r="E78" s="168"/>
    </row>
    <row r="79" spans="1:5" ht="15.75">
      <c r="A79" s="336" t="str">
        <f>inputPrYr!B48</f>
        <v>Stormwater Utility</v>
      </c>
      <c r="B79" s="17">
        <v>174285</v>
      </c>
      <c r="C79" s="168"/>
      <c r="D79" s="168"/>
      <c r="E79" s="168"/>
    </row>
    <row r="80" spans="1:5" ht="15.75">
      <c r="A80" s="336" t="str">
        <f>inputPrYr!B49</f>
        <v>Electric Debt Service</v>
      </c>
      <c r="B80" s="17">
        <v>1550435</v>
      </c>
      <c r="C80" s="168"/>
      <c r="D80" s="168"/>
      <c r="E80" s="168"/>
    </row>
    <row r="81" spans="1:5" ht="15.75">
      <c r="A81" s="336" t="str">
        <f>inputPrYr!B50</f>
        <v>Water/Wastewater Debt Service</v>
      </c>
      <c r="B81" s="17">
        <v>1185606</v>
      </c>
      <c r="C81" s="168"/>
      <c r="D81" s="168"/>
      <c r="E81" s="168"/>
    </row>
    <row r="82" spans="1:5" ht="15.75">
      <c r="A82" s="336" t="str">
        <f>inputPrYr!B52</f>
        <v>Electric Utility</v>
      </c>
      <c r="B82" s="17">
        <v>48689511</v>
      </c>
      <c r="C82" s="168"/>
      <c r="D82" s="168"/>
      <c r="E82" s="168"/>
    </row>
    <row r="83" spans="1:5" ht="15.75">
      <c r="A83" s="336" t="str">
        <f>inputPrYr!B53</f>
        <v>Water/Wastewater Utility</v>
      </c>
      <c r="B83" s="17">
        <v>5123638</v>
      </c>
      <c r="C83" s="168"/>
      <c r="D83" s="168"/>
      <c r="E83" s="168"/>
    </row>
    <row r="84" spans="1:5" ht="15.75">
      <c r="A84" s="336"/>
      <c r="B84" s="17"/>
      <c r="C84" s="168"/>
      <c r="D84" s="168"/>
      <c r="E84" s="168"/>
    </row>
    <row r="85" spans="1:5" ht="15.75">
      <c r="A85" s="336"/>
      <c r="B85" s="17"/>
      <c r="C85" s="168"/>
      <c r="D85" s="168"/>
      <c r="E85" s="168"/>
    </row>
    <row r="86" spans="1:5" ht="15.75">
      <c r="A86" s="336"/>
      <c r="B86" s="17"/>
      <c r="C86" s="168"/>
      <c r="D86" s="168"/>
      <c r="E86" s="168"/>
    </row>
    <row r="89" ht="15">
      <c r="B89" s="404"/>
    </row>
  </sheetData>
  <sheetProtection/>
  <mergeCells count="5">
    <mergeCell ref="C57:E57"/>
    <mergeCell ref="A19:B19"/>
    <mergeCell ref="A53:E53"/>
    <mergeCell ref="A3:E3"/>
    <mergeCell ref="A56:B56"/>
  </mergeCells>
  <printOptions/>
  <pageMargins left="0.75" right="0.75" top="1" bottom="1" header="0.5" footer="0.5"/>
  <pageSetup blackAndWhite="1" fitToHeight="0" fitToWidth="1" horizontalDpi="600" verticalDpi="600" orientation="portrait" scale="96" r:id="rId1"/>
  <headerFooter alignWithMargins="0">
    <oddFooter>&amp;Lrevised 8/06/07</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74"/>
  <sheetViews>
    <sheetView view="pageBreakPreview" zoomScaleSheetLayoutView="100" zoomScalePageLayoutView="0" workbookViewId="0" topLeftCell="A43">
      <selection activeCell="E69" sqref="E69"/>
    </sheetView>
  </sheetViews>
  <sheetFormatPr defaultColWidth="8.796875" defaultRowHeight="15"/>
  <cols>
    <col min="1" max="1" width="27.796875" style="0" customWidth="1"/>
    <col min="2" max="2" width="9.59765625" style="0" customWidth="1"/>
    <col min="3" max="4" width="16.3984375" style="0" customWidth="1"/>
    <col min="5" max="5" width="16.3984375" style="0" bestFit="1" customWidth="1"/>
    <col min="6" max="6" width="12" style="0" bestFit="1" customWidth="1"/>
    <col min="7" max="7" width="14.09765625" style="0" bestFit="1" customWidth="1"/>
  </cols>
  <sheetData>
    <row r="1" spans="1:5" ht="15.75">
      <c r="A1" s="72" t="str">
        <f>(inputPrYr!D2)</f>
        <v>City of Coffeyville</v>
      </c>
      <c r="B1" s="72"/>
      <c r="C1" s="21"/>
      <c r="D1" s="21"/>
      <c r="E1" s="142">
        <f>inputPrYr!$C$5</f>
        <v>2012</v>
      </c>
    </row>
    <row r="2" spans="1:5" ht="15.75">
      <c r="A2" s="21"/>
      <c r="B2" s="21"/>
      <c r="C2" s="21"/>
      <c r="D2" s="21"/>
      <c r="E2" s="24"/>
    </row>
    <row r="3" spans="1:5" ht="15.75">
      <c r="A3" s="90" t="s">
        <v>466</v>
      </c>
      <c r="B3" s="90"/>
      <c r="C3" s="196"/>
      <c r="D3" s="196"/>
      <c r="E3" s="197"/>
    </row>
    <row r="4" spans="1:5" ht="15.75">
      <c r="A4" s="25" t="s">
        <v>391</v>
      </c>
      <c r="B4" s="25"/>
      <c r="C4" s="93" t="s">
        <v>412</v>
      </c>
      <c r="D4" s="33" t="s">
        <v>556</v>
      </c>
      <c r="E4" s="33" t="s">
        <v>557</v>
      </c>
    </row>
    <row r="5" spans="1:5" ht="15.75">
      <c r="A5" s="137" t="str">
        <f>(inputPrYr!B52)</f>
        <v>Electric Utility</v>
      </c>
      <c r="B5" s="137"/>
      <c r="C5" s="146">
        <f>E1-2</f>
        <v>2010</v>
      </c>
      <c r="D5" s="146">
        <f>E1-1</f>
        <v>2011</v>
      </c>
      <c r="E5" s="146">
        <f>inputPrYr!$C$5</f>
        <v>2012</v>
      </c>
    </row>
    <row r="6" spans="1:5" ht="15.75">
      <c r="A6" s="37" t="s">
        <v>527</v>
      </c>
      <c r="B6" s="309"/>
      <c r="C6" s="313">
        <v>109109.95</v>
      </c>
      <c r="D6" s="85">
        <f>C69</f>
        <v>1025139.6999999955</v>
      </c>
      <c r="E6" s="85">
        <f>D69</f>
        <v>1326193.4199999943</v>
      </c>
    </row>
    <row r="7" spans="1:5" ht="15.75">
      <c r="A7" s="308" t="s">
        <v>529</v>
      </c>
      <c r="B7" s="309"/>
      <c r="C7" s="305"/>
      <c r="D7" s="40"/>
      <c r="E7" s="40"/>
    </row>
    <row r="8" spans="1:5" ht="15.75">
      <c r="A8" s="301" t="s">
        <v>50</v>
      </c>
      <c r="B8" s="310"/>
      <c r="C8" s="304">
        <f>4298.9+16232757.42+3857762.53+1464.81+100742.32+24039054.59</f>
        <v>44236080.57</v>
      </c>
      <c r="D8" s="14">
        <f>5000+15744124.32+4500000+1400+100000+27779572</f>
        <v>48130096.32</v>
      </c>
      <c r="E8" s="14">
        <f>5000+16861957.15+4500000+1400+100000+28079572</f>
        <v>49547929.15</v>
      </c>
    </row>
    <row r="9" spans="1:5" ht="15.75">
      <c r="A9" s="301" t="s">
        <v>56</v>
      </c>
      <c r="B9" s="310"/>
      <c r="C9" s="304">
        <v>2382620.89</v>
      </c>
      <c r="D9" s="14">
        <v>2511184</v>
      </c>
      <c r="E9" s="14">
        <v>2585054.06</v>
      </c>
    </row>
    <row r="10" spans="1:5" ht="15.75">
      <c r="A10" s="301" t="s">
        <v>121</v>
      </c>
      <c r="B10" s="310"/>
      <c r="C10" s="304">
        <v>42430.61</v>
      </c>
      <c r="D10" s="14">
        <f>150000+539791.44</f>
        <v>689791.44</v>
      </c>
      <c r="E10" s="14">
        <f>1080163.26+1000</f>
        <v>1081163.26</v>
      </c>
    </row>
    <row r="11" spans="1:5" ht="15.75">
      <c r="A11" s="301" t="s">
        <v>51</v>
      </c>
      <c r="B11" s="310"/>
      <c r="C11" s="304">
        <v>15383</v>
      </c>
      <c r="D11" s="14">
        <v>15500</v>
      </c>
      <c r="E11" s="14">
        <v>15500</v>
      </c>
    </row>
    <row r="12" spans="1:5" ht="15.75">
      <c r="A12" s="301" t="s">
        <v>23</v>
      </c>
      <c r="B12" s="310"/>
      <c r="C12" s="304">
        <v>9815.25</v>
      </c>
      <c r="D12" s="14">
        <v>5000</v>
      </c>
      <c r="E12" s="14">
        <v>5000</v>
      </c>
    </row>
    <row r="13" spans="1:5" ht="15.75">
      <c r="A13" s="302" t="s">
        <v>445</v>
      </c>
      <c r="B13" s="310"/>
      <c r="C13" s="304">
        <f>550-48.52+6675+120</f>
        <v>7296.48</v>
      </c>
      <c r="D13" s="14">
        <f>1000+3400+6500+300</f>
        <v>11200</v>
      </c>
      <c r="E13" s="14">
        <f>1000+7000+300</f>
        <v>8300</v>
      </c>
    </row>
    <row r="14" spans="1:5" ht="15.75">
      <c r="A14" s="302"/>
      <c r="B14" s="310"/>
      <c r="C14" s="304"/>
      <c r="D14" s="14"/>
      <c r="E14" s="14"/>
    </row>
    <row r="15" spans="1:5" ht="15.75">
      <c r="A15" s="302"/>
      <c r="B15" s="310"/>
      <c r="C15" s="304"/>
      <c r="D15" s="14"/>
      <c r="E15" s="14"/>
    </row>
    <row r="16" spans="1:5" ht="15.75">
      <c r="A16" s="302"/>
      <c r="B16" s="310"/>
      <c r="C16" s="304"/>
      <c r="D16" s="14"/>
      <c r="E16" s="14"/>
    </row>
    <row r="17" spans="1:5" ht="15.75">
      <c r="A17" s="302"/>
      <c r="B17" s="310"/>
      <c r="C17" s="304"/>
      <c r="D17" s="14"/>
      <c r="E17" s="14"/>
    </row>
    <row r="18" spans="1:5" ht="15.75">
      <c r="A18" s="302"/>
      <c r="B18" s="310"/>
      <c r="C18" s="304"/>
      <c r="D18" s="14"/>
      <c r="E18" s="14"/>
    </row>
    <row r="19" spans="1:5" ht="15.75">
      <c r="A19" s="302"/>
      <c r="B19" s="310"/>
      <c r="C19" s="304"/>
      <c r="D19" s="14"/>
      <c r="E19" s="14"/>
    </row>
    <row r="20" spans="1:5" ht="15.75">
      <c r="A20" s="302"/>
      <c r="B20" s="310"/>
      <c r="C20" s="304"/>
      <c r="D20" s="14"/>
      <c r="E20" s="14"/>
    </row>
    <row r="21" spans="1:5" ht="15.75">
      <c r="A21" s="302"/>
      <c r="B21" s="310"/>
      <c r="C21" s="304"/>
      <c r="D21" s="14"/>
      <c r="E21" s="14"/>
    </row>
    <row r="22" spans="1:5" ht="15.75">
      <c r="A22" s="301"/>
      <c r="B22" s="310"/>
      <c r="C22" s="306"/>
      <c r="D22" s="18"/>
      <c r="E22" s="18"/>
    </row>
    <row r="23" spans="1:5" ht="15.75">
      <c r="A23" s="302"/>
      <c r="B23" s="310"/>
      <c r="C23" s="304"/>
      <c r="D23" s="14"/>
      <c r="E23" s="14"/>
    </row>
    <row r="24" spans="1:5" ht="15.75">
      <c r="A24" s="303" t="s">
        <v>396</v>
      </c>
      <c r="B24" s="310"/>
      <c r="C24" s="304">
        <v>155786.87</v>
      </c>
      <c r="D24" s="14">
        <v>150000</v>
      </c>
      <c r="E24" s="14">
        <v>150000</v>
      </c>
    </row>
    <row r="25" spans="1:5" ht="15.75">
      <c r="A25" s="321" t="s">
        <v>703</v>
      </c>
      <c r="B25" s="317"/>
      <c r="C25" s="304"/>
      <c r="D25" s="304"/>
      <c r="E25" s="304"/>
    </row>
    <row r="26" spans="1:5" ht="15.75">
      <c r="A26" s="311" t="s">
        <v>705</v>
      </c>
      <c r="B26" s="317"/>
      <c r="C26" s="355">
        <f>IF(C27*0.1&lt;C25,"Exceed 10% Rule","")</f>
      </c>
      <c r="D26" s="355">
        <f>IF(D27*0.1&lt;D25,"Exceed 10% Rule","")</f>
      </c>
      <c r="E26" s="355">
        <f>IF(E27*0.1&lt;E25,"Exceed 10% Rule","")</f>
      </c>
    </row>
    <row r="27" spans="1:8" ht="15.75">
      <c r="A27" s="151" t="s">
        <v>397</v>
      </c>
      <c r="B27" s="309"/>
      <c r="C27" s="307">
        <f>SUM(C8:C25)</f>
        <v>46849413.669999994</v>
      </c>
      <c r="D27" s="260">
        <f>SUM(D8:D25)</f>
        <v>51512771.76</v>
      </c>
      <c r="E27" s="260">
        <f>SUM(E8:E25)</f>
        <v>53392946.47</v>
      </c>
      <c r="F27" s="393">
        <f>+C27-46849413.67</f>
        <v>0</v>
      </c>
      <c r="G27" s="393">
        <f>+D27-51512771.76</f>
        <v>0</v>
      </c>
      <c r="H27" s="393">
        <f>+E27-53392946.47</f>
        <v>0</v>
      </c>
    </row>
    <row r="28" spans="1:5" ht="15.75">
      <c r="A28" s="151" t="s">
        <v>398</v>
      </c>
      <c r="B28" s="309"/>
      <c r="C28" s="314">
        <f>C6+C27</f>
        <v>46958523.62</v>
      </c>
      <c r="D28" s="263">
        <f>D6+D27</f>
        <v>52537911.45999999</v>
      </c>
      <c r="E28" s="263">
        <f>E6+E27</f>
        <v>54719139.88999999</v>
      </c>
    </row>
    <row r="29" spans="1:5" ht="15.75">
      <c r="A29" s="37" t="s">
        <v>400</v>
      </c>
      <c r="B29" s="309"/>
      <c r="C29" s="305"/>
      <c r="D29" s="40"/>
      <c r="E29" s="40"/>
    </row>
    <row r="30" spans="1:5" ht="15.75">
      <c r="A30" s="301" t="s">
        <v>91</v>
      </c>
      <c r="B30" s="310"/>
      <c r="C30" s="304">
        <v>2425888.12</v>
      </c>
      <c r="D30" s="14">
        <v>2827313.53</v>
      </c>
      <c r="E30" s="14">
        <v>2966214.89</v>
      </c>
    </row>
    <row r="31" spans="1:5" ht="15.75">
      <c r="A31" s="301" t="s">
        <v>93</v>
      </c>
      <c r="B31" s="310"/>
      <c r="C31" s="304">
        <f>4782351.96+130272.52</f>
        <v>4912624.4799999995</v>
      </c>
      <c r="D31" s="14">
        <f>3797562+225100</f>
        <v>4022662</v>
      </c>
      <c r="E31" s="14">
        <f>3807112+226600</f>
        <v>4033712</v>
      </c>
    </row>
    <row r="32" spans="1:5" ht="15.75">
      <c r="A32" s="301" t="s">
        <v>94</v>
      </c>
      <c r="B32" s="310"/>
      <c r="C32" s="306">
        <v>32620873.86</v>
      </c>
      <c r="D32" s="18">
        <v>37987150</v>
      </c>
      <c r="E32" s="18">
        <v>38014100</v>
      </c>
    </row>
    <row r="33" spans="1:5" ht="15.75">
      <c r="A33" s="301" t="s">
        <v>95</v>
      </c>
      <c r="B33" s="310"/>
      <c r="C33" s="306">
        <v>709454.25</v>
      </c>
      <c r="D33" s="18">
        <v>831500</v>
      </c>
      <c r="E33" s="18">
        <v>804750</v>
      </c>
    </row>
    <row r="34" spans="1:5" ht="15.75">
      <c r="A34" s="301" t="s">
        <v>52</v>
      </c>
      <c r="B34" s="310"/>
      <c r="C34" s="306">
        <f>450000+455000</f>
        <v>905000</v>
      </c>
      <c r="D34" s="18">
        <f>450000+455000</f>
        <v>905000</v>
      </c>
      <c r="E34" s="18">
        <f>450000+1205000+240905.78</f>
        <v>1895905.78</v>
      </c>
    </row>
    <row r="35" spans="1:5" ht="15.75">
      <c r="A35" s="301" t="s">
        <v>55</v>
      </c>
      <c r="B35" s="310"/>
      <c r="C35" s="306">
        <f>155458.46+900765.55</f>
        <v>1056224.01</v>
      </c>
      <c r="D35" s="18">
        <f>70076.22+990021</f>
        <v>1060097.22</v>
      </c>
      <c r="E35" s="18">
        <v>1047147.22</v>
      </c>
    </row>
    <row r="36" spans="1:6" ht="15.75">
      <c r="A36" s="301" t="s">
        <v>115</v>
      </c>
      <c r="B36" s="310"/>
      <c r="C36" s="306">
        <f>350000+500000+299234.45</f>
        <v>1149234.45</v>
      </c>
      <c r="D36" s="18">
        <f>350000+500000+509979</f>
        <v>1359979</v>
      </c>
      <c r="E36" s="18">
        <f>350000+970000+511947</f>
        <v>1831947</v>
      </c>
      <c r="F36" s="394"/>
    </row>
    <row r="37" spans="1:5" ht="15.75">
      <c r="A37" s="301" t="s">
        <v>53</v>
      </c>
      <c r="B37" s="310"/>
      <c r="C37" s="306">
        <v>704084.75</v>
      </c>
      <c r="D37" s="18">
        <v>768016.29</v>
      </c>
      <c r="E37" s="18">
        <v>809968.42</v>
      </c>
    </row>
    <row r="38" spans="1:5" ht="15.75">
      <c r="A38" s="301" t="s">
        <v>54</v>
      </c>
      <c r="B38" s="310"/>
      <c r="C38" s="306">
        <v>1450000</v>
      </c>
      <c r="D38" s="18">
        <v>1450000</v>
      </c>
      <c r="E38" s="18">
        <v>1550000</v>
      </c>
    </row>
    <row r="39" spans="1:5" ht="15.75">
      <c r="A39" s="301"/>
      <c r="B39" s="310"/>
      <c r="C39" s="306"/>
      <c r="D39" s="18"/>
      <c r="E39" s="18"/>
    </row>
    <row r="40" spans="1:5" ht="15.75">
      <c r="A40" s="301"/>
      <c r="B40" s="310"/>
      <c r="C40" s="306"/>
      <c r="D40" s="18"/>
      <c r="E40" s="18"/>
    </row>
    <row r="41" spans="1:5" ht="15.75">
      <c r="A41" s="301"/>
      <c r="B41" s="310"/>
      <c r="C41" s="306"/>
      <c r="D41" s="18"/>
      <c r="E41" s="18"/>
    </row>
    <row r="42" spans="1:5" ht="15.75">
      <c r="A42" s="301"/>
      <c r="B42" s="310"/>
      <c r="C42" s="304"/>
      <c r="D42" s="14"/>
      <c r="E42" s="14"/>
    </row>
    <row r="43" spans="1:5" ht="15.75">
      <c r="A43" s="301"/>
      <c r="B43" s="310"/>
      <c r="C43" s="304"/>
      <c r="D43" s="14"/>
      <c r="E43" s="14"/>
    </row>
    <row r="44" spans="1:5" ht="15.75">
      <c r="A44" s="301"/>
      <c r="B44" s="310"/>
      <c r="C44" s="304"/>
      <c r="D44" s="14"/>
      <c r="E44" s="14"/>
    </row>
    <row r="45" spans="1:5" ht="15.75">
      <c r="A45" s="301"/>
      <c r="B45" s="310"/>
      <c r="C45" s="304"/>
      <c r="D45" s="14"/>
      <c r="E45" s="14"/>
    </row>
    <row r="46" spans="1:5" ht="15.75">
      <c r="A46" s="301"/>
      <c r="B46" s="310"/>
      <c r="C46" s="304"/>
      <c r="D46" s="14"/>
      <c r="E46" s="14"/>
    </row>
    <row r="47" spans="1:5" ht="15.75">
      <c r="A47" s="301"/>
      <c r="B47" s="310"/>
      <c r="C47" s="304"/>
      <c r="D47" s="14"/>
      <c r="E47" s="14"/>
    </row>
    <row r="48" spans="1:5" ht="15.75">
      <c r="A48" s="301"/>
      <c r="B48" s="310"/>
      <c r="C48" s="304"/>
      <c r="D48" s="14"/>
      <c r="E48" s="14"/>
    </row>
    <row r="49" spans="1:5" ht="15.75">
      <c r="A49" s="301"/>
      <c r="B49" s="310"/>
      <c r="C49" s="304"/>
      <c r="D49" s="14"/>
      <c r="E49" s="14"/>
    </row>
    <row r="50" spans="1:5" ht="15.75">
      <c r="A50" s="301"/>
      <c r="B50" s="310"/>
      <c r="C50" s="304"/>
      <c r="D50" s="14"/>
      <c r="E50" s="14"/>
    </row>
    <row r="51" spans="1:5" ht="15.75">
      <c r="A51" s="301"/>
      <c r="B51" s="310"/>
      <c r="C51" s="304"/>
      <c r="D51" s="14"/>
      <c r="E51" s="14"/>
    </row>
    <row r="52" spans="1:5" ht="15.75">
      <c r="A52" s="301"/>
      <c r="B52" s="310"/>
      <c r="C52" s="304"/>
      <c r="D52" s="14"/>
      <c r="E52" s="14"/>
    </row>
    <row r="53" spans="1:5" ht="15.75">
      <c r="A53" s="301"/>
      <c r="B53" s="310"/>
      <c r="C53" s="304"/>
      <c r="D53" s="14"/>
      <c r="E53" s="14"/>
    </row>
    <row r="54" spans="1:5" ht="15.75">
      <c r="A54" s="301"/>
      <c r="B54" s="310"/>
      <c r="C54" s="304"/>
      <c r="D54" s="14"/>
      <c r="E54" s="14"/>
    </row>
    <row r="55" spans="1:5" ht="15.75">
      <c r="A55" s="301"/>
      <c r="B55" s="310"/>
      <c r="C55" s="304"/>
      <c r="D55" s="14"/>
      <c r="E55" s="14"/>
    </row>
    <row r="56" spans="1:5" ht="15.75">
      <c r="A56" s="301"/>
      <c r="B56" s="310"/>
      <c r="C56" s="304"/>
      <c r="D56" s="14"/>
      <c r="E56" s="14"/>
    </row>
    <row r="57" spans="1:5" ht="15.75">
      <c r="A57" s="301"/>
      <c r="B57" s="310"/>
      <c r="C57" s="304"/>
      <c r="D57" s="14"/>
      <c r="E57" s="14"/>
    </row>
    <row r="58" spans="1:5" ht="15.75">
      <c r="A58" s="301"/>
      <c r="B58" s="310"/>
      <c r="C58" s="304"/>
      <c r="D58" s="14"/>
      <c r="E58" s="14"/>
    </row>
    <row r="59" spans="1:5" ht="15.75">
      <c r="A59" s="301"/>
      <c r="B59" s="310"/>
      <c r="C59" s="304"/>
      <c r="D59" s="14"/>
      <c r="E59" s="14"/>
    </row>
    <row r="60" spans="1:5" ht="15.75">
      <c r="A60" s="301"/>
      <c r="B60" s="310"/>
      <c r="C60" s="304"/>
      <c r="D60" s="14"/>
      <c r="E60" s="14"/>
    </row>
    <row r="61" spans="1:5" ht="15.75">
      <c r="A61" s="301"/>
      <c r="B61" s="310"/>
      <c r="C61" s="304"/>
      <c r="D61" s="14"/>
      <c r="E61" s="14"/>
    </row>
    <row r="62" spans="1:5" ht="15.75">
      <c r="A62" s="301"/>
      <c r="B62" s="310"/>
      <c r="C62" s="304"/>
      <c r="D62" s="14"/>
      <c r="E62" s="14"/>
    </row>
    <row r="63" spans="1:5" ht="15.75">
      <c r="A63" s="301"/>
      <c r="B63" s="310"/>
      <c r="C63" s="304"/>
      <c r="D63" s="14"/>
      <c r="E63" s="14"/>
    </row>
    <row r="64" spans="1:5" ht="15.75">
      <c r="A64" s="301"/>
      <c r="B64" s="310"/>
      <c r="C64" s="304"/>
      <c r="D64" s="14"/>
      <c r="E64" s="14"/>
    </row>
    <row r="65" spans="1:5" ht="15.75">
      <c r="A65" s="301"/>
      <c r="B65" s="318"/>
      <c r="C65" s="304"/>
      <c r="D65" s="14"/>
      <c r="E65" s="14"/>
    </row>
    <row r="66" spans="1:5" ht="15.75">
      <c r="A66" s="319" t="s">
        <v>703</v>
      </c>
      <c r="B66" s="317"/>
      <c r="C66" s="304"/>
      <c r="D66" s="304"/>
      <c r="E66" s="304"/>
    </row>
    <row r="67" spans="1:5" ht="15.75">
      <c r="A67" s="319" t="s">
        <v>704</v>
      </c>
      <c r="B67" s="317"/>
      <c r="C67" s="355">
        <f>IF(C68*0.1&lt;C66,"Exceed 10% Rule","")</f>
      </c>
      <c r="D67" s="355">
        <f>IF(D68*0.1&lt;D66,"Exceed 10% Rule","")</f>
      </c>
      <c r="E67" s="355">
        <f>IF(E68*0.1&lt;E66,"Exceed 10% Rule","")</f>
      </c>
    </row>
    <row r="68" spans="1:8" ht="15.75">
      <c r="A68" s="151" t="s">
        <v>404</v>
      </c>
      <c r="B68" s="309"/>
      <c r="C68" s="307">
        <f>SUM(C30:C66)</f>
        <v>45933383.92</v>
      </c>
      <c r="D68" s="260">
        <f>SUM(D30:D66)</f>
        <v>51211718.04</v>
      </c>
      <c r="E68" s="260">
        <f>SUM(E30:E66)</f>
        <v>52953745.31</v>
      </c>
      <c r="F68" s="393">
        <f>+C68-45933383.92</f>
        <v>0</v>
      </c>
      <c r="G68" s="393">
        <f>+D68-51211718.03</f>
        <v>0.009999997913837433</v>
      </c>
      <c r="H68" s="393">
        <f>+E68-52953745.31</f>
        <v>0</v>
      </c>
    </row>
    <row r="69" spans="1:8" ht="15.75">
      <c r="A69" s="37" t="s">
        <v>528</v>
      </c>
      <c r="B69" s="309"/>
      <c r="C69" s="315">
        <f>C28-C68</f>
        <v>1025139.6999999955</v>
      </c>
      <c r="D69" s="262">
        <f>D28-D68</f>
        <v>1326193.4199999943</v>
      </c>
      <c r="E69" s="262">
        <f>E28-E68</f>
        <v>1765394.5799999908</v>
      </c>
      <c r="F69" s="404">
        <f>+C69-1025139.7</f>
        <v>-4.423782229423523E-09</v>
      </c>
      <c r="G69" s="404">
        <f>+D69-1326193.43</f>
        <v>-0.010000005597248673</v>
      </c>
      <c r="H69" s="404">
        <f>+E69-1765394.58</f>
        <v>-9.313225746154785E-09</v>
      </c>
    </row>
    <row r="70" spans="1:5" ht="15.75">
      <c r="A70" s="23" t="str">
        <f>CONCATENATE("",E1-2," Budget Authority Limited Amount:")</f>
        <v>2010 Budget Authority Limited Amount:</v>
      </c>
      <c r="B70" s="338">
        <f>inputOth!B82</f>
        <v>48689511</v>
      </c>
      <c r="C70" s="168"/>
      <c r="D70" s="168"/>
      <c r="E70" s="168"/>
    </row>
    <row r="71" spans="1:5" ht="15.75">
      <c r="A71" s="23" t="str">
        <f>CONCATENATE("Violation of Budget Law for ",E1-2,":")</f>
        <v>Violation of Budget Law for 2010:</v>
      </c>
      <c r="B71" s="339">
        <f>IF(C68&gt;B70,"Yes","")</f>
      </c>
      <c r="C71" s="168"/>
      <c r="D71" s="168"/>
      <c r="E71" s="168"/>
    </row>
    <row r="72" spans="1:5" ht="15.75">
      <c r="A72" s="23" t="str">
        <f>CONCATENATE("Possible Cash Violation for ",E1-2,":")</f>
        <v>Possible Cash Violation for 2010:</v>
      </c>
      <c r="B72" s="339">
        <f>IF(C69&lt;0,"Yes","")</f>
      </c>
      <c r="C72" s="168"/>
      <c r="D72" s="168"/>
      <c r="E72" s="168"/>
    </row>
    <row r="73" spans="1:5" ht="15">
      <c r="A73" s="168"/>
      <c r="B73" s="168"/>
      <c r="C73" s="168"/>
      <c r="D73" s="168"/>
      <c r="E73" s="168"/>
    </row>
    <row r="74" spans="1:5" ht="15.75">
      <c r="A74" s="24"/>
      <c r="B74" s="24" t="s">
        <v>408</v>
      </c>
      <c r="C74" s="389">
        <v>20</v>
      </c>
      <c r="D74" s="168"/>
      <c r="E74" s="168"/>
    </row>
  </sheetData>
  <sheetProtection/>
  <conditionalFormatting sqref="C66">
    <cfRule type="cellIs" priority="1" dxfId="157" operator="greaterThan" stopIfTrue="1">
      <formula>$C$68*0.1</formula>
    </cfRule>
  </conditionalFormatting>
  <conditionalFormatting sqref="D66">
    <cfRule type="cellIs" priority="2" dxfId="157" operator="greaterThan" stopIfTrue="1">
      <formula>$D$68*0.1</formula>
    </cfRule>
  </conditionalFormatting>
  <conditionalFormatting sqref="E66">
    <cfRule type="cellIs" priority="3" dxfId="157" operator="greaterThan" stopIfTrue="1">
      <formula>$E$68*0.1</formula>
    </cfRule>
  </conditionalFormatting>
  <conditionalFormatting sqref="C25">
    <cfRule type="cellIs" priority="4" dxfId="157" operator="greaterThan" stopIfTrue="1">
      <formula>$C$27*0.1</formula>
    </cfRule>
  </conditionalFormatting>
  <conditionalFormatting sqref="D25">
    <cfRule type="cellIs" priority="5" dxfId="157" operator="greaterThan" stopIfTrue="1">
      <formula>$D$27*0.1</formula>
    </cfRule>
  </conditionalFormatting>
  <conditionalFormatting sqref="E25">
    <cfRule type="cellIs" priority="6" dxfId="157" operator="greaterThan" stopIfTrue="1">
      <formula>$E$27*0.1</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Coffeyville</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H74"/>
  <sheetViews>
    <sheetView view="pageBreakPreview" zoomScaleSheetLayoutView="100" zoomScalePageLayoutView="0" workbookViewId="0" topLeftCell="A1">
      <selection activeCell="A19" sqref="A19"/>
    </sheetView>
  </sheetViews>
  <sheetFormatPr defaultColWidth="8.796875" defaultRowHeight="15"/>
  <cols>
    <col min="1" max="1" width="27.59765625" style="0" customWidth="1"/>
    <col min="2" max="2" width="9.59765625" style="0" customWidth="1"/>
    <col min="3" max="4" width="16.3984375" style="0" customWidth="1"/>
    <col min="5" max="5" width="16.3984375" style="0" bestFit="1" customWidth="1"/>
    <col min="7" max="8" width="10" style="0" bestFit="1" customWidth="1"/>
  </cols>
  <sheetData>
    <row r="1" spans="1:5" ht="15.75">
      <c r="A1" s="72" t="str">
        <f>(inputPrYr!D2)</f>
        <v>City of Coffeyville</v>
      </c>
      <c r="B1" s="72"/>
      <c r="C1" s="21"/>
      <c r="D1" s="21"/>
      <c r="E1" s="142">
        <f>inputPrYr!$C$5</f>
        <v>2012</v>
      </c>
    </row>
    <row r="2" spans="1:5" ht="15.75">
      <c r="A2" s="21"/>
      <c r="B2" s="21"/>
      <c r="C2" s="21"/>
      <c r="D2" s="21"/>
      <c r="E2" s="24"/>
    </row>
    <row r="3" spans="1:5" ht="15.75">
      <c r="A3" s="90" t="s">
        <v>466</v>
      </c>
      <c r="B3" s="90"/>
      <c r="C3" s="196"/>
      <c r="D3" s="196"/>
      <c r="E3" s="197"/>
    </row>
    <row r="4" spans="1:5" ht="15.75">
      <c r="A4" s="25" t="s">
        <v>391</v>
      </c>
      <c r="B4" s="25"/>
      <c r="C4" s="93" t="s">
        <v>412</v>
      </c>
      <c r="D4" s="33" t="s">
        <v>556</v>
      </c>
      <c r="E4" s="33" t="s">
        <v>557</v>
      </c>
    </row>
    <row r="5" spans="1:5" ht="15.75">
      <c r="A5" s="137" t="str">
        <f>(inputPrYr!B53)</f>
        <v>Water/Wastewater Utility</v>
      </c>
      <c r="B5" s="137"/>
      <c r="C5" s="146">
        <f>E1-2</f>
        <v>2010</v>
      </c>
      <c r="D5" s="146">
        <f>E1-1</f>
        <v>2011</v>
      </c>
      <c r="E5" s="146">
        <f>inputPrYr!$C$5</f>
        <v>2012</v>
      </c>
    </row>
    <row r="6" spans="1:5" ht="15.75">
      <c r="A6" s="37" t="s">
        <v>527</v>
      </c>
      <c r="B6" s="309"/>
      <c r="C6" s="313">
        <v>950394.68</v>
      </c>
      <c r="D6" s="85">
        <f>C69</f>
        <v>932494.1299999999</v>
      </c>
      <c r="E6" s="85">
        <f>D69</f>
        <v>861500.3099999996</v>
      </c>
    </row>
    <row r="7" spans="1:5" ht="15.75">
      <c r="A7" s="380" t="s">
        <v>529</v>
      </c>
      <c r="B7" s="381"/>
      <c r="C7" s="305"/>
      <c r="D7" s="40"/>
      <c r="E7" s="40"/>
    </row>
    <row r="8" spans="1:5" ht="15.75">
      <c r="A8" s="302" t="s">
        <v>132</v>
      </c>
      <c r="B8" s="310"/>
      <c r="C8" s="304">
        <v>2690323.53</v>
      </c>
      <c r="D8" s="14">
        <v>2748675.34</v>
      </c>
      <c r="E8" s="14">
        <v>2855440.88</v>
      </c>
    </row>
    <row r="9" spans="1:5" ht="15.75">
      <c r="A9" s="302" t="s">
        <v>133</v>
      </c>
      <c r="B9" s="382"/>
      <c r="C9" s="304">
        <v>1971338</v>
      </c>
      <c r="D9" s="14">
        <v>2036602.45</v>
      </c>
      <c r="E9" s="14">
        <f>2232466.43</f>
        <v>2232466.43</v>
      </c>
    </row>
    <row r="10" spans="1:5" ht="15.75">
      <c r="A10" s="302" t="s">
        <v>140</v>
      </c>
      <c r="B10" s="310"/>
      <c r="C10" s="304">
        <v>13306.99</v>
      </c>
      <c r="D10" s="14">
        <v>15000</v>
      </c>
      <c r="E10" s="14">
        <v>15000</v>
      </c>
    </row>
    <row r="11" spans="1:5" ht="15.75">
      <c r="A11" s="302" t="s">
        <v>137</v>
      </c>
      <c r="B11" s="310"/>
      <c r="C11" s="304">
        <f>21021.03+19583.29</f>
        <v>40604.32</v>
      </c>
      <c r="D11" s="14">
        <f>19000+18000</f>
        <v>37000</v>
      </c>
      <c r="E11" s="14">
        <f>19000+18000</f>
        <v>37000</v>
      </c>
    </row>
    <row r="12" spans="1:5" ht="15.75">
      <c r="A12" s="302" t="s">
        <v>141</v>
      </c>
      <c r="B12" s="310"/>
      <c r="C12" s="304">
        <f>1330.47+11865.62</f>
        <v>13196.09</v>
      </c>
      <c r="D12" s="14">
        <f>3500+6500</f>
        <v>10000</v>
      </c>
      <c r="E12" s="14">
        <f>3500+6500</f>
        <v>10000</v>
      </c>
    </row>
    <row r="13" spans="1:5" ht="15.75">
      <c r="A13" s="302" t="s">
        <v>142</v>
      </c>
      <c r="B13" s="310"/>
      <c r="C13" s="304">
        <f>4850.95-25</f>
        <v>4825.95</v>
      </c>
      <c r="D13" s="14">
        <f>3500+25</f>
        <v>3525</v>
      </c>
      <c r="E13" s="14">
        <f>3500+25</f>
        <v>3525</v>
      </c>
    </row>
    <row r="14" spans="1:5" ht="15.75">
      <c r="A14" s="302" t="s">
        <v>143</v>
      </c>
      <c r="B14" s="310"/>
      <c r="C14" s="304">
        <v>2242</v>
      </c>
      <c r="D14" s="14">
        <v>5000</v>
      </c>
      <c r="E14" s="14">
        <v>5000</v>
      </c>
    </row>
    <row r="15" spans="1:5" ht="15.75">
      <c r="A15" s="302" t="s">
        <v>144</v>
      </c>
      <c r="B15" s="310"/>
      <c r="C15" s="304">
        <v>2300</v>
      </c>
      <c r="D15" s="14">
        <v>2500</v>
      </c>
      <c r="E15" s="14">
        <v>2500</v>
      </c>
    </row>
    <row r="16" spans="1:5" ht="15.75">
      <c r="A16" s="302" t="s">
        <v>134</v>
      </c>
      <c r="B16" s="310"/>
      <c r="C16" s="304">
        <v>0</v>
      </c>
      <c r="D16" s="14">
        <v>1500</v>
      </c>
      <c r="E16" s="14">
        <v>1500</v>
      </c>
    </row>
    <row r="17" spans="1:5" ht="15.75">
      <c r="A17" s="302" t="s">
        <v>135</v>
      </c>
      <c r="B17" s="310"/>
      <c r="C17" s="304">
        <f>7002.13-3643.3</f>
        <v>3358.83</v>
      </c>
      <c r="D17" s="14">
        <f>20000+2300+1000</f>
        <v>23300</v>
      </c>
      <c r="E17" s="14">
        <f>3000+2300+1000</f>
        <v>6300</v>
      </c>
    </row>
    <row r="18" spans="1:5" ht="15.75">
      <c r="A18" s="302" t="s">
        <v>445</v>
      </c>
      <c r="B18" s="310"/>
      <c r="C18" s="304">
        <f>50+50</f>
        <v>100</v>
      </c>
      <c r="D18" s="14">
        <v>0</v>
      </c>
      <c r="E18" s="14">
        <v>0</v>
      </c>
    </row>
    <row r="19" spans="1:5" ht="15.75">
      <c r="A19" s="302"/>
      <c r="B19" s="310"/>
      <c r="C19" s="306"/>
      <c r="D19" s="18"/>
      <c r="E19" s="18"/>
    </row>
    <row r="20" spans="1:5" ht="15.75">
      <c r="A20" s="303" t="s">
        <v>396</v>
      </c>
      <c r="B20" s="310"/>
      <c r="C20" s="304">
        <f>40856.88+40856.88</f>
        <v>81713.76</v>
      </c>
      <c r="D20" s="14">
        <f>42000+42000</f>
        <v>84000</v>
      </c>
      <c r="E20" s="14">
        <f>42000+42000</f>
        <v>84000</v>
      </c>
    </row>
    <row r="21" spans="1:5" ht="15.75">
      <c r="A21" s="321" t="s">
        <v>703</v>
      </c>
      <c r="B21" s="317"/>
      <c r="C21" s="304"/>
      <c r="D21" s="304"/>
      <c r="E21" s="304"/>
    </row>
    <row r="22" spans="1:5" ht="15.75">
      <c r="A22" s="311" t="s">
        <v>705</v>
      </c>
      <c r="B22" s="317"/>
      <c r="C22" s="355">
        <f>IF(C23*0.1&lt;C21,"Exceed 10% Rule","")</f>
      </c>
      <c r="D22" s="355">
        <f>IF(D23*0.1&lt;D21,"Exceed 10% Rule","")</f>
      </c>
      <c r="E22" s="355">
        <f>IF(E23*0.1&lt;E21,"Exceed 10% Rule","")</f>
      </c>
    </row>
    <row r="23" spans="1:8" ht="15.75">
      <c r="A23" s="151" t="s">
        <v>397</v>
      </c>
      <c r="B23" s="309"/>
      <c r="C23" s="307">
        <f>SUM(C8:C21)</f>
        <v>4823309.47</v>
      </c>
      <c r="D23" s="260">
        <f>SUM(D8:D21)</f>
        <v>4967102.79</v>
      </c>
      <c r="E23" s="260">
        <f>SUM(E8:E21)</f>
        <v>5252732.3100000005</v>
      </c>
      <c r="F23" s="393">
        <f>+C23-4823309.47</f>
        <v>0</v>
      </c>
      <c r="G23" s="393">
        <f>+D23-4967102.79</f>
        <v>0</v>
      </c>
      <c r="H23" s="393">
        <f>+E23-5252732.32</f>
        <v>-0.009999999776482582</v>
      </c>
    </row>
    <row r="24" spans="1:5" ht="15.75">
      <c r="A24" s="151" t="s">
        <v>398</v>
      </c>
      <c r="B24" s="309"/>
      <c r="C24" s="314">
        <f>C6+C23</f>
        <v>5773704.149999999</v>
      </c>
      <c r="D24" s="263">
        <f>D6+D23</f>
        <v>5899596.92</v>
      </c>
      <c r="E24" s="263">
        <f>E6+E23</f>
        <v>6114232.62</v>
      </c>
    </row>
    <row r="25" spans="1:5" ht="15.75">
      <c r="A25" s="375" t="s">
        <v>400</v>
      </c>
      <c r="B25" s="381"/>
      <c r="C25" s="305"/>
      <c r="D25" s="40"/>
      <c r="E25" s="40"/>
    </row>
    <row r="26" spans="1:5" ht="15.75">
      <c r="A26" s="302" t="s">
        <v>91</v>
      </c>
      <c r="B26" s="310"/>
      <c r="C26" s="304">
        <v>1701435.67</v>
      </c>
      <c r="D26" s="14">
        <v>1791358.28</v>
      </c>
      <c r="E26" s="14">
        <v>1823847.65</v>
      </c>
    </row>
    <row r="27" spans="1:5" ht="15.75">
      <c r="A27" s="302" t="s">
        <v>92</v>
      </c>
      <c r="B27" s="382"/>
      <c r="C27" s="304">
        <f>459224.76+71293.46</f>
        <v>530518.22</v>
      </c>
      <c r="D27" s="14">
        <f>486175+61000</f>
        <v>547175</v>
      </c>
      <c r="E27" s="14">
        <f>489617.5+62300</f>
        <v>551917.5</v>
      </c>
    </row>
    <row r="28" spans="1:5" ht="15.75">
      <c r="A28" s="302" t="s">
        <v>94</v>
      </c>
      <c r="B28" s="310"/>
      <c r="C28" s="306">
        <v>420227.05</v>
      </c>
      <c r="D28" s="18">
        <v>441100</v>
      </c>
      <c r="E28" s="18">
        <v>454050</v>
      </c>
    </row>
    <row r="29" spans="1:5" ht="15.75">
      <c r="A29" s="302" t="s">
        <v>95</v>
      </c>
      <c r="B29" s="310"/>
      <c r="C29" s="306">
        <v>92466.74</v>
      </c>
      <c r="D29" s="18">
        <v>89850</v>
      </c>
      <c r="E29" s="18">
        <v>96950</v>
      </c>
    </row>
    <row r="30" spans="1:5" ht="15.75">
      <c r="A30" s="302" t="s">
        <v>30</v>
      </c>
      <c r="B30" s="310"/>
      <c r="C30" s="306">
        <v>216641.46</v>
      </c>
      <c r="D30" s="18">
        <v>236312.7</v>
      </c>
      <c r="E30" s="18">
        <v>249221.05</v>
      </c>
    </row>
    <row r="31" spans="1:5" ht="15.75">
      <c r="A31" s="302" t="s">
        <v>31</v>
      </c>
      <c r="B31" s="310"/>
      <c r="C31" s="306">
        <v>162481.1</v>
      </c>
      <c r="D31" s="18">
        <v>177234.53</v>
      </c>
      <c r="E31" s="18">
        <v>186915.79</v>
      </c>
    </row>
    <row r="32" spans="1:5" ht="15.75">
      <c r="A32" s="302" t="s">
        <v>332</v>
      </c>
      <c r="B32" s="310"/>
      <c r="C32" s="306">
        <v>0</v>
      </c>
      <c r="D32" s="18">
        <v>0</v>
      </c>
      <c r="E32" s="18">
        <v>100000</v>
      </c>
    </row>
    <row r="33" spans="1:5" ht="15.75">
      <c r="A33" s="302" t="s">
        <v>159</v>
      </c>
      <c r="B33" s="310"/>
      <c r="C33" s="306">
        <v>300000</v>
      </c>
      <c r="D33" s="18">
        <v>300000</v>
      </c>
      <c r="E33" s="18">
        <v>300000</v>
      </c>
    </row>
    <row r="34" spans="1:5" ht="15.75">
      <c r="A34" s="302" t="s">
        <v>160</v>
      </c>
      <c r="B34" s="310"/>
      <c r="C34" s="306">
        <f>125000+150000</f>
        <v>275000</v>
      </c>
      <c r="D34" s="18">
        <f>125000+150000</f>
        <v>275000</v>
      </c>
      <c r="E34" s="18">
        <f>125000+150000</f>
        <v>275000</v>
      </c>
    </row>
    <row r="35" spans="1:5" ht="15.75">
      <c r="A35" s="302" t="s">
        <v>161</v>
      </c>
      <c r="B35" s="310"/>
      <c r="C35" s="306">
        <f>244811.9+897627.88</f>
        <v>1142439.78</v>
      </c>
      <c r="D35" s="18">
        <f>282438.21+897627.89</f>
        <v>1180066.1</v>
      </c>
      <c r="E35" s="18">
        <f>279504.58+897827.88</f>
        <v>1177332.46</v>
      </c>
    </row>
    <row r="36" spans="1:5" ht="15.75">
      <c r="A36" s="302"/>
      <c r="B36" s="310"/>
      <c r="C36" s="306"/>
      <c r="D36" s="18"/>
      <c r="E36" s="18"/>
    </row>
    <row r="37" spans="1:5" ht="15.75">
      <c r="A37" s="302"/>
      <c r="B37" s="310"/>
      <c r="C37" s="306"/>
      <c r="D37" s="18"/>
      <c r="E37" s="18"/>
    </row>
    <row r="38" spans="1:5" ht="15.75">
      <c r="A38" s="301"/>
      <c r="B38" s="310"/>
      <c r="C38" s="306"/>
      <c r="D38" s="18"/>
      <c r="E38" s="18"/>
    </row>
    <row r="39" spans="1:5" ht="15.75">
      <c r="A39" s="301"/>
      <c r="B39" s="310"/>
      <c r="C39" s="304"/>
      <c r="D39" s="14"/>
      <c r="E39" s="14"/>
    </row>
    <row r="40" spans="1:5" ht="15.75">
      <c r="A40" s="301"/>
      <c r="B40" s="310"/>
      <c r="C40" s="304"/>
      <c r="D40" s="14"/>
      <c r="E40" s="14"/>
    </row>
    <row r="41" spans="1:5" ht="15.75">
      <c r="A41" s="301"/>
      <c r="B41" s="310"/>
      <c r="C41" s="304"/>
      <c r="D41" s="14"/>
      <c r="E41" s="14"/>
    </row>
    <row r="42" spans="1:5" ht="15.75">
      <c r="A42" s="301"/>
      <c r="B42" s="310"/>
      <c r="C42" s="304"/>
      <c r="D42" s="14"/>
      <c r="E42" s="14"/>
    </row>
    <row r="43" spans="1:5" ht="15.75">
      <c r="A43" s="301"/>
      <c r="B43" s="310"/>
      <c r="C43" s="304"/>
      <c r="D43" s="14"/>
      <c r="E43" s="14"/>
    </row>
    <row r="44" spans="1:5" ht="15.75">
      <c r="A44" s="301"/>
      <c r="B44" s="310"/>
      <c r="C44" s="304"/>
      <c r="D44" s="14"/>
      <c r="E44" s="14"/>
    </row>
    <row r="45" spans="1:5" ht="15.75">
      <c r="A45" s="301"/>
      <c r="B45" s="310"/>
      <c r="C45" s="304"/>
      <c r="D45" s="14"/>
      <c r="E45" s="14"/>
    </row>
    <row r="46" spans="1:5" ht="15.75">
      <c r="A46" s="301"/>
      <c r="B46" s="310"/>
      <c r="C46" s="304"/>
      <c r="D46" s="14"/>
      <c r="E46" s="14"/>
    </row>
    <row r="47" spans="1:5" ht="15.75">
      <c r="A47" s="301"/>
      <c r="B47" s="310"/>
      <c r="C47" s="304"/>
      <c r="D47" s="14"/>
      <c r="E47" s="14"/>
    </row>
    <row r="48" spans="1:5" ht="15.75">
      <c r="A48" s="301"/>
      <c r="B48" s="310"/>
      <c r="C48" s="304"/>
      <c r="D48" s="14"/>
      <c r="E48" s="14"/>
    </row>
    <row r="49" spans="1:5" ht="15.75">
      <c r="A49" s="301"/>
      <c r="B49" s="310"/>
      <c r="C49" s="304"/>
      <c r="D49" s="14"/>
      <c r="E49" s="14"/>
    </row>
    <row r="50" spans="1:5" ht="15.75">
      <c r="A50" s="301"/>
      <c r="B50" s="310"/>
      <c r="C50" s="304"/>
      <c r="D50" s="14"/>
      <c r="E50" s="14"/>
    </row>
    <row r="51" spans="1:5" ht="15.75">
      <c r="A51" s="301"/>
      <c r="B51" s="310"/>
      <c r="C51" s="304"/>
      <c r="D51" s="14"/>
      <c r="E51" s="14"/>
    </row>
    <row r="52" spans="1:5" ht="15.75">
      <c r="A52" s="301"/>
      <c r="B52" s="310"/>
      <c r="C52" s="304"/>
      <c r="D52" s="14"/>
      <c r="E52" s="14"/>
    </row>
    <row r="53" spans="1:5" ht="15.75">
      <c r="A53" s="301"/>
      <c r="B53" s="310"/>
      <c r="C53" s="304"/>
      <c r="D53" s="14"/>
      <c r="E53" s="14"/>
    </row>
    <row r="54" spans="1:5" ht="15.75">
      <c r="A54" s="301"/>
      <c r="B54" s="310"/>
      <c r="C54" s="304"/>
      <c r="D54" s="14"/>
      <c r="E54" s="14"/>
    </row>
    <row r="55" spans="1:5" ht="15.75">
      <c r="A55" s="301"/>
      <c r="B55" s="310"/>
      <c r="C55" s="304"/>
      <c r="D55" s="14"/>
      <c r="E55" s="14"/>
    </row>
    <row r="56" spans="1:5" ht="15.75">
      <c r="A56" s="301"/>
      <c r="B56" s="310"/>
      <c r="C56" s="304"/>
      <c r="D56" s="14"/>
      <c r="E56" s="14"/>
    </row>
    <row r="57" spans="1:5" ht="15.75">
      <c r="A57" s="301"/>
      <c r="B57" s="310"/>
      <c r="C57" s="304"/>
      <c r="D57" s="14"/>
      <c r="E57" s="14"/>
    </row>
    <row r="58" spans="1:5" ht="15.75">
      <c r="A58" s="301"/>
      <c r="B58" s="310"/>
      <c r="C58" s="304"/>
      <c r="D58" s="14"/>
      <c r="E58" s="14"/>
    </row>
    <row r="59" spans="1:5" ht="15.75">
      <c r="A59" s="301"/>
      <c r="B59" s="310"/>
      <c r="C59" s="304"/>
      <c r="D59" s="14"/>
      <c r="E59" s="14"/>
    </row>
    <row r="60" spans="1:5" ht="15.75">
      <c r="A60" s="301"/>
      <c r="B60" s="310"/>
      <c r="C60" s="304"/>
      <c r="D60" s="14"/>
      <c r="E60" s="14"/>
    </row>
    <row r="61" spans="1:5" ht="15.75">
      <c r="A61" s="301"/>
      <c r="B61" s="310"/>
      <c r="C61" s="304"/>
      <c r="D61" s="14"/>
      <c r="E61" s="14"/>
    </row>
    <row r="62" spans="1:5" ht="15.75">
      <c r="A62" s="301"/>
      <c r="B62" s="310"/>
      <c r="C62" s="304"/>
      <c r="D62" s="14"/>
      <c r="E62" s="14"/>
    </row>
    <row r="63" spans="1:5" ht="15.75">
      <c r="A63" s="301"/>
      <c r="B63" s="310"/>
      <c r="C63" s="304"/>
      <c r="D63" s="14"/>
      <c r="E63" s="14"/>
    </row>
    <row r="64" spans="1:5" ht="15.75">
      <c r="A64" s="301"/>
      <c r="B64" s="310"/>
      <c r="C64" s="304"/>
      <c r="D64" s="14"/>
      <c r="E64" s="14"/>
    </row>
    <row r="65" spans="1:5" ht="15.75">
      <c r="A65" s="301"/>
      <c r="B65" s="318"/>
      <c r="C65" s="304"/>
      <c r="D65" s="14"/>
      <c r="E65" s="14"/>
    </row>
    <row r="66" spans="1:5" ht="15.75">
      <c r="A66" s="319" t="s">
        <v>703</v>
      </c>
      <c r="B66" s="317"/>
      <c r="C66" s="304"/>
      <c r="D66" s="304"/>
      <c r="E66" s="304"/>
    </row>
    <row r="67" spans="1:5" ht="15.75">
      <c r="A67" s="319" t="s">
        <v>704</v>
      </c>
      <c r="B67" s="317"/>
      <c r="C67" s="355">
        <f>IF(C68*0.1&lt;C66,"Exceed 10% Rule","")</f>
      </c>
      <c r="D67" s="355">
        <f>IF(D68*0.1&lt;D66,"Exceed 10% Rule","")</f>
      </c>
      <c r="E67" s="355">
        <f>IF(E68*0.1&lt;E66,"Exceed 10% Rule","")</f>
      </c>
    </row>
    <row r="68" spans="1:8" ht="15.75">
      <c r="A68" s="151" t="s">
        <v>404</v>
      </c>
      <c r="B68" s="309"/>
      <c r="C68" s="307">
        <f>SUM(C26:C66)</f>
        <v>4841210.02</v>
      </c>
      <c r="D68" s="260">
        <f>SUM(D26:D66)</f>
        <v>5038096.61</v>
      </c>
      <c r="E68" s="260">
        <f>SUM(E26:E66)</f>
        <v>5215234.449999999</v>
      </c>
      <c r="F68" s="393">
        <f>+C68-4841210.02</f>
        <v>0</v>
      </c>
      <c r="G68" s="393">
        <f>+D68-5038096.61</f>
        <v>0</v>
      </c>
      <c r="H68" s="393">
        <f>+E68-5215234.45</f>
        <v>0</v>
      </c>
    </row>
    <row r="69" spans="1:5" ht="15.75">
      <c r="A69" s="37" t="s">
        <v>528</v>
      </c>
      <c r="B69" s="309"/>
      <c r="C69" s="315">
        <f>C24-C68</f>
        <v>932494.1299999999</v>
      </c>
      <c r="D69" s="262">
        <f>D24-D68</f>
        <v>861500.3099999996</v>
      </c>
      <c r="E69" s="262">
        <f>E24-E68</f>
        <v>898998.1700000009</v>
      </c>
    </row>
    <row r="70" spans="1:5" ht="15.75">
      <c r="A70" s="23" t="str">
        <f>CONCATENATE("",E1-2," Budget Authority Limited Amount:")</f>
        <v>2010 Budget Authority Limited Amount:</v>
      </c>
      <c r="B70" s="338">
        <f>inputOth!B83</f>
        <v>5123638</v>
      </c>
      <c r="C70" s="168"/>
      <c r="D70" s="168"/>
      <c r="E70" s="168"/>
    </row>
    <row r="71" spans="1:5" ht="15.75">
      <c r="A71" s="23" t="str">
        <f>CONCATENATE("Violation of Budget Law for ",E1-2,":")</f>
        <v>Violation of Budget Law for 2010:</v>
      </c>
      <c r="B71" s="339">
        <f>IF(C68&gt;B70,"Yes","")</f>
      </c>
      <c r="C71" s="168"/>
      <c r="D71" s="168"/>
      <c r="E71" s="168"/>
    </row>
    <row r="72" spans="1:5" ht="15.75">
      <c r="A72" s="23" t="str">
        <f>CONCATENATE("Possible Cash Violation for ",E1-2,":")</f>
        <v>Possible Cash Violation for 2010:</v>
      </c>
      <c r="B72" s="339">
        <f>IF(C69&lt;0,"Yes","")</f>
      </c>
      <c r="C72" s="168"/>
      <c r="D72" s="168"/>
      <c r="E72" s="168"/>
    </row>
    <row r="73" spans="1:5" ht="15">
      <c r="A73" s="168"/>
      <c r="B73" s="168"/>
      <c r="C73" s="168"/>
      <c r="D73" s="168"/>
      <c r="E73" s="168"/>
    </row>
    <row r="74" spans="1:5" ht="15.75">
      <c r="A74" s="24"/>
      <c r="B74" s="24" t="s">
        <v>408</v>
      </c>
      <c r="C74" s="389">
        <v>21</v>
      </c>
      <c r="D74" s="168"/>
      <c r="E74" s="168"/>
    </row>
  </sheetData>
  <sheetProtection/>
  <conditionalFormatting sqref="C66">
    <cfRule type="cellIs" priority="1" dxfId="157" operator="greaterThan" stopIfTrue="1">
      <formula>$C$68*0.1</formula>
    </cfRule>
  </conditionalFormatting>
  <conditionalFormatting sqref="D66">
    <cfRule type="cellIs" priority="2" dxfId="157" operator="greaterThan" stopIfTrue="1">
      <formula>$D$68*0.1</formula>
    </cfRule>
  </conditionalFormatting>
  <conditionalFormatting sqref="E66">
    <cfRule type="cellIs" priority="3" dxfId="157" operator="greaterThan" stopIfTrue="1">
      <formula>$E$68*0.1</formula>
    </cfRule>
  </conditionalFormatting>
  <conditionalFormatting sqref="C21">
    <cfRule type="cellIs" priority="4" dxfId="157" operator="greaterThan" stopIfTrue="1">
      <formula>$C$23*0.1</formula>
    </cfRule>
  </conditionalFormatting>
  <conditionalFormatting sqref="D21">
    <cfRule type="cellIs" priority="5" dxfId="157" operator="greaterThan" stopIfTrue="1">
      <formula>$D$23*0.1</formula>
    </cfRule>
  </conditionalFormatting>
  <conditionalFormatting sqref="E21">
    <cfRule type="cellIs" priority="6" dxfId="157" operator="greaterThan" stopIfTrue="1">
      <formula>$E$23*0.1</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Coffeyville</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view="pageBreakPreview" zoomScaleSheetLayoutView="100" zoomScalePageLayoutView="0" workbookViewId="0" topLeftCell="A1">
      <selection activeCell="I20" sqref="I20:J20"/>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1" width="8.8984375" style="2" customWidth="1"/>
    <col min="12" max="12" width="2.59765625" style="2" bestFit="1" customWidth="1"/>
    <col min="13" max="16384" width="8.8984375" style="2" customWidth="1"/>
  </cols>
  <sheetData>
    <row r="1" spans="1:11" ht="15.75">
      <c r="A1" s="51" t="str">
        <f>inputPrYr!$D$2</f>
        <v>City of Coffeyville</v>
      </c>
      <c r="B1" s="152"/>
      <c r="C1" s="50"/>
      <c r="D1" s="50"/>
      <c r="E1" s="50"/>
      <c r="F1" s="52" t="s">
        <v>558</v>
      </c>
      <c r="G1" s="50"/>
      <c r="H1" s="50"/>
      <c r="I1" s="50"/>
      <c r="J1" s="50"/>
      <c r="K1" s="50">
        <f>inputPrYr!$C$5</f>
        <v>2012</v>
      </c>
    </row>
    <row r="2" spans="1:11" ht="15.75">
      <c r="A2" s="50"/>
      <c r="B2" s="50"/>
      <c r="C2" s="50"/>
      <c r="D2" s="50"/>
      <c r="E2" s="50"/>
      <c r="F2" s="367" t="str">
        <f>CONCATENATE("(Only the actual budget year for ",K1-2," is to be shown)")</f>
        <v>(Only the actual budget year for 2010 is to be shown)</v>
      </c>
      <c r="G2" s="50"/>
      <c r="H2" s="50"/>
      <c r="I2" s="50"/>
      <c r="J2" s="50"/>
      <c r="K2" s="50"/>
    </row>
    <row r="3" spans="1:11" ht="15.75">
      <c r="A3" s="50" t="s">
        <v>612</v>
      </c>
      <c r="B3" s="50"/>
      <c r="C3" s="50"/>
      <c r="D3" s="50"/>
      <c r="E3" s="50"/>
      <c r="F3" s="366"/>
      <c r="G3" s="50"/>
      <c r="H3" s="50"/>
      <c r="I3" s="50"/>
      <c r="J3" s="50"/>
      <c r="K3" s="50"/>
    </row>
    <row r="4" spans="1:11" ht="15.75">
      <c r="A4" s="50" t="s">
        <v>559</v>
      </c>
      <c r="B4" s="50"/>
      <c r="C4" s="50" t="s">
        <v>560</v>
      </c>
      <c r="D4" s="50"/>
      <c r="E4" s="50" t="s">
        <v>561</v>
      </c>
      <c r="F4" s="152"/>
      <c r="G4" s="50" t="s">
        <v>562</v>
      </c>
      <c r="H4" s="50"/>
      <c r="I4" s="50" t="s">
        <v>563</v>
      </c>
      <c r="J4" s="50"/>
      <c r="K4" s="50"/>
    </row>
    <row r="5" spans="1:11" ht="15.75">
      <c r="A5" s="469" t="str">
        <f>IF(inputPrYr!B57&gt;" ",(inputPrYr!B57)," ")</f>
        <v>Drug Forfeitures</v>
      </c>
      <c r="B5" s="470"/>
      <c r="C5" s="469" t="str">
        <f>IF(inputPrYr!B58&gt;" ",(inputPrYr!B58)," ")</f>
        <v>Perpetual Care</v>
      </c>
      <c r="D5" s="470"/>
      <c r="E5" s="469" t="str">
        <f>IF(inputPrYr!B59&gt;" ",(inputPrYr!B59)," ")</f>
        <v>Airport Special Projects</v>
      </c>
      <c r="F5" s="470"/>
      <c r="G5" s="469" t="str">
        <f>IF(inputPrYr!B60&gt;" ",(inputPrYr!B60)," ")</f>
        <v>Risk Management</v>
      </c>
      <c r="H5" s="470"/>
      <c r="I5" s="469" t="str">
        <f>IF(inputPrYr!B61&gt;" ",(inputPrYr!B61)," ")</f>
        <v>Hillcrest Golf Course Depr/Repl</v>
      </c>
      <c r="J5" s="470"/>
      <c r="K5" s="153"/>
    </row>
    <row r="6" spans="1:11" ht="15.75">
      <c r="A6" s="154" t="s">
        <v>564</v>
      </c>
      <c r="B6" s="155"/>
      <c r="C6" s="156" t="s">
        <v>564</v>
      </c>
      <c r="D6" s="157"/>
      <c r="E6" s="156" t="s">
        <v>564</v>
      </c>
      <c r="F6" s="158"/>
      <c r="G6" s="156" t="s">
        <v>564</v>
      </c>
      <c r="H6" s="159"/>
      <c r="I6" s="156" t="s">
        <v>564</v>
      </c>
      <c r="J6" s="50"/>
      <c r="K6" s="160" t="s">
        <v>363</v>
      </c>
    </row>
    <row r="7" spans="1:11" ht="15.75">
      <c r="A7" s="161" t="s">
        <v>65</v>
      </c>
      <c r="B7" s="282">
        <v>71131.51</v>
      </c>
      <c r="C7" s="162" t="s">
        <v>65</v>
      </c>
      <c r="D7" s="282">
        <v>14991.46</v>
      </c>
      <c r="E7" s="162" t="s">
        <v>65</v>
      </c>
      <c r="F7" s="282">
        <v>94097.13</v>
      </c>
      <c r="G7" s="162" t="s">
        <v>65</v>
      </c>
      <c r="H7" s="282">
        <v>1217352.99</v>
      </c>
      <c r="I7" s="162" t="s">
        <v>65</v>
      </c>
      <c r="J7" s="282">
        <v>90030.79</v>
      </c>
      <c r="K7" s="265">
        <f>SUM(B7+D7+F7+H7+J7)</f>
        <v>1487603.8800000001</v>
      </c>
    </row>
    <row r="8" spans="1:11" ht="15.75">
      <c r="A8" s="163" t="s">
        <v>529</v>
      </c>
      <c r="B8" s="164"/>
      <c r="C8" s="163" t="s">
        <v>529</v>
      </c>
      <c r="D8" s="165"/>
      <c r="E8" s="163" t="s">
        <v>529</v>
      </c>
      <c r="F8" s="152"/>
      <c r="G8" s="163" t="s">
        <v>529</v>
      </c>
      <c r="H8" s="50"/>
      <c r="I8" s="163" t="s">
        <v>529</v>
      </c>
      <c r="J8" s="50"/>
      <c r="K8" s="152"/>
    </row>
    <row r="9" spans="1:11" ht="15.75">
      <c r="A9" s="281" t="s">
        <v>99</v>
      </c>
      <c r="B9" s="386">
        <v>15275.12</v>
      </c>
      <c r="C9" s="281" t="s">
        <v>102</v>
      </c>
      <c r="D9" s="386">
        <v>1064.69</v>
      </c>
      <c r="E9" s="281" t="s">
        <v>103</v>
      </c>
      <c r="F9" s="386">
        <v>928515</v>
      </c>
      <c r="G9" s="281" t="s">
        <v>105</v>
      </c>
      <c r="H9" s="386">
        <v>0</v>
      </c>
      <c r="I9" s="281" t="s">
        <v>444</v>
      </c>
      <c r="J9" s="386">
        <v>1040.44</v>
      </c>
      <c r="K9" s="152"/>
    </row>
    <row r="10" spans="1:11" ht="15.75">
      <c r="A10" s="281"/>
      <c r="B10" s="386"/>
      <c r="C10" s="281" t="s">
        <v>444</v>
      </c>
      <c r="D10" s="386">
        <v>148.53</v>
      </c>
      <c r="E10" s="284" t="s">
        <v>338</v>
      </c>
      <c r="F10" s="386">
        <v>-13510</v>
      </c>
      <c r="G10" s="281" t="s">
        <v>106</v>
      </c>
      <c r="H10" s="386">
        <v>1814821.62</v>
      </c>
      <c r="I10" s="281"/>
      <c r="J10" s="386"/>
      <c r="K10" s="152"/>
    </row>
    <row r="11" spans="1:11" ht="15.75">
      <c r="A11" s="281"/>
      <c r="B11" s="386"/>
      <c r="C11" s="284" t="s">
        <v>337</v>
      </c>
      <c r="D11" s="386">
        <v>32000</v>
      </c>
      <c r="E11" s="284"/>
      <c r="F11" s="386"/>
      <c r="G11" s="284" t="s">
        <v>107</v>
      </c>
      <c r="H11" s="386">
        <v>13364.68</v>
      </c>
      <c r="I11" s="285"/>
      <c r="J11" s="386"/>
      <c r="K11" s="152"/>
    </row>
    <row r="12" spans="1:11" ht="15.75">
      <c r="A12" s="281"/>
      <c r="B12" s="386"/>
      <c r="C12" s="281"/>
      <c r="D12" s="386"/>
      <c r="E12" s="286"/>
      <c r="F12" s="386"/>
      <c r="G12" s="286" t="s">
        <v>339</v>
      </c>
      <c r="H12" s="386">
        <v>1099.63</v>
      </c>
      <c r="I12" s="286"/>
      <c r="J12" s="386"/>
      <c r="K12" s="152"/>
    </row>
    <row r="13" spans="1:11" ht="15.75">
      <c r="A13" s="287"/>
      <c r="B13" s="386"/>
      <c r="C13" s="288"/>
      <c r="D13" s="386"/>
      <c r="E13" s="288"/>
      <c r="F13" s="386"/>
      <c r="G13" s="288"/>
      <c r="H13" s="386"/>
      <c r="I13" s="285"/>
      <c r="J13" s="386"/>
      <c r="K13" s="152"/>
    </row>
    <row r="14" spans="1:11" ht="15.75">
      <c r="A14" s="281"/>
      <c r="B14" s="386"/>
      <c r="C14" s="286"/>
      <c r="D14" s="386"/>
      <c r="E14" s="286"/>
      <c r="F14" s="386"/>
      <c r="G14" s="286"/>
      <c r="H14" s="386"/>
      <c r="I14" s="286"/>
      <c r="J14" s="386"/>
      <c r="K14" s="152"/>
    </row>
    <row r="15" spans="1:11" ht="15.75">
      <c r="A15" s="281"/>
      <c r="B15" s="386"/>
      <c r="C15" s="286"/>
      <c r="D15" s="386"/>
      <c r="E15" s="286"/>
      <c r="F15" s="386"/>
      <c r="G15" s="286"/>
      <c r="H15" s="386"/>
      <c r="I15" s="286"/>
      <c r="J15" s="386"/>
      <c r="K15" s="152"/>
    </row>
    <row r="16" spans="1:11" ht="15.75">
      <c r="A16" s="281"/>
      <c r="B16" s="386"/>
      <c r="C16" s="281"/>
      <c r="D16" s="386"/>
      <c r="E16" s="281"/>
      <c r="F16" s="386"/>
      <c r="G16" s="286"/>
      <c r="H16" s="386"/>
      <c r="I16" s="281"/>
      <c r="J16" s="386"/>
      <c r="K16" s="152"/>
    </row>
    <row r="17" spans="1:11" ht="15.75">
      <c r="A17" s="163" t="s">
        <v>397</v>
      </c>
      <c r="B17" s="265">
        <f>SUM(B9:B16)</f>
        <v>15275.12</v>
      </c>
      <c r="C17" s="163" t="s">
        <v>397</v>
      </c>
      <c r="D17" s="391">
        <f>SUM(D9:D16)</f>
        <v>33213.22</v>
      </c>
      <c r="E17" s="163" t="s">
        <v>397</v>
      </c>
      <c r="F17" s="267">
        <f>SUM(F9:F16)</f>
        <v>915005</v>
      </c>
      <c r="G17" s="163" t="s">
        <v>397</v>
      </c>
      <c r="H17" s="391">
        <f>SUM(H9:H16)</f>
        <v>1829285.93</v>
      </c>
      <c r="I17" s="163" t="s">
        <v>397</v>
      </c>
      <c r="J17" s="391">
        <f>SUM(J9:J16)</f>
        <v>1040.44</v>
      </c>
      <c r="K17" s="265">
        <f>SUM(B17+D17+F17+H17+J17)</f>
        <v>2793819.71</v>
      </c>
    </row>
    <row r="18" spans="1:11" ht="15.75">
      <c r="A18" s="163" t="s">
        <v>398</v>
      </c>
      <c r="B18" s="265">
        <f>SUM(B7+B17)</f>
        <v>86406.62999999999</v>
      </c>
      <c r="C18" s="163" t="s">
        <v>398</v>
      </c>
      <c r="D18" s="265">
        <f>SUM(D7+D17)</f>
        <v>48204.68</v>
      </c>
      <c r="E18" s="163" t="s">
        <v>398</v>
      </c>
      <c r="F18" s="265">
        <f>SUM(F7+F17)</f>
        <v>1009102.13</v>
      </c>
      <c r="G18" s="163" t="s">
        <v>398</v>
      </c>
      <c r="H18" s="265">
        <f>SUM(H7+H17)</f>
        <v>3046638.92</v>
      </c>
      <c r="I18" s="163" t="s">
        <v>398</v>
      </c>
      <c r="J18" s="265">
        <f>SUM(J7+J17)</f>
        <v>91071.23</v>
      </c>
      <c r="K18" s="265">
        <f>SUM(B18+D18+F18+H18+J18)</f>
        <v>4281423.59</v>
      </c>
    </row>
    <row r="19" spans="1:11" ht="15.75">
      <c r="A19" s="163" t="s">
        <v>400</v>
      </c>
      <c r="B19" s="164"/>
      <c r="C19" s="163" t="s">
        <v>400</v>
      </c>
      <c r="D19" s="165"/>
      <c r="E19" s="163" t="s">
        <v>400</v>
      </c>
      <c r="F19" s="152"/>
      <c r="G19" s="163" t="s">
        <v>400</v>
      </c>
      <c r="H19" s="50"/>
      <c r="I19" s="163" t="s">
        <v>400</v>
      </c>
      <c r="J19" s="50"/>
      <c r="K19" s="152"/>
    </row>
    <row r="20" spans="1:11" ht="15.75">
      <c r="A20" s="281" t="s">
        <v>100</v>
      </c>
      <c r="B20" s="386">
        <v>0</v>
      </c>
      <c r="C20" s="286"/>
      <c r="D20" s="386"/>
      <c r="E20" s="286" t="s">
        <v>93</v>
      </c>
      <c r="F20" s="386">
        <f>331418.16+626641.44</f>
        <v>958059.5999999999</v>
      </c>
      <c r="G20" s="286" t="s">
        <v>108</v>
      </c>
      <c r="H20" s="386">
        <v>2084930.89</v>
      </c>
      <c r="I20" s="286"/>
      <c r="J20" s="386"/>
      <c r="K20" s="152"/>
    </row>
    <row r="21" spans="1:11" ht="15.75">
      <c r="A21" s="281" t="s">
        <v>94</v>
      </c>
      <c r="B21" s="386">
        <f>2000+1219</f>
        <v>3219</v>
      </c>
      <c r="C21" s="286"/>
      <c r="D21" s="386"/>
      <c r="E21" s="286"/>
      <c r="F21" s="386"/>
      <c r="G21" s="286"/>
      <c r="H21" s="386"/>
      <c r="I21" s="286"/>
      <c r="J21" s="386"/>
      <c r="K21" s="152"/>
    </row>
    <row r="22" spans="1:11" ht="15.75">
      <c r="A22" s="281" t="s">
        <v>95</v>
      </c>
      <c r="B22" s="387">
        <f>9766+2394.35</f>
        <v>12160.35</v>
      </c>
      <c r="C22" s="288"/>
      <c r="D22" s="387"/>
      <c r="E22" s="288"/>
      <c r="F22" s="387"/>
      <c r="G22" s="288"/>
      <c r="H22" s="387"/>
      <c r="I22" s="285"/>
      <c r="J22" s="387"/>
      <c r="K22" s="152"/>
    </row>
    <row r="23" spans="1:11" ht="15.75">
      <c r="A23" s="281"/>
      <c r="B23" s="386"/>
      <c r="C23" s="286"/>
      <c r="D23" s="386"/>
      <c r="E23" s="286"/>
      <c r="F23" s="386"/>
      <c r="G23" s="286"/>
      <c r="H23" s="386"/>
      <c r="I23" s="286"/>
      <c r="J23" s="386"/>
      <c r="K23" s="152"/>
    </row>
    <row r="24" spans="1:11" ht="15.75">
      <c r="A24" s="281"/>
      <c r="B24" s="387"/>
      <c r="C24" s="288"/>
      <c r="D24" s="387"/>
      <c r="E24" s="288"/>
      <c r="F24" s="387"/>
      <c r="G24" s="288"/>
      <c r="H24" s="387"/>
      <c r="I24" s="285"/>
      <c r="J24" s="387"/>
      <c r="K24" s="152"/>
    </row>
    <row r="25" spans="1:11" ht="15.75">
      <c r="A25" s="281"/>
      <c r="B25" s="386"/>
      <c r="C25" s="286"/>
      <c r="D25" s="386"/>
      <c r="E25" s="286"/>
      <c r="F25" s="386"/>
      <c r="G25" s="286"/>
      <c r="H25" s="386"/>
      <c r="I25" s="286"/>
      <c r="J25" s="386"/>
      <c r="K25" s="152"/>
    </row>
    <row r="26" spans="1:11" ht="15.75">
      <c r="A26" s="281"/>
      <c r="B26" s="386"/>
      <c r="C26" s="286"/>
      <c r="D26" s="386"/>
      <c r="E26" s="286"/>
      <c r="F26" s="386"/>
      <c r="G26" s="286"/>
      <c r="H26" s="386"/>
      <c r="I26" s="286"/>
      <c r="J26" s="386"/>
      <c r="K26" s="152"/>
    </row>
    <row r="27" spans="1:11" ht="15.75">
      <c r="A27" s="281"/>
      <c r="B27" s="388"/>
      <c r="C27" s="281"/>
      <c r="D27" s="388"/>
      <c r="E27" s="281"/>
      <c r="F27" s="388"/>
      <c r="G27" s="286"/>
      <c r="H27" s="388"/>
      <c r="I27" s="286"/>
      <c r="J27" s="388"/>
      <c r="K27" s="152"/>
    </row>
    <row r="28" spans="1:11" ht="15.75">
      <c r="A28" s="163" t="s">
        <v>404</v>
      </c>
      <c r="B28" s="265">
        <f>SUM(B20:B27)</f>
        <v>15379.35</v>
      </c>
      <c r="C28" s="163" t="s">
        <v>404</v>
      </c>
      <c r="D28" s="265">
        <f>SUM(D20:D27)</f>
        <v>0</v>
      </c>
      <c r="E28" s="163" t="s">
        <v>404</v>
      </c>
      <c r="F28" s="265">
        <f>SUM(F20:F27)</f>
        <v>958059.5999999999</v>
      </c>
      <c r="G28" s="163" t="s">
        <v>404</v>
      </c>
      <c r="H28" s="265">
        <f>SUM(H20:H27)</f>
        <v>2084930.89</v>
      </c>
      <c r="I28" s="163" t="s">
        <v>404</v>
      </c>
      <c r="J28" s="265">
        <f>SUM(J20:J27)</f>
        <v>0</v>
      </c>
      <c r="K28" s="265">
        <f>SUM(B28+D28+F28+H28+J28)</f>
        <v>3058369.84</v>
      </c>
    </row>
    <row r="29" spans="1:12" ht="15.75">
      <c r="A29" s="163" t="s">
        <v>565</v>
      </c>
      <c r="B29" s="265">
        <f>SUM(B18-B28)</f>
        <v>71027.27999999998</v>
      </c>
      <c r="C29" s="163" t="s">
        <v>565</v>
      </c>
      <c r="D29" s="265">
        <f>SUM(D18-D28)</f>
        <v>48204.68</v>
      </c>
      <c r="E29" s="163" t="s">
        <v>565</v>
      </c>
      <c r="F29" s="265">
        <f>SUM(F18-F28)</f>
        <v>51042.530000000144</v>
      </c>
      <c r="G29" s="163" t="s">
        <v>565</v>
      </c>
      <c r="H29" s="265">
        <f>SUM(H18-H28)</f>
        <v>961708.03</v>
      </c>
      <c r="I29" s="163" t="s">
        <v>565</v>
      </c>
      <c r="J29" s="265">
        <f>SUM(J18-J28)</f>
        <v>91071.23</v>
      </c>
      <c r="K29" s="268">
        <f>SUM(B29+D29+F29+H29+J29)</f>
        <v>1223053.7500000002</v>
      </c>
      <c r="L29" s="2" t="s">
        <v>660</v>
      </c>
    </row>
    <row r="30" spans="1:12" ht="15.75">
      <c r="A30" s="163"/>
      <c r="B30" s="369">
        <f>IF(B29&lt;0,"Neg Bal","")</f>
      </c>
      <c r="C30" s="163"/>
      <c r="D30" s="369">
        <f>IF(D29&lt;0,"Neg Bal","")</f>
      </c>
      <c r="E30" s="163"/>
      <c r="F30" s="369">
        <f>IF(F29&lt;0,"Neg Bal","")</f>
      </c>
      <c r="G30" s="50"/>
      <c r="H30" s="369">
        <f>IF(H29&lt;0,"Neg Bal","")</f>
      </c>
      <c r="I30" s="50"/>
      <c r="J30" s="369">
        <f>IF(J29&lt;0,"Neg Bal","")</f>
      </c>
      <c r="K30" s="268">
        <f>SUM(K7+K17-K28)</f>
        <v>1223053.75</v>
      </c>
      <c r="L30" s="2" t="s">
        <v>660</v>
      </c>
    </row>
    <row r="31" spans="1:11" ht="15.75">
      <c r="A31" s="50"/>
      <c r="B31" s="55"/>
      <c r="C31" s="50"/>
      <c r="D31" s="152"/>
      <c r="E31" s="50"/>
      <c r="F31" s="50"/>
      <c r="G31" s="360" t="s">
        <v>662</v>
      </c>
      <c r="H31" s="360"/>
      <c r="I31" s="360"/>
      <c r="J31" s="360"/>
      <c r="K31" s="50"/>
    </row>
    <row r="32" spans="1:11" ht="15.75">
      <c r="A32" s="50"/>
      <c r="B32" s="55"/>
      <c r="C32" s="50"/>
      <c r="D32" s="50"/>
      <c r="E32" s="50"/>
      <c r="F32" s="50"/>
      <c r="G32" s="50"/>
      <c r="H32" s="50"/>
      <c r="I32" s="50"/>
      <c r="J32" s="50"/>
      <c r="K32" s="50"/>
    </row>
    <row r="33" spans="1:11" ht="15.75">
      <c r="A33" s="50"/>
      <c r="B33" s="55"/>
      <c r="C33" s="50"/>
      <c r="D33" s="50"/>
      <c r="E33" s="63" t="s">
        <v>408</v>
      </c>
      <c r="F33" s="100">
        <v>22</v>
      </c>
      <c r="G33" s="50"/>
      <c r="H33" s="50"/>
      <c r="I33" s="50"/>
      <c r="J33" s="50"/>
      <c r="K33" s="50"/>
    </row>
    <row r="34" ht="15.75">
      <c r="B34" s="166"/>
    </row>
    <row r="35" ht="15.75">
      <c r="B35" s="166"/>
    </row>
    <row r="36" ht="15.75">
      <c r="B36" s="166"/>
    </row>
    <row r="37" ht="15.75">
      <c r="B37" s="166"/>
    </row>
    <row r="38" ht="15.75">
      <c r="B38" s="166"/>
    </row>
    <row r="39" ht="15.75">
      <c r="B39" s="166"/>
    </row>
    <row r="40" ht="15.75">
      <c r="B40" s="166"/>
    </row>
    <row r="41" ht="15.75">
      <c r="B41" s="16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91" r:id="rId1"/>
  <headerFooter alignWithMargins="0">
    <oddHeader>&amp;RState of Kansas
Coffeyville</oddHeader>
    <oddFooter>&amp;Lrevised 7/01/08</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view="pageBreakPreview" zoomScaleSheetLayoutView="100" zoomScalePageLayoutView="0" workbookViewId="0" topLeftCell="A1">
      <selection activeCell="H28" sqref="H28"/>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1" width="8.8984375" style="2" customWidth="1"/>
    <col min="12" max="12" width="2.59765625" style="2" bestFit="1" customWidth="1"/>
    <col min="13" max="16384" width="8.8984375" style="2" customWidth="1"/>
  </cols>
  <sheetData>
    <row r="1" spans="1:11" ht="15.75">
      <c r="A1" s="51" t="str">
        <f>inputPrYr!$D$2</f>
        <v>City of Coffeyville</v>
      </c>
      <c r="B1" s="152"/>
      <c r="C1" s="50"/>
      <c r="D1" s="50"/>
      <c r="E1" s="50"/>
      <c r="F1" s="52" t="s">
        <v>566</v>
      </c>
      <c r="G1" s="50"/>
      <c r="H1" s="50"/>
      <c r="I1" s="50"/>
      <c r="J1" s="50"/>
      <c r="K1" s="50">
        <f>inputPrYr!$C$5</f>
        <v>2012</v>
      </c>
    </row>
    <row r="2" spans="1:11" ht="15.75">
      <c r="A2" s="50"/>
      <c r="B2" s="50"/>
      <c r="C2" s="50"/>
      <c r="D2" s="50"/>
      <c r="E2" s="50"/>
      <c r="F2" s="367" t="str">
        <f>CONCATENATE("(Only the actual budget year for ",K1-2," is to be shown)")</f>
        <v>(Only the actual budget year for 2010 is to be shown)</v>
      </c>
      <c r="G2" s="50"/>
      <c r="H2" s="50"/>
      <c r="I2" s="50"/>
      <c r="J2" s="50"/>
      <c r="K2" s="50"/>
    </row>
    <row r="3" spans="1:11" ht="15.75">
      <c r="A3" s="50" t="s">
        <v>611</v>
      </c>
      <c r="B3" s="50"/>
      <c r="C3" s="50"/>
      <c r="D3" s="50"/>
      <c r="E3" s="50"/>
      <c r="F3" s="152"/>
      <c r="G3" s="50"/>
      <c r="H3" s="50"/>
      <c r="I3" s="50"/>
      <c r="J3" s="50"/>
      <c r="K3" s="50"/>
    </row>
    <row r="4" spans="1:11" ht="15.75">
      <c r="A4" s="50" t="s">
        <v>559</v>
      </c>
      <c r="B4" s="50"/>
      <c r="C4" s="50" t="s">
        <v>560</v>
      </c>
      <c r="D4" s="50"/>
      <c r="E4" s="50" t="s">
        <v>561</v>
      </c>
      <c r="F4" s="152"/>
      <c r="G4" s="50" t="s">
        <v>562</v>
      </c>
      <c r="H4" s="50"/>
      <c r="I4" s="50" t="s">
        <v>563</v>
      </c>
      <c r="J4" s="50"/>
      <c r="K4" s="50"/>
    </row>
    <row r="5" spans="1:11" ht="15.75">
      <c r="A5" s="469" t="str">
        <f>IF(inputPrYr!B63&gt;" ",(inputPrYr!B63)," ")</f>
        <v>Miscellaneous Projects</v>
      </c>
      <c r="B5" s="470"/>
      <c r="C5" s="469" t="str">
        <f>IF(inputPrYr!B64&gt;" ",(inputPrYr!B64)," ")</f>
        <v>Law Enforcement Projects</v>
      </c>
      <c r="D5" s="470"/>
      <c r="E5" s="469" t="str">
        <f>IF(inputPrYr!B65&gt;" ",(inputPrYr!B65)," ")</f>
        <v>Aquatic Center Depr/Repl</v>
      </c>
      <c r="F5" s="470"/>
      <c r="G5" s="469" t="str">
        <f>IF(inputPrYr!B66&gt;" ",(inputPrYr!B66)," ")</f>
        <v>Capital Equipment</v>
      </c>
      <c r="H5" s="470"/>
      <c r="I5" s="469" t="str">
        <f>IF(inputPrYr!B67&gt;" ",(inputPrYr!B67)," ")</f>
        <v>Emergency 911 System</v>
      </c>
      <c r="J5" s="470"/>
      <c r="K5" s="153"/>
    </row>
    <row r="6" spans="1:11" ht="15.75">
      <c r="A6" s="154" t="s">
        <v>564</v>
      </c>
      <c r="B6" s="155"/>
      <c r="C6" s="156" t="s">
        <v>564</v>
      </c>
      <c r="D6" s="157"/>
      <c r="E6" s="156" t="s">
        <v>564</v>
      </c>
      <c r="F6" s="158"/>
      <c r="G6" s="156" t="s">
        <v>564</v>
      </c>
      <c r="H6" s="159"/>
      <c r="I6" s="156" t="s">
        <v>564</v>
      </c>
      <c r="J6" s="50"/>
      <c r="K6" s="160" t="s">
        <v>363</v>
      </c>
    </row>
    <row r="7" spans="1:11" ht="15.75">
      <c r="A7" s="161" t="s">
        <v>65</v>
      </c>
      <c r="B7" s="282">
        <v>409.07</v>
      </c>
      <c r="C7" s="162" t="s">
        <v>65</v>
      </c>
      <c r="D7" s="282">
        <v>666</v>
      </c>
      <c r="E7" s="162" t="s">
        <v>65</v>
      </c>
      <c r="F7" s="282">
        <v>0</v>
      </c>
      <c r="G7" s="162" t="s">
        <v>65</v>
      </c>
      <c r="H7" s="282">
        <v>175978.7</v>
      </c>
      <c r="I7" s="162" t="s">
        <v>65</v>
      </c>
      <c r="J7" s="282">
        <v>49007.16</v>
      </c>
      <c r="K7" s="265">
        <f>SUM(B7+D7+F7+H7+J7)</f>
        <v>226060.93000000002</v>
      </c>
    </row>
    <row r="8" spans="1:11" ht="15.75">
      <c r="A8" s="163" t="s">
        <v>529</v>
      </c>
      <c r="B8" s="164"/>
      <c r="C8" s="163" t="s">
        <v>529</v>
      </c>
      <c r="D8" s="165"/>
      <c r="E8" s="163" t="s">
        <v>529</v>
      </c>
      <c r="F8" s="152"/>
      <c r="G8" s="163" t="s">
        <v>529</v>
      </c>
      <c r="H8" s="50"/>
      <c r="I8" s="163" t="s">
        <v>529</v>
      </c>
      <c r="J8" s="50"/>
      <c r="K8" s="152"/>
    </row>
    <row r="9" spans="1:11" ht="15.75">
      <c r="A9" s="281" t="s">
        <v>117</v>
      </c>
      <c r="B9" s="386">
        <v>7866.51</v>
      </c>
      <c r="C9" s="281" t="s">
        <v>118</v>
      </c>
      <c r="D9" s="386">
        <f>63857.26+24072</f>
        <v>87929.26000000001</v>
      </c>
      <c r="E9" s="281"/>
      <c r="F9" s="386"/>
      <c r="G9" s="281" t="s">
        <v>83</v>
      </c>
      <c r="H9" s="386">
        <v>5911.67</v>
      </c>
      <c r="I9" s="281" t="s">
        <v>122</v>
      </c>
      <c r="J9" s="386">
        <v>47001.84</v>
      </c>
      <c r="K9" s="152"/>
    </row>
    <row r="10" spans="1:11" ht="15.75">
      <c r="A10" s="281" t="s">
        <v>118</v>
      </c>
      <c r="B10" s="386">
        <f>45052.44+19788.83+64397.5+108855.72</f>
        <v>238094.49</v>
      </c>
      <c r="C10" s="430"/>
      <c r="D10" s="431"/>
      <c r="E10" s="281"/>
      <c r="F10" s="386"/>
      <c r="G10" s="284" t="s">
        <v>110</v>
      </c>
      <c r="H10" s="386">
        <v>0</v>
      </c>
      <c r="I10" s="281" t="s">
        <v>83</v>
      </c>
      <c r="J10" s="386">
        <v>446.21</v>
      </c>
      <c r="K10" s="152"/>
    </row>
    <row r="11" spans="1:11" ht="15.75">
      <c r="A11" s="281" t="s">
        <v>340</v>
      </c>
      <c r="B11" s="386">
        <v>50000</v>
      </c>
      <c r="C11" s="429"/>
      <c r="D11" s="386"/>
      <c r="E11" s="284"/>
      <c r="F11" s="386"/>
      <c r="G11" s="284" t="s">
        <v>104</v>
      </c>
      <c r="H11" s="386">
        <v>160191.08</v>
      </c>
      <c r="I11" s="285" t="s">
        <v>340</v>
      </c>
      <c r="J11" s="386">
        <v>33000</v>
      </c>
      <c r="K11" s="152"/>
    </row>
    <row r="12" spans="1:11" ht="15.75">
      <c r="A12" s="281" t="s">
        <v>341</v>
      </c>
      <c r="B12" s="386">
        <v>2508</v>
      </c>
      <c r="C12" s="281"/>
      <c r="D12" s="386"/>
      <c r="E12" s="286"/>
      <c r="F12" s="386"/>
      <c r="G12" s="386"/>
      <c r="H12" s="386"/>
      <c r="I12" s="286"/>
      <c r="J12" s="386"/>
      <c r="K12" s="152"/>
    </row>
    <row r="13" spans="1:11" ht="15.75">
      <c r="A13" s="287"/>
      <c r="B13" s="386"/>
      <c r="C13" s="288"/>
      <c r="D13" s="386"/>
      <c r="E13" s="288"/>
      <c r="F13" s="386"/>
      <c r="G13" s="288"/>
      <c r="H13" s="386"/>
      <c r="I13" s="285"/>
      <c r="J13" s="386"/>
      <c r="K13" s="152"/>
    </row>
    <row r="14" spans="1:11" ht="15.75">
      <c r="A14" s="281"/>
      <c r="B14" s="386"/>
      <c r="C14" s="286"/>
      <c r="D14" s="386"/>
      <c r="E14" s="286"/>
      <c r="F14" s="386"/>
      <c r="G14" s="286"/>
      <c r="H14" s="386"/>
      <c r="I14" s="286"/>
      <c r="J14" s="386"/>
      <c r="K14" s="152"/>
    </row>
    <row r="15" spans="1:11" ht="15.75">
      <c r="A15" s="281"/>
      <c r="B15" s="386"/>
      <c r="C15" s="286"/>
      <c r="D15" s="386"/>
      <c r="E15" s="286"/>
      <c r="F15" s="386"/>
      <c r="G15" s="286"/>
      <c r="H15" s="386"/>
      <c r="I15" s="286"/>
      <c r="J15" s="386"/>
      <c r="K15" s="152"/>
    </row>
    <row r="16" spans="1:11" ht="15.75">
      <c r="A16" s="281"/>
      <c r="B16" s="386"/>
      <c r="C16" s="281"/>
      <c r="D16" s="386"/>
      <c r="E16" s="281"/>
      <c r="F16" s="386"/>
      <c r="G16" s="286"/>
      <c r="H16" s="386"/>
      <c r="I16" s="281"/>
      <c r="J16" s="386"/>
      <c r="K16" s="152"/>
    </row>
    <row r="17" spans="1:11" ht="15.75">
      <c r="A17" s="163" t="s">
        <v>397</v>
      </c>
      <c r="B17" s="265">
        <f>SUM(B9:B16)</f>
        <v>298469</v>
      </c>
      <c r="C17" s="163" t="s">
        <v>397</v>
      </c>
      <c r="D17" s="265">
        <f>SUM(D9:D16)</f>
        <v>87929.26000000001</v>
      </c>
      <c r="E17" s="163" t="s">
        <v>397</v>
      </c>
      <c r="F17" s="265">
        <f>SUM(F9:F16)</f>
        <v>0</v>
      </c>
      <c r="G17" s="163" t="s">
        <v>397</v>
      </c>
      <c r="H17" s="265">
        <f>SUM(H9:H16)</f>
        <v>166102.75</v>
      </c>
      <c r="I17" s="163" t="s">
        <v>397</v>
      </c>
      <c r="J17" s="265">
        <f>SUM(J9:J16)</f>
        <v>80448.04999999999</v>
      </c>
      <c r="K17" s="265">
        <f>SUM(B17+D17+F17+H17+J17)</f>
        <v>632949.06</v>
      </c>
    </row>
    <row r="18" spans="1:11" ht="15.75">
      <c r="A18" s="163" t="s">
        <v>398</v>
      </c>
      <c r="B18" s="265">
        <f>SUM(B7+B17)</f>
        <v>298878.07</v>
      </c>
      <c r="C18" s="163" t="s">
        <v>398</v>
      </c>
      <c r="D18" s="265">
        <f>SUM(D7+D17)</f>
        <v>88595.26000000001</v>
      </c>
      <c r="E18" s="163" t="s">
        <v>398</v>
      </c>
      <c r="F18" s="265">
        <f>SUM(F7+F17)</f>
        <v>0</v>
      </c>
      <c r="G18" s="163" t="s">
        <v>398</v>
      </c>
      <c r="H18" s="265">
        <f>SUM(H7+H17)</f>
        <v>342081.45</v>
      </c>
      <c r="I18" s="163" t="s">
        <v>398</v>
      </c>
      <c r="J18" s="265">
        <f>SUM(J7+J17)</f>
        <v>129455.20999999999</v>
      </c>
      <c r="K18" s="265">
        <f>SUM(B18+D18+F18+H18+J18)</f>
        <v>859009.99</v>
      </c>
    </row>
    <row r="19" spans="1:11" ht="15.75">
      <c r="A19" s="163" t="s">
        <v>400</v>
      </c>
      <c r="B19" s="164"/>
      <c r="C19" s="163" t="s">
        <v>400</v>
      </c>
      <c r="D19" s="165"/>
      <c r="E19" s="163" t="s">
        <v>400</v>
      </c>
      <c r="F19" s="152"/>
      <c r="G19" s="163" t="s">
        <v>400</v>
      </c>
      <c r="H19" s="50"/>
      <c r="I19" s="163" t="s">
        <v>400</v>
      </c>
      <c r="J19" s="50"/>
      <c r="K19" s="152"/>
    </row>
    <row r="20" spans="1:11" ht="15.75">
      <c r="A20" s="281" t="s">
        <v>93</v>
      </c>
      <c r="B20" s="386">
        <f>43805.51+19588.83+63.8+21634.67+45.6+1448.1+15+37007.68+652.94</f>
        <v>124262.13</v>
      </c>
      <c r="C20" s="286" t="s">
        <v>93</v>
      </c>
      <c r="D20" s="386">
        <v>7727.88</v>
      </c>
      <c r="E20" s="286"/>
      <c r="F20" s="386"/>
      <c r="G20" s="286" t="s">
        <v>95</v>
      </c>
      <c r="H20" s="386">
        <f>181361.58-920.68-17536.68</f>
        <v>162904.22</v>
      </c>
      <c r="I20" s="286" t="s">
        <v>93</v>
      </c>
      <c r="J20" s="386">
        <f>15821.71+7422.23+16544</f>
        <v>39787.94</v>
      </c>
      <c r="K20" s="152"/>
    </row>
    <row r="21" spans="1:11" ht="15.75">
      <c r="A21" s="281" t="s">
        <v>94</v>
      </c>
      <c r="B21" s="386">
        <f>2.77+33.58</f>
        <v>36.35</v>
      </c>
      <c r="C21" s="286" t="s">
        <v>95</v>
      </c>
      <c r="D21" s="386">
        <v>63857.26</v>
      </c>
      <c r="E21" s="286"/>
      <c r="F21" s="386"/>
      <c r="G21" s="286" t="s">
        <v>187</v>
      </c>
      <c r="H21" s="386">
        <v>920.68</v>
      </c>
      <c r="I21" s="286" t="s">
        <v>95</v>
      </c>
      <c r="J21" s="386">
        <f>508.4+86205.74+1326.5</f>
        <v>88040.64</v>
      </c>
      <c r="K21" s="152"/>
    </row>
    <row r="22" spans="1:11" ht="15.75">
      <c r="A22" s="281" t="s">
        <v>95</v>
      </c>
      <c r="B22" s="387">
        <f>74044.04+97976.86-32.18</f>
        <v>171988.72</v>
      </c>
      <c r="C22" s="281" t="s">
        <v>35</v>
      </c>
      <c r="D22" s="386">
        <v>6200</v>
      </c>
      <c r="E22" s="288"/>
      <c r="F22" s="387"/>
      <c r="G22" s="288" t="s">
        <v>535</v>
      </c>
      <c r="H22" s="387">
        <v>17536.68</v>
      </c>
      <c r="I22" s="285"/>
      <c r="J22" s="387"/>
      <c r="K22" s="152"/>
    </row>
    <row r="23" spans="1:11" ht="15.75">
      <c r="A23" s="281"/>
      <c r="B23" s="386"/>
      <c r="C23" s="286"/>
      <c r="D23" s="386"/>
      <c r="E23" s="286"/>
      <c r="F23" s="386"/>
      <c r="G23" s="286"/>
      <c r="H23" s="386"/>
      <c r="I23" s="286"/>
      <c r="J23" s="386"/>
      <c r="K23" s="152"/>
    </row>
    <row r="24" spans="1:11" ht="15.75">
      <c r="A24" s="281"/>
      <c r="B24" s="387"/>
      <c r="C24" s="288"/>
      <c r="D24" s="387"/>
      <c r="E24" s="288"/>
      <c r="F24" s="387"/>
      <c r="G24" s="288"/>
      <c r="H24" s="387"/>
      <c r="I24" s="285"/>
      <c r="J24" s="387"/>
      <c r="K24" s="152"/>
    </row>
    <row r="25" spans="1:11" ht="15.75">
      <c r="A25" s="281"/>
      <c r="B25" s="386"/>
      <c r="C25" s="286"/>
      <c r="D25" s="386"/>
      <c r="E25" s="286"/>
      <c r="F25" s="386"/>
      <c r="G25" s="286"/>
      <c r="H25" s="386"/>
      <c r="I25" s="286"/>
      <c r="J25" s="386"/>
      <c r="K25" s="152"/>
    </row>
    <row r="26" spans="1:11" ht="15.75">
      <c r="A26" s="281"/>
      <c r="B26" s="386"/>
      <c r="C26" s="286"/>
      <c r="D26" s="386"/>
      <c r="E26" s="286"/>
      <c r="F26" s="386"/>
      <c r="G26" s="286"/>
      <c r="H26" s="386"/>
      <c r="I26" s="286"/>
      <c r="J26" s="386"/>
      <c r="K26" s="152"/>
    </row>
    <row r="27" spans="1:11" ht="15.75">
      <c r="A27" s="281"/>
      <c r="B27" s="388"/>
      <c r="C27" s="281"/>
      <c r="D27" s="388"/>
      <c r="E27" s="281"/>
      <c r="F27" s="388"/>
      <c r="G27" s="286"/>
      <c r="H27" s="388"/>
      <c r="I27" s="286"/>
      <c r="J27" s="388"/>
      <c r="K27" s="152"/>
    </row>
    <row r="28" spans="1:11" ht="15.75">
      <c r="A28" s="163" t="s">
        <v>404</v>
      </c>
      <c r="B28" s="265">
        <f>SUM(B20:B27)</f>
        <v>296287.2</v>
      </c>
      <c r="C28" s="163" t="s">
        <v>404</v>
      </c>
      <c r="D28" s="265">
        <f>SUM(D20:D27)</f>
        <v>77785.14</v>
      </c>
      <c r="E28" s="163" t="s">
        <v>404</v>
      </c>
      <c r="F28" s="265">
        <f>SUM(F20:F27)</f>
        <v>0</v>
      </c>
      <c r="G28" s="163" t="s">
        <v>404</v>
      </c>
      <c r="H28" s="265">
        <f>SUM(H20:H27)</f>
        <v>181361.58</v>
      </c>
      <c r="I28" s="163" t="s">
        <v>404</v>
      </c>
      <c r="J28" s="265">
        <f>SUM(J20:J27)</f>
        <v>127828.58</v>
      </c>
      <c r="K28" s="265">
        <f>SUM(B28+D28+F28+H28+J28)</f>
        <v>683262.5</v>
      </c>
    </row>
    <row r="29" spans="1:12" ht="15.75">
      <c r="A29" s="163" t="s">
        <v>565</v>
      </c>
      <c r="B29" s="265">
        <f>SUM(B18-B28)</f>
        <v>2590.8699999999953</v>
      </c>
      <c r="C29" s="163" t="s">
        <v>565</v>
      </c>
      <c r="D29" s="265">
        <f>SUM(D18-D28)</f>
        <v>10810.12000000001</v>
      </c>
      <c r="E29" s="163" t="s">
        <v>565</v>
      </c>
      <c r="F29" s="265">
        <f>SUM(F18-F28)</f>
        <v>0</v>
      </c>
      <c r="G29" s="163" t="s">
        <v>565</v>
      </c>
      <c r="H29" s="265">
        <f>SUM(H18-H28)</f>
        <v>160719.87000000002</v>
      </c>
      <c r="I29" s="163" t="s">
        <v>565</v>
      </c>
      <c r="J29" s="265">
        <f>SUM(J18-J28)</f>
        <v>1626.62999999999</v>
      </c>
      <c r="K29" s="268">
        <f>SUM(B29+D29+F29+H29+J29)</f>
        <v>175747.49000000005</v>
      </c>
      <c r="L29" s="2" t="s">
        <v>660</v>
      </c>
    </row>
    <row r="30" spans="1:12" ht="15.75">
      <c r="A30" s="163"/>
      <c r="B30" s="369">
        <f>IF(B29&lt;0,"Neg Bal","")</f>
      </c>
      <c r="C30" s="163"/>
      <c r="D30" s="369">
        <f>IF(D29&lt;0,"Neg Bal","")</f>
      </c>
      <c r="E30" s="163"/>
      <c r="F30" s="369">
        <f>IF(F29&lt;0,"Neg Bal","")</f>
      </c>
      <c r="G30" s="50"/>
      <c r="H30" s="369">
        <f>IF(H29&lt;0,"Neg Bal","")</f>
      </c>
      <c r="I30" s="50"/>
      <c r="J30" s="369">
        <f>IF(J29&lt;0,"Neg Bal","")</f>
      </c>
      <c r="K30" s="268">
        <f>SUM(K7+K17-K28)</f>
        <v>175747.4900000001</v>
      </c>
      <c r="L30" s="2" t="s">
        <v>660</v>
      </c>
    </row>
    <row r="31" spans="1:11" ht="15.75">
      <c r="A31" s="50"/>
      <c r="B31" s="55"/>
      <c r="C31" s="50"/>
      <c r="D31" s="152"/>
      <c r="E31" s="50"/>
      <c r="F31" s="50"/>
      <c r="G31" s="360" t="s">
        <v>662</v>
      </c>
      <c r="H31" s="360"/>
      <c r="I31" s="360"/>
      <c r="J31" s="360"/>
      <c r="K31" s="50"/>
    </row>
    <row r="32" spans="1:11" ht="15.75">
      <c r="A32" s="50"/>
      <c r="B32" s="55"/>
      <c r="C32" s="50"/>
      <c r="D32" s="50"/>
      <c r="E32" s="50"/>
      <c r="F32" s="50"/>
      <c r="G32" s="50"/>
      <c r="H32" s="50"/>
      <c r="I32" s="50"/>
      <c r="J32" s="50"/>
      <c r="K32" s="50"/>
    </row>
    <row r="33" spans="1:11" ht="15.75">
      <c r="A33" s="50"/>
      <c r="B33" s="55"/>
      <c r="C33" s="50"/>
      <c r="D33" s="50"/>
      <c r="E33" s="63" t="s">
        <v>408</v>
      </c>
      <c r="F33" s="100">
        <v>23</v>
      </c>
      <c r="G33" s="50"/>
      <c r="H33" s="50"/>
      <c r="I33" s="50"/>
      <c r="J33" s="50"/>
      <c r="K33" s="50"/>
    </row>
    <row r="34" ht="15.75">
      <c r="B34" s="166"/>
    </row>
    <row r="35" ht="15.75">
      <c r="B35" s="166"/>
    </row>
    <row r="36" ht="15.75">
      <c r="B36" s="166"/>
    </row>
    <row r="37" ht="15.75">
      <c r="B37" s="166"/>
    </row>
    <row r="38" ht="15.75">
      <c r="B38" s="166"/>
    </row>
    <row r="39" ht="15.75">
      <c r="B39" s="166"/>
    </row>
    <row r="40" ht="15.75">
      <c r="B40" s="166"/>
    </row>
    <row r="41" ht="15.75">
      <c r="B41" s="16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91" r:id="rId1"/>
  <headerFooter alignWithMargins="0">
    <oddHeader>&amp;RState of Kansas
Coffeyville</oddHeader>
    <oddFooter>&amp;Lrevised 7/01/08</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L43"/>
  <sheetViews>
    <sheetView view="pageBreakPreview" zoomScaleSheetLayoutView="100" zoomScalePageLayoutView="0" workbookViewId="0" topLeftCell="A1">
      <selection activeCell="C13" sqref="C13:D13"/>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1" width="8.8984375" style="2" customWidth="1"/>
    <col min="12" max="12" width="2.59765625" style="2" bestFit="1" customWidth="1"/>
    <col min="13" max="16384" width="8.8984375" style="2" customWidth="1"/>
  </cols>
  <sheetData>
    <row r="1" spans="1:11" ht="15.75">
      <c r="A1" s="51" t="str">
        <f>inputPrYr!$D$2</f>
        <v>City of Coffeyville</v>
      </c>
      <c r="B1" s="152"/>
      <c r="C1" s="50"/>
      <c r="D1" s="50"/>
      <c r="E1" s="50"/>
      <c r="F1" s="52" t="s">
        <v>567</v>
      </c>
      <c r="G1" s="50"/>
      <c r="H1" s="50"/>
      <c r="I1" s="50"/>
      <c r="J1" s="50"/>
      <c r="K1" s="50">
        <f>inputPrYr!$C$5</f>
        <v>2012</v>
      </c>
    </row>
    <row r="2" spans="1:11" ht="15.75">
      <c r="A2" s="50"/>
      <c r="B2" s="50"/>
      <c r="C2" s="50"/>
      <c r="D2" s="50"/>
      <c r="E2" s="50"/>
      <c r="F2" s="367" t="str">
        <f>CONCATENATE("(Only the actual budget year for ",K1-2," is to be shown)")</f>
        <v>(Only the actual budget year for 2010 is to be shown)</v>
      </c>
      <c r="G2" s="50"/>
      <c r="H2" s="50"/>
      <c r="I2" s="50"/>
      <c r="J2" s="50"/>
      <c r="K2" s="50"/>
    </row>
    <row r="3" spans="1:11" ht="15.75">
      <c r="A3" s="50" t="s">
        <v>609</v>
      </c>
      <c r="B3" s="50"/>
      <c r="C3" s="50"/>
      <c r="D3" s="50"/>
      <c r="E3" s="50"/>
      <c r="F3" s="152"/>
      <c r="G3" s="50"/>
      <c r="H3" s="50"/>
      <c r="I3" s="50"/>
      <c r="J3" s="50"/>
      <c r="K3" s="50"/>
    </row>
    <row r="4" spans="1:11" ht="15.75">
      <c r="A4" s="50" t="s">
        <v>559</v>
      </c>
      <c r="B4" s="50"/>
      <c r="C4" s="50" t="s">
        <v>560</v>
      </c>
      <c r="D4" s="50"/>
      <c r="E4" s="50" t="s">
        <v>561</v>
      </c>
      <c r="F4" s="152"/>
      <c r="G4" s="50" t="s">
        <v>562</v>
      </c>
      <c r="H4" s="50"/>
      <c r="I4" s="50" t="s">
        <v>563</v>
      </c>
      <c r="J4" s="50"/>
      <c r="K4" s="50"/>
    </row>
    <row r="5" spans="1:11" ht="15.75">
      <c r="A5" s="469" t="str">
        <f>IF(inputPrYr!B69&gt;" ",(inputPrYr!B69)," ")</f>
        <v>Capital Improvement</v>
      </c>
      <c r="B5" s="470"/>
      <c r="C5" s="469" t="str">
        <f>IF(inputPrYr!B70&gt;" ",(inputPrYr!B70)," ")</f>
        <v>Sales Tax Bond Reserve</v>
      </c>
      <c r="D5" s="470"/>
      <c r="E5" s="469" t="str">
        <f>IF(inputPrYr!B71&gt;" ",(inputPrYr!B71)," ")</f>
        <v>BDTC Depr/Repl</v>
      </c>
      <c r="F5" s="470"/>
      <c r="G5" s="469" t="str">
        <f>IF(inputPrYr!B72&gt;" ",(inputPrYr!B72)," ")</f>
        <v>VMS Depr/Repl</v>
      </c>
      <c r="H5" s="470"/>
      <c r="I5" s="469" t="str">
        <f>IF(inputPrYr!B73&gt;" ",(inputPrYr!B73)," ")</f>
        <v>Refuse Utility Depr/Repl</v>
      </c>
      <c r="J5" s="470"/>
      <c r="K5" s="153"/>
    </row>
    <row r="6" spans="1:11" ht="15.75">
      <c r="A6" s="154" t="s">
        <v>564</v>
      </c>
      <c r="B6" s="155"/>
      <c r="C6" s="156" t="s">
        <v>564</v>
      </c>
      <c r="D6" s="157"/>
      <c r="E6" s="156" t="s">
        <v>564</v>
      </c>
      <c r="F6" s="158"/>
      <c r="G6" s="156" t="s">
        <v>564</v>
      </c>
      <c r="H6" s="159"/>
      <c r="I6" s="156" t="s">
        <v>564</v>
      </c>
      <c r="J6" s="50"/>
      <c r="K6" s="160" t="s">
        <v>363</v>
      </c>
    </row>
    <row r="7" spans="1:11" ht="15.75">
      <c r="A7" s="161" t="s">
        <v>65</v>
      </c>
      <c r="B7" s="386">
        <v>2038058.32</v>
      </c>
      <c r="C7" s="162" t="s">
        <v>65</v>
      </c>
      <c r="D7" s="386">
        <v>0</v>
      </c>
      <c r="E7" s="162" t="s">
        <v>65</v>
      </c>
      <c r="F7" s="386">
        <v>57198</v>
      </c>
      <c r="G7" s="162" t="s">
        <v>65</v>
      </c>
      <c r="H7" s="386">
        <v>172839.75</v>
      </c>
      <c r="I7" s="162" t="s">
        <v>65</v>
      </c>
      <c r="J7" s="386">
        <v>0</v>
      </c>
      <c r="K7" s="265">
        <f>SUM(B7+D7+F7+H7+J7)</f>
        <v>2268096.0700000003</v>
      </c>
    </row>
    <row r="8" spans="1:11" ht="15.75">
      <c r="A8" s="163" t="s">
        <v>529</v>
      </c>
      <c r="B8" s="164"/>
      <c r="C8" s="163" t="s">
        <v>529</v>
      </c>
      <c r="D8" s="165"/>
      <c r="E8" s="163" t="s">
        <v>529</v>
      </c>
      <c r="F8" s="152"/>
      <c r="G8" s="163" t="s">
        <v>529</v>
      </c>
      <c r="H8" s="50"/>
      <c r="I8" s="163" t="s">
        <v>529</v>
      </c>
      <c r="J8" s="50"/>
      <c r="K8" s="152"/>
    </row>
    <row r="9" spans="1:11" ht="15.75">
      <c r="A9" s="281" t="s">
        <v>83</v>
      </c>
      <c r="B9" s="431">
        <v>11200</v>
      </c>
      <c r="C9" s="281"/>
      <c r="D9" s="386"/>
      <c r="E9" s="281"/>
      <c r="F9" s="386"/>
      <c r="G9" s="281" t="s">
        <v>123</v>
      </c>
      <c r="H9" s="386">
        <v>25000</v>
      </c>
      <c r="I9" s="281"/>
      <c r="J9" s="386"/>
      <c r="K9" s="152"/>
    </row>
    <row r="10" spans="1:11" ht="15.75">
      <c r="A10" s="281" t="s">
        <v>81</v>
      </c>
      <c r="B10" s="431">
        <v>20689.5</v>
      </c>
      <c r="C10" s="281"/>
      <c r="D10" s="386"/>
      <c r="E10" s="281"/>
      <c r="F10" s="386"/>
      <c r="G10" s="281" t="s">
        <v>16</v>
      </c>
      <c r="H10" s="386">
        <v>115000</v>
      </c>
      <c r="I10" s="281"/>
      <c r="J10" s="386"/>
      <c r="K10" s="152"/>
    </row>
    <row r="11" spans="1:11" ht="15.75">
      <c r="A11" s="281" t="s">
        <v>34</v>
      </c>
      <c r="B11" s="431">
        <v>803420.79</v>
      </c>
      <c r="C11" s="281"/>
      <c r="D11" s="386"/>
      <c r="E11" s="281"/>
      <c r="F11" s="386"/>
      <c r="G11" s="281"/>
      <c r="H11" s="386">
        <v>0</v>
      </c>
      <c r="I11" s="281"/>
      <c r="J11" s="386"/>
      <c r="K11" s="152"/>
    </row>
    <row r="12" spans="1:11" ht="15.75">
      <c r="A12" s="281" t="s">
        <v>311</v>
      </c>
      <c r="B12" s="431">
        <v>454650.6</v>
      </c>
      <c r="C12" s="281"/>
      <c r="D12" s="386"/>
      <c r="E12" s="281"/>
      <c r="F12" s="386"/>
      <c r="G12" s="281"/>
      <c r="H12" s="386"/>
      <c r="I12" s="281"/>
      <c r="J12" s="386"/>
      <c r="K12" s="152"/>
    </row>
    <row r="13" spans="1:11" ht="15.75">
      <c r="A13" s="281" t="s">
        <v>123</v>
      </c>
      <c r="B13" s="431">
        <f>164764.38+50000+150000</f>
        <v>364764.38</v>
      </c>
      <c r="C13" s="284"/>
      <c r="D13" s="386"/>
      <c r="E13" s="284"/>
      <c r="F13" s="386"/>
      <c r="G13" s="284"/>
      <c r="H13" s="386"/>
      <c r="I13" s="285"/>
      <c r="J13" s="386"/>
      <c r="K13" s="152"/>
    </row>
    <row r="14" spans="1:11" ht="15.75">
      <c r="A14" s="281" t="s">
        <v>104</v>
      </c>
      <c r="B14" s="431">
        <f>800955.46+467686.62</f>
        <v>1268642.08</v>
      </c>
      <c r="C14" s="281"/>
      <c r="D14" s="386"/>
      <c r="E14" s="286"/>
      <c r="F14" s="386"/>
      <c r="G14" s="286"/>
      <c r="H14" s="386"/>
      <c r="I14" s="286"/>
      <c r="J14" s="386"/>
      <c r="K14" s="152"/>
    </row>
    <row r="15" spans="1:11" ht="15.75">
      <c r="A15" s="281" t="s">
        <v>104</v>
      </c>
      <c r="B15" s="431">
        <v>2297057</v>
      </c>
      <c r="C15" s="281"/>
      <c r="D15" s="386"/>
      <c r="E15" s="281"/>
      <c r="F15" s="386"/>
      <c r="G15" s="281"/>
      <c r="H15" s="386"/>
      <c r="I15" s="281"/>
      <c r="J15" s="386"/>
      <c r="K15" s="152"/>
    </row>
    <row r="16" spans="1:11" ht="15.75">
      <c r="A16" s="281" t="s">
        <v>342</v>
      </c>
      <c r="B16" s="431">
        <v>6200</v>
      </c>
      <c r="C16" s="281"/>
      <c r="D16" s="386"/>
      <c r="E16" s="288"/>
      <c r="F16" s="386"/>
      <c r="G16" s="288"/>
      <c r="H16" s="386"/>
      <c r="I16" s="285"/>
      <c r="J16" s="386"/>
      <c r="K16" s="152"/>
    </row>
    <row r="17" spans="1:11" ht="15.75">
      <c r="A17" s="281" t="s">
        <v>124</v>
      </c>
      <c r="B17" s="431">
        <v>6363.96</v>
      </c>
      <c r="C17" s="286"/>
      <c r="D17" s="386"/>
      <c r="E17" s="286"/>
      <c r="F17" s="386"/>
      <c r="G17" s="286"/>
      <c r="H17" s="386"/>
      <c r="I17" s="286"/>
      <c r="J17" s="386"/>
      <c r="K17" s="152"/>
    </row>
    <row r="18" spans="1:11" ht="15.75">
      <c r="A18" s="287" t="s">
        <v>703</v>
      </c>
      <c r="B18" s="431">
        <v>31159.71</v>
      </c>
      <c r="C18" s="286"/>
      <c r="D18" s="386"/>
      <c r="E18" s="286"/>
      <c r="F18" s="386"/>
      <c r="G18" s="286"/>
      <c r="H18" s="386"/>
      <c r="I18" s="286"/>
      <c r="J18" s="386"/>
      <c r="K18" s="152"/>
    </row>
    <row r="19" spans="1:11" ht="15.75">
      <c r="A19" s="287" t="s">
        <v>343</v>
      </c>
      <c r="B19" s="431">
        <f>360481.39+120007.57+109629.48</f>
        <v>590118.4400000001</v>
      </c>
      <c r="C19" s="281"/>
      <c r="D19" s="386"/>
      <c r="E19" s="281"/>
      <c r="F19" s="386"/>
      <c r="G19" s="286"/>
      <c r="H19" s="386"/>
      <c r="I19" s="281"/>
      <c r="J19" s="386"/>
      <c r="K19" s="152"/>
    </row>
    <row r="20" spans="1:11" ht="15.75">
      <c r="A20" s="163" t="s">
        <v>397</v>
      </c>
      <c r="B20" s="265">
        <f>SUM(B9:B19)</f>
        <v>5854266.46</v>
      </c>
      <c r="C20" s="163" t="s">
        <v>397</v>
      </c>
      <c r="D20" s="266">
        <f>SUM(D9:D19)</f>
        <v>0</v>
      </c>
      <c r="E20" s="163" t="s">
        <v>397</v>
      </c>
      <c r="F20" s="267">
        <f>SUM(F9:F19)</f>
        <v>0</v>
      </c>
      <c r="G20" s="163" t="s">
        <v>397</v>
      </c>
      <c r="H20" s="266">
        <f>SUM(H9:H19)</f>
        <v>140000</v>
      </c>
      <c r="I20" s="163" t="s">
        <v>397</v>
      </c>
      <c r="J20" s="266">
        <f>SUM(J9:J19)</f>
        <v>0</v>
      </c>
      <c r="K20" s="265">
        <f>SUM(B20+D20+F20+H20+J20)</f>
        <v>5994266.46</v>
      </c>
    </row>
    <row r="21" spans="1:11" ht="15.75">
      <c r="A21" s="163" t="s">
        <v>398</v>
      </c>
      <c r="B21" s="265">
        <f>SUM(B7+B20)</f>
        <v>7892324.78</v>
      </c>
      <c r="C21" s="163" t="s">
        <v>398</v>
      </c>
      <c r="D21" s="265">
        <f>SUM(D7+D20)</f>
        <v>0</v>
      </c>
      <c r="E21" s="163" t="s">
        <v>398</v>
      </c>
      <c r="F21" s="265">
        <f>SUM(F7+F20)</f>
        <v>57198</v>
      </c>
      <c r="G21" s="163" t="s">
        <v>398</v>
      </c>
      <c r="H21" s="265">
        <f>SUM(H7+H20)</f>
        <v>312839.75</v>
      </c>
      <c r="I21" s="163" t="s">
        <v>398</v>
      </c>
      <c r="J21" s="265">
        <f>SUM(J7+J20)</f>
        <v>0</v>
      </c>
      <c r="K21" s="265">
        <f>SUM(B21+D21+F21+H21+J21)</f>
        <v>8262362.53</v>
      </c>
    </row>
    <row r="22" spans="1:11" ht="15.75">
      <c r="A22" s="163" t="s">
        <v>400</v>
      </c>
      <c r="B22" s="164"/>
      <c r="C22" s="163" t="s">
        <v>400</v>
      </c>
      <c r="D22" s="165"/>
      <c r="E22" s="163" t="s">
        <v>400</v>
      </c>
      <c r="F22" s="152"/>
      <c r="G22" s="163" t="s">
        <v>400</v>
      </c>
      <c r="H22" s="50"/>
      <c r="I22" s="163" t="s">
        <v>400</v>
      </c>
      <c r="J22" s="50"/>
      <c r="K22" s="152"/>
    </row>
    <row r="23" spans="1:11" ht="15.75">
      <c r="A23" s="281" t="s">
        <v>93</v>
      </c>
      <c r="B23" s="431">
        <f>179237.4+2514.24+22400</f>
        <v>204151.63999999998</v>
      </c>
      <c r="C23" s="286"/>
      <c r="D23" s="386"/>
      <c r="E23" s="286"/>
      <c r="F23" s="386"/>
      <c r="G23" s="286" t="s">
        <v>93</v>
      </c>
      <c r="H23" s="386">
        <v>6000</v>
      </c>
      <c r="I23" s="286"/>
      <c r="J23" s="386"/>
      <c r="K23" s="152"/>
    </row>
    <row r="24" spans="1:11" ht="15.75">
      <c r="A24" s="281" t="s">
        <v>95</v>
      </c>
      <c r="B24" s="432">
        <f>981416.87+539309.91+114101.1</f>
        <v>1634827.8800000001</v>
      </c>
      <c r="C24" s="286"/>
      <c r="D24" s="387"/>
      <c r="E24" s="286"/>
      <c r="F24" s="387"/>
      <c r="G24" s="286"/>
      <c r="H24" s="386"/>
      <c r="I24" s="286"/>
      <c r="J24" s="387"/>
      <c r="K24" s="152"/>
    </row>
    <row r="25" spans="1:11" ht="15.75">
      <c r="A25" s="281"/>
      <c r="B25" s="431"/>
      <c r="C25" s="288"/>
      <c r="D25" s="386"/>
      <c r="E25" s="288"/>
      <c r="F25" s="386"/>
      <c r="G25" s="288"/>
      <c r="H25" s="386"/>
      <c r="I25" s="285"/>
      <c r="J25" s="386"/>
      <c r="K25" s="152"/>
    </row>
    <row r="26" spans="1:11" ht="15.75">
      <c r="A26" s="281"/>
      <c r="B26" s="431"/>
      <c r="C26" s="286"/>
      <c r="D26" s="386"/>
      <c r="E26" s="286"/>
      <c r="F26" s="386"/>
      <c r="G26" s="286"/>
      <c r="H26" s="386"/>
      <c r="I26" s="286"/>
      <c r="J26" s="386"/>
      <c r="K26" s="152"/>
    </row>
    <row r="27" spans="1:11" ht="15.75">
      <c r="A27" s="281"/>
      <c r="B27" s="431"/>
      <c r="C27" s="288"/>
      <c r="D27" s="387"/>
      <c r="E27" s="288"/>
      <c r="F27" s="387"/>
      <c r="G27" s="288"/>
      <c r="H27" s="387"/>
      <c r="I27" s="285"/>
      <c r="J27" s="387"/>
      <c r="K27" s="152"/>
    </row>
    <row r="28" spans="1:11" ht="15.75">
      <c r="A28" s="281"/>
      <c r="B28" s="431"/>
      <c r="C28" s="286"/>
      <c r="D28" s="386"/>
      <c r="E28" s="286"/>
      <c r="F28" s="386"/>
      <c r="G28" s="286"/>
      <c r="H28" s="386"/>
      <c r="I28" s="286"/>
      <c r="J28" s="386"/>
      <c r="K28" s="152"/>
    </row>
    <row r="29" spans="1:11" ht="15.75">
      <c r="A29" s="281"/>
      <c r="B29" s="386"/>
      <c r="C29" s="286"/>
      <c r="D29" s="386"/>
      <c r="E29" s="286"/>
      <c r="F29" s="386"/>
      <c r="G29" s="286"/>
      <c r="H29" s="386"/>
      <c r="I29" s="286"/>
      <c r="J29" s="386"/>
      <c r="K29" s="152"/>
    </row>
    <row r="30" spans="1:11" ht="15.75">
      <c r="A30" s="163" t="s">
        <v>404</v>
      </c>
      <c r="B30" s="265">
        <f>SUM(B23:B29)</f>
        <v>1838979.52</v>
      </c>
      <c r="C30" s="163" t="s">
        <v>404</v>
      </c>
      <c r="D30" s="265">
        <f>SUM(D23:D29)</f>
        <v>0</v>
      </c>
      <c r="E30" s="163" t="s">
        <v>404</v>
      </c>
      <c r="F30" s="265">
        <f>SUM(F23:F29)</f>
        <v>0</v>
      </c>
      <c r="G30" s="163" t="s">
        <v>404</v>
      </c>
      <c r="H30" s="265">
        <f>SUM(H23:H29)</f>
        <v>6000</v>
      </c>
      <c r="I30" s="163" t="s">
        <v>404</v>
      </c>
      <c r="J30" s="265">
        <f>SUM(J23:J29)</f>
        <v>0</v>
      </c>
      <c r="K30" s="265">
        <f>SUM(B30+D30+F30+H30+J30)</f>
        <v>1844979.52</v>
      </c>
    </row>
    <row r="31" spans="1:12" ht="15.75">
      <c r="A31" s="163" t="s">
        <v>565</v>
      </c>
      <c r="B31" s="265">
        <f>SUM(B21-B30)</f>
        <v>6053345.26</v>
      </c>
      <c r="C31" s="163" t="s">
        <v>565</v>
      </c>
      <c r="D31" s="265">
        <f>SUM(D21-D30)</f>
        <v>0</v>
      </c>
      <c r="E31" s="163" t="s">
        <v>565</v>
      </c>
      <c r="F31" s="265">
        <f>SUM(F21-F30)</f>
        <v>57198</v>
      </c>
      <c r="G31" s="163" t="s">
        <v>565</v>
      </c>
      <c r="H31" s="265">
        <f>SUM(H21-H30)</f>
        <v>306839.75</v>
      </c>
      <c r="I31" s="163" t="s">
        <v>565</v>
      </c>
      <c r="J31" s="265">
        <f>SUM(J21-J30)</f>
        <v>0</v>
      </c>
      <c r="K31" s="268">
        <f>SUM(B31+D31+F31+H31+J31)</f>
        <v>6417383.01</v>
      </c>
      <c r="L31" s="2" t="s">
        <v>660</v>
      </c>
    </row>
    <row r="32" spans="1:12" ht="15.75">
      <c r="A32" s="163"/>
      <c r="B32" s="369">
        <f>IF(B31&lt;0,"Neg Bal","")</f>
      </c>
      <c r="C32" s="163"/>
      <c r="D32" s="369">
        <f>IF(D31&lt;0,"Neg Bal","")</f>
      </c>
      <c r="E32" s="163"/>
      <c r="F32" s="369">
        <f>IF(F31&lt;0,"Neg Bal","")</f>
      </c>
      <c r="G32" s="50"/>
      <c r="H32" s="369">
        <f>IF(H31&lt;0,"Neg Bal","")</f>
      </c>
      <c r="I32" s="50"/>
      <c r="J32" s="369">
        <f>IF(J31&lt;0,"Neg Bal","")</f>
      </c>
      <c r="K32" s="268">
        <f>SUM(K7+K20-K30)</f>
        <v>6417383.01</v>
      </c>
      <c r="L32" s="2" t="s">
        <v>660</v>
      </c>
    </row>
    <row r="33" spans="1:11" ht="15.75">
      <c r="A33" s="50"/>
      <c r="B33" s="55"/>
      <c r="C33" s="50"/>
      <c r="D33" s="152"/>
      <c r="E33" s="50"/>
      <c r="F33" s="50"/>
      <c r="G33" s="360" t="s">
        <v>662</v>
      </c>
      <c r="H33" s="360"/>
      <c r="I33" s="360"/>
      <c r="J33" s="360"/>
      <c r="K33" s="50"/>
    </row>
    <row r="34" spans="1:11" ht="15.75">
      <c r="A34" s="50"/>
      <c r="B34" s="55"/>
      <c r="C34" s="50"/>
      <c r="D34" s="50"/>
      <c r="E34" s="50"/>
      <c r="F34" s="50"/>
      <c r="G34" s="269"/>
      <c r="H34" s="50"/>
      <c r="I34" s="50"/>
      <c r="J34" s="50"/>
      <c r="K34" s="50"/>
    </row>
    <row r="35" spans="1:11" ht="15.75">
      <c r="A35" s="50"/>
      <c r="B35" s="55"/>
      <c r="C35" s="50"/>
      <c r="D35" s="50"/>
      <c r="E35" s="63" t="s">
        <v>408</v>
      </c>
      <c r="F35" s="100">
        <v>24</v>
      </c>
      <c r="G35" s="50"/>
      <c r="H35" s="50"/>
      <c r="I35" s="50"/>
      <c r="J35" s="50"/>
      <c r="K35" s="50"/>
    </row>
    <row r="36" ht="15.75">
      <c r="B36" s="166"/>
    </row>
    <row r="37" ht="15.75">
      <c r="B37" s="166"/>
    </row>
    <row r="38" ht="15.75">
      <c r="B38" s="166"/>
    </row>
    <row r="39" ht="15.75">
      <c r="B39" s="166"/>
    </row>
    <row r="40" ht="15.75">
      <c r="B40" s="166"/>
    </row>
    <row r="41" ht="15.75">
      <c r="B41" s="166"/>
    </row>
    <row r="42" ht="15.75">
      <c r="B42" s="166"/>
    </row>
    <row r="43" ht="15.75">
      <c r="B43" s="16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6" r:id="rId1"/>
  <headerFooter alignWithMargins="0">
    <oddHeader>&amp;RState of Kansas
Coffeyville</oddHeader>
    <oddFooter>&amp;Lrevised 7/01/08</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view="pageBreakPreview" zoomScaleSheetLayoutView="100" zoomScalePageLayoutView="0" workbookViewId="0" topLeftCell="A1">
      <selection activeCell="F22" sqref="F22"/>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1" width="8.8984375" style="2" customWidth="1"/>
    <col min="12" max="12" width="2.59765625" style="2" bestFit="1" customWidth="1"/>
    <col min="13" max="16384" width="8.8984375" style="2" customWidth="1"/>
  </cols>
  <sheetData>
    <row r="1" spans="1:11" ht="15.75">
      <c r="A1" s="51" t="str">
        <f>inputPrYr!$D$2</f>
        <v>City of Coffeyville</v>
      </c>
      <c r="B1" s="152"/>
      <c r="C1" s="50"/>
      <c r="D1" s="50"/>
      <c r="E1" s="50"/>
      <c r="F1" s="52" t="s">
        <v>568</v>
      </c>
      <c r="G1" s="50"/>
      <c r="H1" s="50"/>
      <c r="I1" s="50"/>
      <c r="J1" s="50"/>
      <c r="K1" s="50">
        <f>inputPrYr!$C$5</f>
        <v>2012</v>
      </c>
    </row>
    <row r="2" spans="1:11" ht="15.75">
      <c r="A2" s="50"/>
      <c r="B2" s="50"/>
      <c r="C2" s="50"/>
      <c r="D2" s="50"/>
      <c r="E2" s="50"/>
      <c r="F2" s="367" t="str">
        <f>CONCATENATE("(Only the actual budget year for ",K1-2," is to be shown)")</f>
        <v>(Only the actual budget year for 2010 is to be shown)</v>
      </c>
      <c r="G2" s="50"/>
      <c r="H2" s="50"/>
      <c r="I2" s="50"/>
      <c r="J2" s="50"/>
      <c r="K2" s="50"/>
    </row>
    <row r="3" spans="1:11" ht="15.75">
      <c r="A3" s="50" t="s">
        <v>610</v>
      </c>
      <c r="B3" s="50"/>
      <c r="C3" s="50"/>
      <c r="D3" s="50"/>
      <c r="E3" s="50"/>
      <c r="F3" s="152"/>
      <c r="G3" s="50"/>
      <c r="H3" s="50"/>
      <c r="I3" s="50"/>
      <c r="J3" s="50"/>
      <c r="K3" s="50"/>
    </row>
    <row r="4" spans="1:11" ht="15.75">
      <c r="A4" s="50" t="s">
        <v>559</v>
      </c>
      <c r="B4" s="50"/>
      <c r="C4" s="50" t="s">
        <v>560</v>
      </c>
      <c r="D4" s="50"/>
      <c r="E4" s="50" t="s">
        <v>561</v>
      </c>
      <c r="F4" s="152"/>
      <c r="G4" s="50" t="s">
        <v>562</v>
      </c>
      <c r="H4" s="50"/>
      <c r="I4" s="50" t="s">
        <v>563</v>
      </c>
      <c r="J4" s="50"/>
      <c r="K4" s="50"/>
    </row>
    <row r="5" spans="1:11" ht="15.75">
      <c r="A5" s="469" t="str">
        <f>IF(inputPrYr!B75&gt;" ",(inputPrYr!B75)," ")</f>
        <v>Electric Utility Depr/Repl</v>
      </c>
      <c r="B5" s="470"/>
      <c r="C5" s="469" t="str">
        <f>IF(inputPrYr!B76&gt;" ",(inputPrYr!B76)," ")</f>
        <v>Electric Utility Bond Reserve</v>
      </c>
      <c r="D5" s="470"/>
      <c r="E5" s="469" t="str">
        <f>IF(inputPrYr!B77&gt;" ",(inputPrYr!B77)," ")</f>
        <v>Electric Utility Surplus </v>
      </c>
      <c r="F5" s="470"/>
      <c r="G5" s="469" t="str">
        <f>IF(inputPrYr!B78&gt;" ",(inputPrYr!B78)," ")</f>
        <v>Electric Bond Projects</v>
      </c>
      <c r="H5" s="470"/>
      <c r="I5" s="469" t="str">
        <f>IF(inputPrYr!B79&gt;" ",(inputPrYr!B79)," ")</f>
        <v>Water/Wastewater Depr/Repl</v>
      </c>
      <c r="J5" s="470"/>
      <c r="K5" s="153"/>
    </row>
    <row r="6" spans="1:11" ht="15.75">
      <c r="A6" s="154" t="s">
        <v>564</v>
      </c>
      <c r="B6" s="155"/>
      <c r="C6" s="156" t="s">
        <v>564</v>
      </c>
      <c r="D6" s="157"/>
      <c r="E6" s="156" t="s">
        <v>564</v>
      </c>
      <c r="F6" s="158"/>
      <c r="G6" s="156" t="s">
        <v>564</v>
      </c>
      <c r="H6" s="159"/>
      <c r="I6" s="156" t="s">
        <v>564</v>
      </c>
      <c r="J6" s="50"/>
      <c r="K6" s="160" t="s">
        <v>363</v>
      </c>
    </row>
    <row r="7" spans="1:11" ht="15.75">
      <c r="A7" s="161" t="s">
        <v>65</v>
      </c>
      <c r="B7" s="282">
        <v>2065206.52</v>
      </c>
      <c r="C7" s="162" t="s">
        <v>65</v>
      </c>
      <c r="D7" s="282">
        <v>0</v>
      </c>
      <c r="E7" s="162" t="s">
        <v>65</v>
      </c>
      <c r="F7" s="282">
        <v>324981.69</v>
      </c>
      <c r="G7" s="162" t="s">
        <v>65</v>
      </c>
      <c r="H7" s="282">
        <v>0</v>
      </c>
      <c r="I7" s="162" t="s">
        <v>65</v>
      </c>
      <c r="J7" s="282">
        <v>2450473.58</v>
      </c>
      <c r="K7" s="265">
        <f>SUM(B7+D7+F7+H7+J7)</f>
        <v>4840661.79</v>
      </c>
    </row>
    <row r="8" spans="1:11" ht="15.75">
      <c r="A8" s="163" t="s">
        <v>529</v>
      </c>
      <c r="B8" s="164"/>
      <c r="C8" s="163" t="s">
        <v>529</v>
      </c>
      <c r="D8" s="165"/>
      <c r="E8" s="163" t="s">
        <v>529</v>
      </c>
      <c r="F8" s="152"/>
      <c r="G8" s="163" t="s">
        <v>529</v>
      </c>
      <c r="H8" s="50"/>
      <c r="I8" s="163" t="s">
        <v>529</v>
      </c>
      <c r="J8" s="50"/>
      <c r="K8" s="152"/>
    </row>
    <row r="9" spans="1:11" ht="15.75">
      <c r="A9" s="281" t="s">
        <v>83</v>
      </c>
      <c r="B9" s="386">
        <v>0</v>
      </c>
      <c r="C9" s="281"/>
      <c r="D9" s="386">
        <v>0</v>
      </c>
      <c r="E9" s="281" t="s">
        <v>663</v>
      </c>
      <c r="F9" s="386">
        <v>1149234.45</v>
      </c>
      <c r="G9" s="281" t="s">
        <v>333</v>
      </c>
      <c r="H9" s="386">
        <v>4249</v>
      </c>
      <c r="I9" s="281" t="s">
        <v>130</v>
      </c>
      <c r="J9" s="386">
        <v>125000</v>
      </c>
      <c r="K9" s="152"/>
    </row>
    <row r="10" spans="1:11" ht="15.75">
      <c r="A10" s="281" t="s">
        <v>663</v>
      </c>
      <c r="B10" s="386">
        <v>905000</v>
      </c>
      <c r="C10" s="281"/>
      <c r="D10" s="386"/>
      <c r="E10" s="281"/>
      <c r="F10" s="386"/>
      <c r="G10" s="281"/>
      <c r="H10" s="386"/>
      <c r="I10" s="285" t="s">
        <v>131</v>
      </c>
      <c r="J10" s="386">
        <v>150000</v>
      </c>
      <c r="K10" s="152"/>
    </row>
    <row r="11" spans="1:11" ht="15.75">
      <c r="A11" s="281"/>
      <c r="B11" s="386"/>
      <c r="C11" s="284"/>
      <c r="D11" s="386"/>
      <c r="E11" s="284"/>
      <c r="F11" s="386"/>
      <c r="G11" s="284"/>
      <c r="H11" s="386"/>
      <c r="I11" s="286" t="s">
        <v>83</v>
      </c>
      <c r="J11" s="386">
        <f>460310.25+46301.06</f>
        <v>506611.31</v>
      </c>
      <c r="K11" s="152"/>
    </row>
    <row r="12" spans="1:11" ht="15.75">
      <c r="A12" s="281"/>
      <c r="B12" s="386"/>
      <c r="C12" s="281"/>
      <c r="D12" s="386"/>
      <c r="E12" s="286"/>
      <c r="F12" s="386"/>
      <c r="G12" s="286"/>
      <c r="H12" s="386"/>
      <c r="I12" s="286" t="s">
        <v>215</v>
      </c>
      <c r="J12" s="386">
        <v>632460.46</v>
      </c>
      <c r="K12" s="152"/>
    </row>
    <row r="13" spans="1:11" ht="15.75">
      <c r="A13" s="287"/>
      <c r="B13" s="386"/>
      <c r="C13" s="288"/>
      <c r="D13" s="386"/>
      <c r="E13" s="288"/>
      <c r="F13" s="386"/>
      <c r="G13" s="288"/>
      <c r="H13" s="386"/>
      <c r="I13" s="285"/>
      <c r="J13" s="386"/>
      <c r="K13" s="152"/>
    </row>
    <row r="14" spans="1:11" ht="15.75">
      <c r="A14" s="281"/>
      <c r="B14" s="386"/>
      <c r="C14" s="286"/>
      <c r="D14" s="386"/>
      <c r="E14" s="286"/>
      <c r="F14" s="386"/>
      <c r="G14" s="286"/>
      <c r="H14" s="386"/>
      <c r="I14" s="286"/>
      <c r="J14" s="386"/>
      <c r="K14" s="152"/>
    </row>
    <row r="15" spans="1:11" ht="15.75">
      <c r="A15" s="281"/>
      <c r="B15" s="386"/>
      <c r="C15" s="286"/>
      <c r="D15" s="386"/>
      <c r="E15" s="286"/>
      <c r="F15" s="386"/>
      <c r="G15" s="286"/>
      <c r="H15" s="386"/>
      <c r="I15" s="286"/>
      <c r="J15" s="386"/>
      <c r="K15" s="152"/>
    </row>
    <row r="16" spans="1:11" ht="15.75">
      <c r="A16" s="281"/>
      <c r="B16" s="386"/>
      <c r="C16" s="281"/>
      <c r="D16" s="386"/>
      <c r="E16" s="281"/>
      <c r="F16" s="386"/>
      <c r="G16" s="286"/>
      <c r="H16" s="386"/>
      <c r="I16" s="281"/>
      <c r="J16" s="386"/>
      <c r="K16" s="152"/>
    </row>
    <row r="17" spans="1:11" ht="15.75">
      <c r="A17" s="163" t="s">
        <v>397</v>
      </c>
      <c r="B17" s="265">
        <f>SUM(B9:B16)</f>
        <v>905000</v>
      </c>
      <c r="C17" s="163" t="s">
        <v>397</v>
      </c>
      <c r="D17" s="265">
        <f>SUM(D9:D16)</f>
        <v>0</v>
      </c>
      <c r="E17" s="163" t="s">
        <v>397</v>
      </c>
      <c r="F17" s="265">
        <f>SUM(F9:F16)</f>
        <v>1149234.45</v>
      </c>
      <c r="G17" s="163" t="s">
        <v>397</v>
      </c>
      <c r="H17" s="265">
        <f>SUM(H9:H16)</f>
        <v>4249</v>
      </c>
      <c r="I17" s="163" t="s">
        <v>397</v>
      </c>
      <c r="J17" s="265">
        <f>SUM(J9:J16)</f>
        <v>1414071.77</v>
      </c>
      <c r="K17" s="265">
        <f>SUM(B17+D17+F17+H17+J17)</f>
        <v>3472555.2199999997</v>
      </c>
    </row>
    <row r="18" spans="1:11" ht="15.75">
      <c r="A18" s="163" t="s">
        <v>398</v>
      </c>
      <c r="B18" s="265">
        <f>SUM(B7+B17)</f>
        <v>2970206.52</v>
      </c>
      <c r="C18" s="163" t="s">
        <v>398</v>
      </c>
      <c r="D18" s="265">
        <f>SUM(D7+D17)</f>
        <v>0</v>
      </c>
      <c r="E18" s="163" t="s">
        <v>398</v>
      </c>
      <c r="F18" s="265">
        <f>SUM(F7+F17)</f>
        <v>1474216.14</v>
      </c>
      <c r="G18" s="163" t="s">
        <v>398</v>
      </c>
      <c r="H18" s="265">
        <f>SUM(H7+H17)</f>
        <v>4249</v>
      </c>
      <c r="I18" s="163" t="s">
        <v>398</v>
      </c>
      <c r="J18" s="265">
        <f>SUM(J7+J17)</f>
        <v>3864545.35</v>
      </c>
      <c r="K18" s="265">
        <f>SUM(B18+D18+F18+H18+J18)</f>
        <v>8313217.01</v>
      </c>
    </row>
    <row r="19" spans="1:11" ht="15.75">
      <c r="A19" s="163" t="s">
        <v>400</v>
      </c>
      <c r="B19" s="164"/>
      <c r="C19" s="163" t="s">
        <v>400</v>
      </c>
      <c r="D19" s="165"/>
      <c r="E19" s="163" t="s">
        <v>400</v>
      </c>
      <c r="F19" s="152"/>
      <c r="G19" s="163" t="s">
        <v>400</v>
      </c>
      <c r="H19" s="50"/>
      <c r="I19" s="163" t="s">
        <v>400</v>
      </c>
      <c r="J19" s="50"/>
      <c r="K19" s="152"/>
    </row>
    <row r="20" spans="1:11" ht="15.75">
      <c r="A20" s="281" t="s">
        <v>93</v>
      </c>
      <c r="B20" s="386">
        <f>112068.45-92104.01</f>
        <v>19964.440000000002</v>
      </c>
      <c r="C20" s="407"/>
      <c r="D20" s="386">
        <v>0</v>
      </c>
      <c r="E20" s="281" t="s">
        <v>93</v>
      </c>
      <c r="F20" s="386">
        <v>252350</v>
      </c>
      <c r="G20" s="407" t="s">
        <v>95</v>
      </c>
      <c r="H20" s="386">
        <v>4249</v>
      </c>
      <c r="I20" s="286" t="s">
        <v>93</v>
      </c>
      <c r="J20" s="386">
        <v>111876.25</v>
      </c>
      <c r="K20" s="152"/>
    </row>
    <row r="21" spans="1:11" ht="15.75">
      <c r="A21" s="281" t="s">
        <v>95</v>
      </c>
      <c r="B21" s="386">
        <f>573.16+1538.55+100816.82+15210.93+56058.7+14047.8+120855.19+820299.41</f>
        <v>1129400.56</v>
      </c>
      <c r="C21" s="286"/>
      <c r="D21" s="386"/>
      <c r="E21" s="281" t="s">
        <v>664</v>
      </c>
      <c r="F21" s="386">
        <f>50000+150000</f>
        <v>200000</v>
      </c>
      <c r="G21" s="286"/>
      <c r="H21" s="386"/>
      <c r="I21" s="286" t="s">
        <v>94</v>
      </c>
      <c r="J21" s="386">
        <v>0</v>
      </c>
      <c r="K21" s="152"/>
    </row>
    <row r="22" spans="1:11" ht="15.75">
      <c r="A22" s="281" t="s">
        <v>336</v>
      </c>
      <c r="B22" s="387">
        <v>4249</v>
      </c>
      <c r="C22" s="288"/>
      <c r="D22" s="387"/>
      <c r="E22" s="286" t="s">
        <v>334</v>
      </c>
      <c r="F22" s="386">
        <v>33000</v>
      </c>
      <c r="G22" s="288"/>
      <c r="H22" s="387"/>
      <c r="I22" s="285" t="s">
        <v>95</v>
      </c>
      <c r="J22" s="387">
        <v>1415892.27</v>
      </c>
      <c r="K22" s="152"/>
    </row>
    <row r="23" spans="1:11" ht="15.75">
      <c r="A23" s="281"/>
      <c r="B23" s="386"/>
      <c r="C23" s="286"/>
      <c r="D23" s="386"/>
      <c r="E23" s="286" t="s">
        <v>665</v>
      </c>
      <c r="F23" s="387">
        <v>25000</v>
      </c>
      <c r="G23" s="286"/>
      <c r="H23" s="386"/>
      <c r="I23" s="286"/>
      <c r="J23" s="386"/>
      <c r="K23" s="152"/>
    </row>
    <row r="24" spans="1:11" ht="15.75">
      <c r="A24" s="281"/>
      <c r="B24" s="387"/>
      <c r="C24" s="288"/>
      <c r="D24" s="387"/>
      <c r="E24" s="288" t="s">
        <v>666</v>
      </c>
      <c r="F24" s="386">
        <v>21000</v>
      </c>
      <c r="G24" s="288"/>
      <c r="H24" s="387"/>
      <c r="I24" s="285"/>
      <c r="J24" s="387"/>
      <c r="K24" s="152"/>
    </row>
    <row r="25" spans="1:11" ht="15.75">
      <c r="A25" s="281"/>
      <c r="B25" s="386"/>
      <c r="C25" s="286"/>
      <c r="D25" s="386"/>
      <c r="E25" s="286" t="s">
        <v>667</v>
      </c>
      <c r="F25" s="387">
        <v>21000</v>
      </c>
      <c r="G25" s="286"/>
      <c r="H25" s="386"/>
      <c r="I25" s="286"/>
      <c r="J25" s="386"/>
      <c r="K25" s="152"/>
    </row>
    <row r="26" spans="1:11" ht="15.75">
      <c r="A26" s="281"/>
      <c r="B26" s="386"/>
      <c r="C26" s="286"/>
      <c r="D26" s="386"/>
      <c r="E26" s="286" t="s">
        <v>139</v>
      </c>
      <c r="F26" s="386">
        <v>150000</v>
      </c>
      <c r="G26" s="286"/>
      <c r="H26" s="386"/>
      <c r="I26" s="286"/>
      <c r="J26" s="386"/>
      <c r="K26" s="152"/>
    </row>
    <row r="27" spans="1:11" ht="15.75">
      <c r="A27" s="281"/>
      <c r="B27" s="388"/>
      <c r="C27" s="281"/>
      <c r="D27" s="388"/>
      <c r="E27" s="281" t="s">
        <v>335</v>
      </c>
      <c r="F27" s="388">
        <v>50000</v>
      </c>
      <c r="G27" s="286"/>
      <c r="H27" s="388"/>
      <c r="I27" s="286"/>
      <c r="J27" s="388"/>
      <c r="K27" s="152"/>
    </row>
    <row r="28" spans="1:11" ht="15.75">
      <c r="A28" s="163" t="s">
        <v>404</v>
      </c>
      <c r="B28" s="265">
        <f>SUM(B20:B27)</f>
        <v>1153614</v>
      </c>
      <c r="C28" s="163" t="s">
        <v>404</v>
      </c>
      <c r="D28" s="265">
        <f>SUM(D20:D27)</f>
        <v>0</v>
      </c>
      <c r="E28" s="163" t="s">
        <v>404</v>
      </c>
      <c r="F28" s="265">
        <f>SUM(F20:F27)</f>
        <v>752350</v>
      </c>
      <c r="G28" s="163" t="s">
        <v>404</v>
      </c>
      <c r="H28" s="265">
        <f>SUM(H20:H27)</f>
        <v>4249</v>
      </c>
      <c r="I28" s="163" t="s">
        <v>404</v>
      </c>
      <c r="J28" s="265">
        <f>SUM(J20:J27)</f>
        <v>1527768.52</v>
      </c>
      <c r="K28" s="265">
        <f>SUM(B28+D28+F28+H28+J28)</f>
        <v>3437981.52</v>
      </c>
    </row>
    <row r="29" spans="1:12" ht="15.75">
      <c r="A29" s="163" t="s">
        <v>565</v>
      </c>
      <c r="B29" s="265">
        <f>SUM(B18-B28)</f>
        <v>1816592.52</v>
      </c>
      <c r="C29" s="163" t="s">
        <v>565</v>
      </c>
      <c r="D29" s="265">
        <f>SUM(D18-D28)</f>
        <v>0</v>
      </c>
      <c r="E29" s="163" t="s">
        <v>565</v>
      </c>
      <c r="F29" s="265">
        <f>SUM(F18-F28)</f>
        <v>721866.1399999999</v>
      </c>
      <c r="G29" s="163" t="s">
        <v>565</v>
      </c>
      <c r="H29" s="265">
        <f>SUM(H18-H28)</f>
        <v>0</v>
      </c>
      <c r="I29" s="163" t="s">
        <v>565</v>
      </c>
      <c r="J29" s="265">
        <f>SUM(J18-J28)</f>
        <v>2336776.83</v>
      </c>
      <c r="K29" s="268">
        <f>SUM(B29+D29+F29+H29+J29)</f>
        <v>4875235.49</v>
      </c>
      <c r="L29" s="2" t="s">
        <v>660</v>
      </c>
    </row>
    <row r="30" spans="1:12" ht="15.75">
      <c r="A30" s="163"/>
      <c r="B30" s="369">
        <f>IF(B29&lt;0,"Neg Bal","")</f>
      </c>
      <c r="C30" s="163"/>
      <c r="D30" s="369">
        <f>IF(D29&lt;0,"Neg Bal","")</f>
      </c>
      <c r="E30" s="163"/>
      <c r="F30" s="369">
        <f>IF(F29&lt;0,"Neg Bal","")</f>
      </c>
      <c r="G30" s="50"/>
      <c r="H30" s="369">
        <f>IF(H29&lt;0,"Neg Bal","")</f>
      </c>
      <c r="I30" s="50"/>
      <c r="J30" s="369">
        <f>IF(J29&lt;0,"Neg Bal","")</f>
      </c>
      <c r="K30" s="268">
        <f>SUM(K7+K17-K28)</f>
        <v>4875235.49</v>
      </c>
      <c r="L30" s="2" t="s">
        <v>660</v>
      </c>
    </row>
    <row r="31" spans="1:11" ht="15.75">
      <c r="A31" s="50"/>
      <c r="B31" s="55"/>
      <c r="C31" s="50"/>
      <c r="D31" s="152"/>
      <c r="E31" s="50"/>
      <c r="F31" s="50"/>
      <c r="G31" s="360" t="s">
        <v>661</v>
      </c>
      <c r="H31" s="360"/>
      <c r="I31" s="360"/>
      <c r="J31" s="360"/>
      <c r="K31" s="50"/>
    </row>
    <row r="32" spans="1:11" ht="15.75">
      <c r="A32" s="50"/>
      <c r="B32" s="55"/>
      <c r="C32" s="50"/>
      <c r="D32" s="50"/>
      <c r="E32" s="50"/>
      <c r="F32" s="50"/>
      <c r="G32" s="50"/>
      <c r="H32" s="50"/>
      <c r="I32" s="50"/>
      <c r="J32" s="50"/>
      <c r="K32" s="50"/>
    </row>
    <row r="33" spans="1:11" ht="15.75">
      <c r="A33" s="50"/>
      <c r="B33" s="55"/>
      <c r="C33" s="50"/>
      <c r="D33" s="50"/>
      <c r="E33" s="63" t="s">
        <v>408</v>
      </c>
      <c r="F33" s="100">
        <v>25</v>
      </c>
      <c r="G33" s="50"/>
      <c r="H33" s="50"/>
      <c r="I33" s="50"/>
      <c r="J33" s="50"/>
      <c r="K33" s="50"/>
    </row>
    <row r="34" ht="15.75">
      <c r="B34" s="166"/>
    </row>
    <row r="35" ht="15.75">
      <c r="B35" s="166"/>
    </row>
    <row r="36" ht="15.75">
      <c r="B36" s="166"/>
    </row>
    <row r="37" ht="15.75">
      <c r="B37" s="166"/>
    </row>
    <row r="38" ht="15.75">
      <c r="B38" s="166"/>
    </row>
    <row r="39" ht="15.75">
      <c r="B39" s="166"/>
    </row>
    <row r="40" ht="15.75">
      <c r="B40" s="166"/>
    </row>
    <row r="41" ht="15.75">
      <c r="B41" s="16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91" r:id="rId1"/>
  <headerFooter alignWithMargins="0">
    <oddHeader>&amp;RState of Kansas
Coffeyville</oddHeader>
    <oddFooter>&amp;Lrevised 7/01/08</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view="pageBreakPreview" zoomScaleSheetLayoutView="100" zoomScalePageLayoutView="0" workbookViewId="0" topLeftCell="A1">
      <selection activeCell="B24" sqref="B24"/>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1" width="8.8984375" style="2" customWidth="1"/>
    <col min="12" max="12" width="2.59765625" style="2" bestFit="1" customWidth="1"/>
    <col min="13" max="16384" width="8.8984375" style="2" customWidth="1"/>
  </cols>
  <sheetData>
    <row r="1" spans="1:11" ht="15.75">
      <c r="A1" s="51" t="str">
        <f>inputPrYr!$D$2</f>
        <v>City of Coffeyville</v>
      </c>
      <c r="B1" s="152"/>
      <c r="C1" s="50"/>
      <c r="D1" s="50"/>
      <c r="E1" s="50"/>
      <c r="F1" s="52" t="s">
        <v>20</v>
      </c>
      <c r="G1" s="50"/>
      <c r="H1" s="50"/>
      <c r="I1" s="50"/>
      <c r="J1" s="50"/>
      <c r="K1" s="50">
        <f>inputPrYr!$C$5</f>
        <v>2012</v>
      </c>
    </row>
    <row r="2" spans="1:11" ht="15.75">
      <c r="A2" s="50"/>
      <c r="B2" s="50"/>
      <c r="C2" s="50"/>
      <c r="D2" s="50"/>
      <c r="E2" s="50"/>
      <c r="F2" s="367" t="str">
        <f>CONCATENATE("(Only the actual budget year for ",K1-2," is to be shown)")</f>
        <v>(Only the actual budget year for 2010 is to be shown)</v>
      </c>
      <c r="G2" s="50"/>
      <c r="H2" s="50"/>
      <c r="I2" s="50"/>
      <c r="J2" s="50"/>
      <c r="K2" s="50"/>
    </row>
    <row r="3" spans="1:11" ht="15.75">
      <c r="A3" s="50" t="s">
        <v>21</v>
      </c>
      <c r="B3" s="50"/>
      <c r="C3" s="50"/>
      <c r="D3" s="50"/>
      <c r="E3" s="50"/>
      <c r="F3" s="152"/>
      <c r="G3" s="50"/>
      <c r="H3" s="50"/>
      <c r="I3" s="50"/>
      <c r="J3" s="50"/>
      <c r="K3" s="50"/>
    </row>
    <row r="4" spans="1:11" ht="15.75">
      <c r="A4" s="50" t="s">
        <v>559</v>
      </c>
      <c r="B4" s="50"/>
      <c r="C4" s="50" t="s">
        <v>560</v>
      </c>
      <c r="D4" s="50"/>
      <c r="E4" s="50" t="s">
        <v>561</v>
      </c>
      <c r="F4" s="152"/>
      <c r="G4" s="50" t="s">
        <v>562</v>
      </c>
      <c r="H4" s="50"/>
      <c r="I4" s="50" t="s">
        <v>563</v>
      </c>
      <c r="J4" s="50"/>
      <c r="K4" s="50"/>
    </row>
    <row r="5" spans="1:11" ht="15.75">
      <c r="A5" s="469" t="str">
        <f>IF(inputPrYr!B81&gt;" ",(inputPrYr!B81)," ")</f>
        <v>Stormwater Depr/Repl </v>
      </c>
      <c r="B5" s="470"/>
      <c r="C5" s="469" t="str">
        <f>IF(inputPrYr!B82&gt;" ",(inputPrYr!B82)," ")</f>
        <v> </v>
      </c>
      <c r="D5" s="470"/>
      <c r="E5" s="469" t="str">
        <f>IF(inputPrYr!B83&gt;" ",(inputPrYr!B83)," ")</f>
        <v> </v>
      </c>
      <c r="F5" s="470"/>
      <c r="G5" s="469" t="str">
        <f>IF(inputPrYr!B84&gt;" ",(inputPrYr!B84)," ")</f>
        <v> </v>
      </c>
      <c r="H5" s="470"/>
      <c r="I5" s="469" t="str">
        <f>IF(inputPrYr!B85&gt;" ",(inputPrYr!B85)," ")</f>
        <v> </v>
      </c>
      <c r="J5" s="470"/>
      <c r="K5" s="153"/>
    </row>
    <row r="6" spans="1:11" ht="15.75">
      <c r="A6" s="154" t="s">
        <v>564</v>
      </c>
      <c r="B6" s="155"/>
      <c r="C6" s="156" t="s">
        <v>564</v>
      </c>
      <c r="D6" s="157"/>
      <c r="E6" s="156" t="s">
        <v>564</v>
      </c>
      <c r="F6" s="158"/>
      <c r="G6" s="156" t="s">
        <v>564</v>
      </c>
      <c r="H6" s="159"/>
      <c r="I6" s="156" t="s">
        <v>564</v>
      </c>
      <c r="J6" s="50"/>
      <c r="K6" s="160" t="s">
        <v>363</v>
      </c>
    </row>
    <row r="7" spans="1:11" ht="15.75">
      <c r="A7" s="161" t="s">
        <v>65</v>
      </c>
      <c r="B7" s="392">
        <v>75813.43</v>
      </c>
      <c r="C7" s="162" t="s">
        <v>65</v>
      </c>
      <c r="D7" s="283"/>
      <c r="E7" s="162" t="s">
        <v>65</v>
      </c>
      <c r="F7" s="283"/>
      <c r="G7" s="162" t="s">
        <v>65</v>
      </c>
      <c r="H7" s="392"/>
      <c r="I7" s="162" t="s">
        <v>65</v>
      </c>
      <c r="J7" s="283"/>
      <c r="K7" s="265">
        <f>SUM(B7+D7+F7+H7+J7)</f>
        <v>75813.43</v>
      </c>
    </row>
    <row r="8" spans="1:11" ht="15.75">
      <c r="A8" s="163" t="s">
        <v>529</v>
      </c>
      <c r="B8" s="164"/>
      <c r="C8" s="163" t="s">
        <v>529</v>
      </c>
      <c r="D8" s="165"/>
      <c r="E8" s="163" t="s">
        <v>529</v>
      </c>
      <c r="F8" s="152"/>
      <c r="G8" s="163" t="s">
        <v>529</v>
      </c>
      <c r="H8" s="50"/>
      <c r="I8" s="163" t="s">
        <v>529</v>
      </c>
      <c r="J8" s="50"/>
      <c r="K8" s="152"/>
    </row>
    <row r="9" spans="1:11" ht="15.75">
      <c r="A9" s="281" t="s">
        <v>19</v>
      </c>
      <c r="B9" s="386">
        <v>30000</v>
      </c>
      <c r="C9" s="281"/>
      <c r="D9" s="386"/>
      <c r="E9" s="281"/>
      <c r="F9" s="386"/>
      <c r="G9" s="281"/>
      <c r="H9" s="386"/>
      <c r="I9" s="281"/>
      <c r="J9" s="386"/>
      <c r="K9" s="152"/>
    </row>
    <row r="10" spans="1:11" ht="15.75">
      <c r="A10" s="281"/>
      <c r="B10" s="386"/>
      <c r="C10" s="281"/>
      <c r="D10" s="386"/>
      <c r="E10" s="281"/>
      <c r="F10" s="386"/>
      <c r="G10" s="281"/>
      <c r="H10" s="386"/>
      <c r="I10" s="281"/>
      <c r="J10" s="386"/>
      <c r="K10" s="152"/>
    </row>
    <row r="11" spans="1:11" ht="15.75">
      <c r="A11" s="281"/>
      <c r="B11" s="386"/>
      <c r="C11" s="281"/>
      <c r="D11" s="386"/>
      <c r="E11" s="281"/>
      <c r="F11" s="386"/>
      <c r="G11" s="281"/>
      <c r="H11" s="386"/>
      <c r="I11" s="281"/>
      <c r="J11" s="386"/>
      <c r="K11" s="152"/>
    </row>
    <row r="12" spans="1:11" ht="15.75">
      <c r="A12" s="281"/>
      <c r="B12" s="386"/>
      <c r="C12" s="281"/>
      <c r="D12" s="386"/>
      <c r="E12" s="281"/>
      <c r="F12" s="386"/>
      <c r="G12" s="281"/>
      <c r="H12" s="386"/>
      <c r="I12" s="281"/>
      <c r="J12" s="386"/>
      <c r="K12" s="152"/>
    </row>
    <row r="13" spans="1:11" ht="15.75">
      <c r="A13" s="281"/>
      <c r="B13" s="386"/>
      <c r="C13" s="284"/>
      <c r="D13" s="386"/>
      <c r="E13" s="284"/>
      <c r="F13" s="386"/>
      <c r="G13" s="284"/>
      <c r="H13" s="386"/>
      <c r="I13" s="285"/>
      <c r="J13" s="386"/>
      <c r="K13" s="152"/>
    </row>
    <row r="14" spans="1:11" ht="15.75">
      <c r="A14" s="281"/>
      <c r="B14" s="386"/>
      <c r="C14" s="281"/>
      <c r="D14" s="386"/>
      <c r="E14" s="286"/>
      <c r="F14" s="386"/>
      <c r="G14" s="286"/>
      <c r="H14" s="386"/>
      <c r="I14" s="286"/>
      <c r="J14" s="386"/>
      <c r="K14" s="152"/>
    </row>
    <row r="15" spans="1:11" ht="15.75">
      <c r="A15" s="281"/>
      <c r="B15" s="386"/>
      <c r="C15" s="288"/>
      <c r="D15" s="386"/>
      <c r="E15" s="288"/>
      <c r="F15" s="386"/>
      <c r="G15" s="288"/>
      <c r="H15" s="386"/>
      <c r="I15" s="285"/>
      <c r="J15" s="386"/>
      <c r="K15" s="152"/>
    </row>
    <row r="16" spans="1:11" ht="15.75">
      <c r="A16" s="281"/>
      <c r="B16" s="386"/>
      <c r="C16" s="286"/>
      <c r="D16" s="386"/>
      <c r="E16" s="286"/>
      <c r="F16" s="386"/>
      <c r="G16" s="286"/>
      <c r="H16" s="386"/>
      <c r="I16" s="286"/>
      <c r="J16" s="386"/>
      <c r="K16" s="152"/>
    </row>
    <row r="17" spans="1:11" ht="15.75">
      <c r="A17" s="287"/>
      <c r="B17" s="386"/>
      <c r="C17" s="281"/>
      <c r="D17" s="386"/>
      <c r="E17" s="281"/>
      <c r="F17" s="386"/>
      <c r="G17" s="286"/>
      <c r="H17" s="386"/>
      <c r="I17" s="281"/>
      <c r="J17" s="386"/>
      <c r="K17" s="152"/>
    </row>
    <row r="18" spans="1:11" ht="15.75">
      <c r="A18" s="163" t="s">
        <v>397</v>
      </c>
      <c r="B18" s="265">
        <f>SUM(B9:B17)</f>
        <v>30000</v>
      </c>
      <c r="C18" s="163" t="s">
        <v>397</v>
      </c>
      <c r="D18" s="266">
        <f>SUM(D9:D17)</f>
        <v>0</v>
      </c>
      <c r="E18" s="163" t="s">
        <v>397</v>
      </c>
      <c r="F18" s="267">
        <f>SUM(F9:F17)</f>
        <v>0</v>
      </c>
      <c r="G18" s="163" t="s">
        <v>397</v>
      </c>
      <c r="H18" s="266">
        <f>SUM(H9:H17)</f>
        <v>0</v>
      </c>
      <c r="I18" s="163" t="s">
        <v>397</v>
      </c>
      <c r="J18" s="266">
        <f>SUM(J9:J17)</f>
        <v>0</v>
      </c>
      <c r="K18" s="265">
        <f>SUM(B18+D18+F18+H18+J18)</f>
        <v>30000</v>
      </c>
    </row>
    <row r="19" spans="1:11" ht="15.75">
      <c r="A19" s="163" t="s">
        <v>398</v>
      </c>
      <c r="B19" s="265">
        <f>SUM(B7+B18)</f>
        <v>105813.43</v>
      </c>
      <c r="C19" s="163" t="s">
        <v>398</v>
      </c>
      <c r="D19" s="265">
        <f>SUM(D7+D18)</f>
        <v>0</v>
      </c>
      <c r="E19" s="163" t="s">
        <v>398</v>
      </c>
      <c r="F19" s="265">
        <f>SUM(F7+F18)</f>
        <v>0</v>
      </c>
      <c r="G19" s="163" t="s">
        <v>398</v>
      </c>
      <c r="H19" s="265">
        <f>SUM(H7+H18)</f>
        <v>0</v>
      </c>
      <c r="I19" s="163" t="s">
        <v>398</v>
      </c>
      <c r="J19" s="265">
        <f>SUM(J7+J18)</f>
        <v>0</v>
      </c>
      <c r="K19" s="265">
        <f>SUM(B19+D19+F19+H19+J19)</f>
        <v>105813.43</v>
      </c>
    </row>
    <row r="20" spans="1:11" ht="15.75">
      <c r="A20" s="163" t="s">
        <v>400</v>
      </c>
      <c r="B20" s="164"/>
      <c r="C20" s="163" t="s">
        <v>400</v>
      </c>
      <c r="D20" s="165"/>
      <c r="E20" s="163" t="s">
        <v>400</v>
      </c>
      <c r="F20" s="152"/>
      <c r="G20" s="163" t="s">
        <v>400</v>
      </c>
      <c r="H20" s="50"/>
      <c r="I20" s="163" t="s">
        <v>400</v>
      </c>
      <c r="J20" s="50"/>
      <c r="K20" s="152"/>
    </row>
    <row r="21" spans="1:11" ht="15.75">
      <c r="A21" s="281" t="s">
        <v>93</v>
      </c>
      <c r="B21" s="386">
        <v>15682.92</v>
      </c>
      <c r="C21" s="286"/>
      <c r="D21" s="386"/>
      <c r="E21" s="286"/>
      <c r="F21" s="386"/>
      <c r="G21" s="286"/>
      <c r="H21" s="386"/>
      <c r="I21" s="286"/>
      <c r="J21" s="386"/>
      <c r="K21" s="152"/>
    </row>
    <row r="22" spans="1:11" ht="15.75">
      <c r="A22" s="281" t="s">
        <v>187</v>
      </c>
      <c r="B22" s="386">
        <v>2880.55</v>
      </c>
      <c r="C22" s="286"/>
      <c r="D22" s="387"/>
      <c r="E22" s="286"/>
      <c r="F22" s="387"/>
      <c r="G22" s="286"/>
      <c r="H22" s="386"/>
      <c r="I22" s="286"/>
      <c r="J22" s="387"/>
      <c r="K22" s="152"/>
    </row>
    <row r="23" spans="1:11" ht="15.75">
      <c r="A23" s="281" t="s">
        <v>535</v>
      </c>
      <c r="B23" s="387">
        <v>42606.99</v>
      </c>
      <c r="C23" s="288"/>
      <c r="D23" s="386"/>
      <c r="E23" s="288"/>
      <c r="F23" s="386"/>
      <c r="G23" s="288"/>
      <c r="H23" s="386"/>
      <c r="I23" s="285"/>
      <c r="J23" s="386"/>
      <c r="K23" s="152"/>
    </row>
    <row r="24" spans="1:11" ht="15.75">
      <c r="A24" s="281"/>
      <c r="B24" s="386"/>
      <c r="C24" s="286"/>
      <c r="D24" s="386"/>
      <c r="E24" s="286"/>
      <c r="F24" s="386"/>
      <c r="G24" s="286"/>
      <c r="H24" s="386"/>
      <c r="I24" s="286"/>
      <c r="J24" s="386"/>
      <c r="K24" s="152"/>
    </row>
    <row r="25" spans="1:11" ht="15.75">
      <c r="A25" s="281"/>
      <c r="B25" s="386"/>
      <c r="C25" s="288"/>
      <c r="D25" s="387"/>
      <c r="E25" s="288"/>
      <c r="F25" s="387"/>
      <c r="G25" s="288"/>
      <c r="H25" s="387"/>
      <c r="I25" s="285"/>
      <c r="J25" s="387"/>
      <c r="K25" s="152"/>
    </row>
    <row r="26" spans="1:11" ht="15.75">
      <c r="A26" s="281"/>
      <c r="B26" s="386"/>
      <c r="C26" s="286"/>
      <c r="D26" s="386"/>
      <c r="E26" s="286"/>
      <c r="F26" s="386"/>
      <c r="G26" s="286"/>
      <c r="H26" s="386"/>
      <c r="I26" s="286"/>
      <c r="J26" s="386"/>
      <c r="K26" s="152"/>
    </row>
    <row r="27" spans="1:11" ht="15.75">
      <c r="A27" s="281"/>
      <c r="B27" s="388"/>
      <c r="C27" s="281"/>
      <c r="D27" s="388"/>
      <c r="E27" s="281"/>
      <c r="F27" s="388"/>
      <c r="G27" s="286"/>
      <c r="H27" s="388"/>
      <c r="I27" s="286"/>
      <c r="J27" s="388"/>
      <c r="K27" s="152"/>
    </row>
    <row r="28" spans="1:11" ht="15.75">
      <c r="A28" s="163" t="s">
        <v>404</v>
      </c>
      <c r="B28" s="265">
        <f>SUM(B21:B27)</f>
        <v>61170.46</v>
      </c>
      <c r="C28" s="163" t="s">
        <v>404</v>
      </c>
      <c r="D28" s="266">
        <f>SUM(D21:D27)</f>
        <v>0</v>
      </c>
      <c r="E28" s="163" t="s">
        <v>404</v>
      </c>
      <c r="F28" s="267">
        <f>SUM(F21:F27)</f>
        <v>0</v>
      </c>
      <c r="G28" s="163" t="s">
        <v>404</v>
      </c>
      <c r="H28" s="267">
        <f>SUM(H21:H27)</f>
        <v>0</v>
      </c>
      <c r="I28" s="163" t="s">
        <v>404</v>
      </c>
      <c r="J28" s="266">
        <f>SUM(J21:J27)</f>
        <v>0</v>
      </c>
      <c r="K28" s="265">
        <f>SUM(B28+D28+F28+H28+J28)</f>
        <v>61170.46</v>
      </c>
    </row>
    <row r="29" spans="1:12" ht="15.75">
      <c r="A29" s="163" t="s">
        <v>565</v>
      </c>
      <c r="B29" s="265">
        <f>SUM(B19-B28)</f>
        <v>44642.969999999994</v>
      </c>
      <c r="C29" s="163" t="s">
        <v>565</v>
      </c>
      <c r="D29" s="265">
        <f>SUM(D19-D28)</f>
        <v>0</v>
      </c>
      <c r="E29" s="163" t="s">
        <v>565</v>
      </c>
      <c r="F29" s="265">
        <f>SUM(F19-F28)</f>
        <v>0</v>
      </c>
      <c r="G29" s="163" t="s">
        <v>565</v>
      </c>
      <c r="H29" s="265">
        <f>SUM(H19-H28)</f>
        <v>0</v>
      </c>
      <c r="I29" s="163" t="s">
        <v>565</v>
      </c>
      <c r="J29" s="265">
        <f>SUM(J19-J28)</f>
        <v>0</v>
      </c>
      <c r="K29" s="268">
        <f>SUM(B29+D29+F29+H29+J29)</f>
        <v>44642.969999999994</v>
      </c>
      <c r="L29" s="2" t="s">
        <v>660</v>
      </c>
    </row>
    <row r="30" spans="1:12" ht="15.75">
      <c r="A30" s="163"/>
      <c r="B30" s="369">
        <f>IF(B29&lt;0,"Neg Bal","")</f>
      </c>
      <c r="C30" s="163"/>
      <c r="D30" s="369">
        <f>IF(D29&lt;0,"Neg Bal","")</f>
      </c>
      <c r="E30" s="163"/>
      <c r="F30" s="369">
        <f>IF(F29&lt;0,"Neg Bal","")</f>
      </c>
      <c r="G30" s="50"/>
      <c r="H30" s="369">
        <f>IF(H29&lt;0,"Neg Bal","")</f>
      </c>
      <c r="I30" s="50"/>
      <c r="J30" s="369">
        <f>IF(J29&lt;0,"Neg Bal","")</f>
      </c>
      <c r="K30" s="268">
        <f>SUM(K7+K18-K28)</f>
        <v>44642.969999999994</v>
      </c>
      <c r="L30" s="2" t="s">
        <v>660</v>
      </c>
    </row>
    <row r="31" spans="1:11" ht="15.75">
      <c r="A31" s="50"/>
      <c r="B31" s="55"/>
      <c r="C31" s="50"/>
      <c r="D31" s="152"/>
      <c r="E31" s="50"/>
      <c r="F31" s="50"/>
      <c r="G31" s="360" t="s">
        <v>662</v>
      </c>
      <c r="H31" s="360"/>
      <c r="I31" s="360"/>
      <c r="J31" s="360"/>
      <c r="K31" s="50"/>
    </row>
    <row r="32" spans="1:11" ht="15.75">
      <c r="A32" s="50"/>
      <c r="B32" s="55"/>
      <c r="C32" s="50"/>
      <c r="D32" s="50"/>
      <c r="E32" s="50"/>
      <c r="F32" s="50"/>
      <c r="G32" s="269"/>
      <c r="H32" s="50"/>
      <c r="I32" s="50"/>
      <c r="J32" s="50"/>
      <c r="K32" s="50"/>
    </row>
    <row r="33" spans="1:11" ht="15.75">
      <c r="A33" s="50"/>
      <c r="B33" s="55"/>
      <c r="C33" s="50"/>
      <c r="D33" s="50"/>
      <c r="E33" s="63" t="s">
        <v>408</v>
      </c>
      <c r="F33" s="100">
        <v>26</v>
      </c>
      <c r="G33" s="50"/>
      <c r="H33" s="50"/>
      <c r="I33" s="50"/>
      <c r="J33" s="50"/>
      <c r="K33" s="50"/>
    </row>
    <row r="34" ht="15.75">
      <c r="B34" s="166"/>
    </row>
    <row r="35" ht="15.75">
      <c r="B35" s="166"/>
    </row>
    <row r="36" ht="15.75">
      <c r="B36" s="166"/>
    </row>
    <row r="37" ht="15.75">
      <c r="B37" s="166"/>
    </row>
    <row r="38" ht="15.75">
      <c r="B38" s="166"/>
    </row>
    <row r="39" ht="15.75">
      <c r="B39" s="166"/>
    </row>
    <row r="40" ht="15.75">
      <c r="B40" s="166"/>
    </row>
    <row r="41" ht="15.75">
      <c r="B41" s="16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91" r:id="rId1"/>
</worksheet>
</file>

<file path=xl/worksheets/sheet37.xml><?xml version="1.0" encoding="utf-8"?>
<worksheet xmlns="http://schemas.openxmlformats.org/spreadsheetml/2006/main" xmlns:r="http://schemas.openxmlformats.org/officeDocument/2006/relationships">
  <sheetPr>
    <pageSetUpPr fitToPage="1"/>
  </sheetPr>
  <dimension ref="A1:I67"/>
  <sheetViews>
    <sheetView view="pageBreakPreview" zoomScaleNormal="75" zoomScaleSheetLayoutView="100" zoomScalePageLayoutView="0" workbookViewId="0" topLeftCell="A31">
      <selection activeCell="B49" sqref="B4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796875" style="2" customWidth="1"/>
    <col min="7" max="7" width="12.796875" style="2" customWidth="1"/>
    <col min="8" max="8" width="10.796875" style="2" customWidth="1"/>
    <col min="9" max="16384" width="8.8984375" style="2" customWidth="1"/>
  </cols>
  <sheetData>
    <row r="1" spans="1:9" ht="15.75">
      <c r="A1" s="453" t="s">
        <v>462</v>
      </c>
      <c r="B1" s="453"/>
      <c r="C1" s="453"/>
      <c r="D1" s="453"/>
      <c r="E1" s="453"/>
      <c r="F1" s="453"/>
      <c r="G1" s="453"/>
      <c r="H1" s="453"/>
      <c r="I1" s="13"/>
    </row>
    <row r="2" spans="1:8" ht="18" customHeight="1">
      <c r="A2" s="21"/>
      <c r="B2" s="21"/>
      <c r="C2" s="21"/>
      <c r="D2" s="21"/>
      <c r="E2" s="21"/>
      <c r="F2" s="21"/>
      <c r="G2" s="21"/>
      <c r="H2" s="21">
        <f>inputPrYr!$C$5</f>
        <v>2012</v>
      </c>
    </row>
    <row r="3" spans="1:8" ht="18" customHeight="1">
      <c r="A3" s="447" t="s">
        <v>410</v>
      </c>
      <c r="B3" s="447"/>
      <c r="C3" s="447"/>
      <c r="D3" s="447"/>
      <c r="E3" s="447"/>
      <c r="F3" s="447"/>
      <c r="G3" s="447"/>
      <c r="H3" s="447"/>
    </row>
    <row r="4" spans="1:8" ht="15.75">
      <c r="A4" s="447" t="str">
        <f>inputPrYr!D2</f>
        <v>City of Coffeyville</v>
      </c>
      <c r="B4" s="447"/>
      <c r="C4" s="447"/>
      <c r="D4" s="447"/>
      <c r="E4" s="447"/>
      <c r="F4" s="447"/>
      <c r="G4" s="447"/>
      <c r="H4" s="447"/>
    </row>
    <row r="5" spans="1:8" ht="18" customHeight="1">
      <c r="A5" s="473" t="s">
        <v>679</v>
      </c>
      <c r="B5" s="473"/>
      <c r="C5" s="473"/>
      <c r="D5" s="473"/>
      <c r="E5" s="473"/>
      <c r="F5" s="473"/>
      <c r="G5" s="473"/>
      <c r="H5" s="473"/>
    </row>
    <row r="6" spans="1:8" ht="16.5" customHeight="1">
      <c r="A6" s="447" t="s">
        <v>474</v>
      </c>
      <c r="B6" s="447"/>
      <c r="C6" s="447"/>
      <c r="D6" s="447"/>
      <c r="E6" s="447"/>
      <c r="F6" s="447"/>
      <c r="G6" s="447"/>
      <c r="H6" s="447"/>
    </row>
    <row r="7" spans="1:8" ht="16.5" customHeight="1">
      <c r="A7" s="21"/>
      <c r="B7" s="21"/>
      <c r="C7" s="21"/>
      <c r="D7" s="21"/>
      <c r="E7" s="21"/>
      <c r="F7" s="21"/>
      <c r="G7" s="21"/>
      <c r="H7" s="21"/>
    </row>
    <row r="8" spans="1:8" ht="16.5" customHeight="1">
      <c r="A8" s="473" t="s">
        <v>266</v>
      </c>
      <c r="B8" s="473"/>
      <c r="C8" s="473"/>
      <c r="D8" s="473"/>
      <c r="E8" s="473"/>
      <c r="F8" s="473"/>
      <c r="G8" s="473"/>
      <c r="H8" s="473"/>
    </row>
    <row r="9" spans="1:8" ht="16.5" customHeight="1">
      <c r="A9" s="447" t="s">
        <v>411</v>
      </c>
      <c r="B9" s="447"/>
      <c r="C9" s="447"/>
      <c r="D9" s="447"/>
      <c r="E9" s="447"/>
      <c r="F9" s="447"/>
      <c r="G9" s="447"/>
      <c r="H9" s="447"/>
    </row>
    <row r="10" spans="1:8" ht="15.75">
      <c r="A10" s="49"/>
      <c r="B10" s="49"/>
      <c r="C10" s="49"/>
      <c r="D10" s="49"/>
      <c r="E10" s="49"/>
      <c r="F10" s="49"/>
      <c r="G10" s="49"/>
      <c r="H10" s="49"/>
    </row>
    <row r="11" spans="1:8" ht="15.75">
      <c r="A11" s="103" t="s">
        <v>463</v>
      </c>
      <c r="B11" s="27"/>
      <c r="C11" s="27"/>
      <c r="D11" s="27"/>
      <c r="E11" s="27"/>
      <c r="F11" s="27"/>
      <c r="G11" s="27"/>
      <c r="H11" s="27"/>
    </row>
    <row r="12" spans="1:8" ht="15.75">
      <c r="A12" s="26" t="str">
        <f>CONCATENATE("Proposed Budget ",H2," Expenditures and Amount of ",H2-1," Ad Valorem Tax establish the maximum limits of the ",H2," budget.")</f>
        <v>Proposed Budget 2012 Expenditures and Amount of 2011 Ad Valorem Tax establish the maximum limits of the 2012 budget.</v>
      </c>
      <c r="B12" s="27"/>
      <c r="C12" s="27"/>
      <c r="D12" s="27"/>
      <c r="E12" s="27"/>
      <c r="F12" s="27"/>
      <c r="G12" s="27"/>
      <c r="H12" s="27"/>
    </row>
    <row r="13" spans="1:8" ht="15.75">
      <c r="A13" s="26" t="s">
        <v>534</v>
      </c>
      <c r="B13" s="27"/>
      <c r="C13" s="27"/>
      <c r="D13" s="27"/>
      <c r="E13" s="27"/>
      <c r="F13" s="27"/>
      <c r="G13" s="27"/>
      <c r="H13" s="27"/>
    </row>
    <row r="14" spans="1:8" ht="15.75">
      <c r="A14" s="21"/>
      <c r="B14" s="96"/>
      <c r="C14" s="96"/>
      <c r="D14" s="96"/>
      <c r="E14" s="96"/>
      <c r="F14" s="96"/>
      <c r="G14" s="96"/>
      <c r="H14" s="96"/>
    </row>
    <row r="15" spans="1:8" ht="15.75">
      <c r="A15" s="21"/>
      <c r="B15" s="104" t="str">
        <f>CONCATENATE("Prior Year Actual for ",H2-2,"")</f>
        <v>Prior Year Actual for 2010</v>
      </c>
      <c r="C15" s="30"/>
      <c r="D15" s="104" t="str">
        <f>CONCATENATE("Current Year Estimate for ",H2-1,"")</f>
        <v>Current Year Estimate for 2011</v>
      </c>
      <c r="E15" s="30"/>
      <c r="F15" s="28" t="str">
        <f>CONCATENATE("Proposed Budget for ",H2,"")</f>
        <v>Proposed Budget for 2012</v>
      </c>
      <c r="G15" s="29"/>
      <c r="H15" s="30"/>
    </row>
    <row r="16" spans="1:8" ht="21" customHeight="1">
      <c r="A16" s="21"/>
      <c r="B16" s="93"/>
      <c r="C16" s="33" t="s">
        <v>413</v>
      </c>
      <c r="D16" s="33"/>
      <c r="E16" s="33" t="s">
        <v>413</v>
      </c>
      <c r="F16" s="33"/>
      <c r="G16" s="33" t="str">
        <f>CONCATENATE("Amount of ",H2-1,"")</f>
        <v>Amount of 2011</v>
      </c>
      <c r="H16" s="33" t="s">
        <v>614</v>
      </c>
    </row>
    <row r="17" spans="1:8" ht="15.75">
      <c r="A17" s="44" t="s">
        <v>414</v>
      </c>
      <c r="B17" s="36" t="s">
        <v>415</v>
      </c>
      <c r="C17" s="36" t="s">
        <v>416</v>
      </c>
      <c r="D17" s="36" t="s">
        <v>415</v>
      </c>
      <c r="E17" s="36" t="s">
        <v>416</v>
      </c>
      <c r="F17" s="36" t="s">
        <v>417</v>
      </c>
      <c r="G17" s="192" t="s">
        <v>392</v>
      </c>
      <c r="H17" s="36" t="s">
        <v>416</v>
      </c>
    </row>
    <row r="18" spans="1:8" ht="15.75">
      <c r="A18" s="40" t="str">
        <f>inputPrYr!B16</f>
        <v>General</v>
      </c>
      <c r="B18" s="40">
        <f>IF('010'!$C$110&lt;&gt;0,'010'!$C$110,"  ")</f>
        <v>13195052.66</v>
      </c>
      <c r="C18" s="105">
        <f>IF(inputPrYr!D90&gt;0,inputPrYr!D90,"  ")</f>
        <v>36.655</v>
      </c>
      <c r="D18" s="40">
        <f>IF('010'!$D$110&lt;&gt;0,'010'!$D$110,"  ")</f>
        <v>13467718.38</v>
      </c>
      <c r="E18" s="105">
        <f>IF(inputOth!D20&gt;0,inputOth!D20,"  ")</f>
        <v>36.471</v>
      </c>
      <c r="F18" s="40">
        <f>IF('010'!$E$110&lt;&gt;0,'010'!$E$110,"  ")</f>
        <v>13616564.989999998</v>
      </c>
      <c r="G18" s="40">
        <f>IF('010'!$E$116&lt;&gt;0,'010'!$E$116,"  ")</f>
        <v>3871122.1999999993</v>
      </c>
      <c r="H18" s="105">
        <f>IF('010'!E116&gt;0,ROUND(G18/$F$53*1000,3),"  ")</f>
        <v>36.474</v>
      </c>
    </row>
    <row r="19" spans="1:8" ht="15.75">
      <c r="A19" s="40" t="str">
        <f>inputPrYr!B17</f>
        <v>Bond &amp; Interest</v>
      </c>
      <c r="B19" s="40">
        <f>IF('090'!$C$66&lt;&gt;0,'090'!$C$66,"  ")</f>
        <v>3067725.73</v>
      </c>
      <c r="C19" s="105" t="str">
        <f>IF(inputPrYr!D91&gt;0,inputPrYr!D91,"  ")</f>
        <v>  </v>
      </c>
      <c r="D19" s="40">
        <f>IF('090'!$D$66&lt;&gt;0,'090'!$D$66,"  ")</f>
        <v>3102537.3899999997</v>
      </c>
      <c r="E19" s="105" t="str">
        <f>IF(inputOth!D21&gt;0,inputOth!D21,"  ")</f>
        <v>  </v>
      </c>
      <c r="F19" s="40">
        <f>IF('090'!$E$66&lt;&gt;0,'090'!$E$66,"  ")</f>
        <v>352440.76</v>
      </c>
      <c r="G19" s="40" t="str">
        <f>IF('090'!$E$72&lt;&gt;0,'090'!$E$72,"  ")</f>
        <v>  </v>
      </c>
      <c r="H19" s="105" t="str">
        <f>IF('090'!E72&gt;0,ROUND(G19/$F$53*1000,3),"  ")</f>
        <v>  </v>
      </c>
    </row>
    <row r="20" spans="1:8" ht="15.75">
      <c r="A20" s="40" t="str">
        <f>IF(inputPrYr!$B19&gt;"  ",(inputPrYr!$B19),"  ")</f>
        <v>Library</v>
      </c>
      <c r="B20" s="40">
        <f>IF('020-040'!$C$31&gt;0,'020-040'!$C$31,"  ")</f>
        <v>327651.28</v>
      </c>
      <c r="C20" s="105">
        <f>IF(inputPrYr!D92&gt;0,inputPrYr!D92,"  ")</f>
        <v>3.145</v>
      </c>
      <c r="D20" s="40">
        <f>IF('020-040'!$D$31&gt;0,'020-040'!$D$31,"  ")</f>
        <v>373230</v>
      </c>
      <c r="E20" s="105">
        <f>IF(inputOth!D22&gt;0,inputOth!D22,"  ")</f>
        <v>3.085</v>
      </c>
      <c r="F20" s="40">
        <f>IF('020-040'!$E$31&gt;0,'020-040'!$E$31,"  ")</f>
        <v>379321.45</v>
      </c>
      <c r="G20" s="40">
        <f>IF('020-040'!$E$37&lt;&gt;0,'020-040'!$E$37,"  ")</f>
        <v>353045.51000000007</v>
      </c>
      <c r="H20" s="105">
        <f>IF('020-040'!E37&lt;&gt;0,ROUND(G20/$F$53*1000,3),"  ")</f>
        <v>3.326</v>
      </c>
    </row>
    <row r="21" spans="1:8" ht="15.75">
      <c r="A21" s="40" t="str">
        <f>IF(inputPrYr!$B20&gt;"  ",(inputPrYr!$B20),"  ")</f>
        <v>Employee Benefits</v>
      </c>
      <c r="B21" s="40" t="str">
        <f>IF('020-040'!$C$66&gt;0,'020-040'!$C$66,"  ")</f>
        <v>  </v>
      </c>
      <c r="C21" s="105" t="str">
        <f>IF(inputPrYr!D93&gt;0,inputPrYr!D93,"  ")</f>
        <v>  </v>
      </c>
      <c r="D21" s="40" t="str">
        <f>IF('020-040'!$D$66&gt;0,'020-040'!$D$66,"  ")</f>
        <v>  </v>
      </c>
      <c r="E21" s="105" t="str">
        <f>IF(inputOth!D23&gt;0,inputOth!D23,"  ")</f>
        <v>  </v>
      </c>
      <c r="F21" s="40" t="str">
        <f>IF('020-040'!$E$66&gt;0,'020-040'!$E$66,"  ")</f>
        <v>  </v>
      </c>
      <c r="G21" s="40" t="str">
        <f>IF('020-040'!$E$72&lt;&gt;0,'020-040'!$E$72,"  ")</f>
        <v>  </v>
      </c>
      <c r="H21" s="105" t="str">
        <f>IF('020-040'!E72&lt;&gt;0,ROUND(G21/$F$53*1000,3),"  ")</f>
        <v>  </v>
      </c>
    </row>
    <row r="22" spans="1:8" ht="15.75">
      <c r="A22" s="40" t="str">
        <f>IF(inputPrYr!$B32&gt;"  ",(inputPrYr!$B32),"  ")</f>
        <v>Special Highway</v>
      </c>
      <c r="B22" s="40" t="str">
        <f>IF('110'!$C$33&gt;0,'110'!$C$33,"  ")</f>
        <v>  </v>
      </c>
      <c r="C22" s="42"/>
      <c r="D22" s="40" t="str">
        <f>IF('110'!$D$33&gt;0,'110'!$D$33,"  ")</f>
        <v>  </v>
      </c>
      <c r="E22" s="42"/>
      <c r="F22" s="40" t="str">
        <f>IF('110'!$E$33&gt;0,'110'!$E$33,"  ")</f>
        <v>  </v>
      </c>
      <c r="G22" s="40"/>
      <c r="H22" s="105"/>
    </row>
    <row r="23" spans="1:8" ht="15.75">
      <c r="A23" s="40" t="str">
        <f>IF(inputPrYr!$B33&gt;"  ",(inputPrYr!$B33),"  ")</f>
        <v>Local Alcohol Liquor</v>
      </c>
      <c r="B23" s="40">
        <f>IF('110'!$C$70&gt;0,'110'!$C$70,"  ")</f>
        <v>28094.77</v>
      </c>
      <c r="C23" s="42"/>
      <c r="D23" s="40">
        <f>IF('110'!$D$70&gt;0,'110'!$D$70,"  ")</f>
        <v>36118.630000000005</v>
      </c>
      <c r="E23" s="42"/>
      <c r="F23" s="40">
        <f>IF('110'!$E$70&gt;0,'110'!$E$70,"  ")</f>
        <v>135108.22999999998</v>
      </c>
      <c r="G23" s="40"/>
      <c r="H23" s="105"/>
    </row>
    <row r="24" spans="1:8" ht="15.75">
      <c r="A24" s="40" t="str">
        <f>IF(inputPrYr!$B34&gt;"  ",(inputPrYr!$B34),"  ")</f>
        <v>Youth Activity Center</v>
      </c>
      <c r="B24" s="40">
        <f>IF('140-190'!$C$33&gt;0,'140-190'!$C$33,"  ")</f>
        <v>33872.66</v>
      </c>
      <c r="C24" s="42"/>
      <c r="D24" s="40">
        <f>IF('140-190'!$D$33&gt;0,'140-190'!$D$33,"  ")</f>
        <v>39407.45</v>
      </c>
      <c r="E24" s="42"/>
      <c r="F24" s="40">
        <f>IF('140-190'!$E$33&gt;0,'140-190'!$E$33,"  ")</f>
        <v>43266.590000000004</v>
      </c>
      <c r="G24" s="40"/>
      <c r="H24" s="105"/>
    </row>
    <row r="25" spans="1:8" ht="15.75">
      <c r="A25" s="40" t="str">
        <f>IF(inputPrYr!$B35&gt;"  ",(inputPrYr!$B35),"  ")</f>
        <v>Community Development</v>
      </c>
      <c r="B25" s="40">
        <f>IF('140-190'!$C$68&gt;0,'140-190'!$C$68,"  ")</f>
        <v>100</v>
      </c>
      <c r="C25" s="42"/>
      <c r="D25" s="40">
        <f>IF('140-190'!$D$68&gt;0,'140-190'!$D$68,"  ")</f>
        <v>1100</v>
      </c>
      <c r="E25" s="42"/>
      <c r="F25" s="40">
        <f>IF('140-190'!$E$68&gt;0,'140-190'!$E$68,"  ")</f>
        <v>193235.53</v>
      </c>
      <c r="G25" s="40"/>
      <c r="H25" s="105"/>
    </row>
    <row r="26" spans="1:8" ht="15.75">
      <c r="A26" s="40" t="str">
        <f>IF(inputPrYr!$B36&gt;"  ",(inputPrYr!$B36),"  ")</f>
        <v>Police VIN</v>
      </c>
      <c r="B26" s="40">
        <f>IF('250-280'!$C$32&gt;0,'250-280'!$C$32,"  ")</f>
        <v>11728</v>
      </c>
      <c r="C26" s="42"/>
      <c r="D26" s="40">
        <f>IF('250-280'!$D$32&gt;0,'250-280'!$D$32,"  ")</f>
        <v>14481.25</v>
      </c>
      <c r="E26" s="42"/>
      <c r="F26" s="40">
        <f>IF('250-280'!$E$32&gt;0,'250-280'!$E$32,"  ")</f>
        <v>17301.83</v>
      </c>
      <c r="G26" s="42"/>
      <c r="H26" s="42"/>
    </row>
    <row r="27" spans="1:8" ht="15.75">
      <c r="A27" s="40" t="str">
        <f>IF(inputPrYr!$B37&gt;"  ",(inputPrYr!$B37),"  ")</f>
        <v>Memorial Hall Building</v>
      </c>
      <c r="B27" s="40" t="str">
        <f>IF('250-280'!$C$68&gt;0,'250-280'!$C$68,"  ")</f>
        <v>  </v>
      </c>
      <c r="C27" s="42"/>
      <c r="D27" s="40" t="str">
        <f>IF('250-280'!$D$68&gt;0,'250-280'!$D$68,"  ")</f>
        <v>  </v>
      </c>
      <c r="E27" s="42"/>
      <c r="F27" s="40">
        <f>IF('250-280'!$E$68&gt;0,'250-280'!$E$68,"  ")</f>
        <v>12834.07</v>
      </c>
      <c r="G27" s="42"/>
      <c r="H27" s="42"/>
    </row>
    <row r="28" spans="1:8" ht="15.75">
      <c r="A28" s="40" t="str">
        <f>IF(inputPrYr!$B38&gt;"  ",(inputPrYr!$B38),"  ")</f>
        <v>Airport</v>
      </c>
      <c r="B28" s="40">
        <f>IF('360-370'!$C$30&gt;0,'360-370'!$C$30,"  ")</f>
        <v>32591.350000000006</v>
      </c>
      <c r="C28" s="42"/>
      <c r="D28" s="40">
        <f>IF('360-370'!$D$30&gt;0,'360-370'!$D$30,"  ")</f>
        <v>34790</v>
      </c>
      <c r="E28" s="42"/>
      <c r="F28" s="40">
        <f>IF('360-370'!$E$30&gt;0,'360-370'!$E$30,"  ")</f>
        <v>38220.89</v>
      </c>
      <c r="G28" s="42"/>
      <c r="H28" s="42"/>
    </row>
    <row r="29" spans="1:8" ht="15.75">
      <c r="A29" s="40" t="str">
        <f>IF(inputPrYr!$B39&gt;"  ",(inputPrYr!$B39),"  ")</f>
        <v>Hillcrest Golf Course</v>
      </c>
      <c r="B29" s="40">
        <f>IF('360-370'!$C$69&gt;0,'360-370'!$C$69,"  ")</f>
        <v>417894</v>
      </c>
      <c r="C29" s="42"/>
      <c r="D29" s="40">
        <f>IF('360-370'!$D$69&gt;0,'360-370'!$D$69,"  ")</f>
        <v>382367</v>
      </c>
      <c r="E29" s="42"/>
      <c r="F29" s="40">
        <f>IF('360-370'!$E$69&gt;0,'360-370'!$E$69,"  ")</f>
        <v>409198.9</v>
      </c>
      <c r="G29" s="42"/>
      <c r="H29" s="42"/>
    </row>
    <row r="30" spans="1:8" ht="15.75">
      <c r="A30" s="40" t="str">
        <f>IF(inputPrYr!$B40&gt;"  ",(inputPrYr!$B40),"  ")</f>
        <v>Aquatic Center</v>
      </c>
      <c r="B30" s="40">
        <f>IF('450-530'!$C$32&gt;0,'450-530'!$C$32,"  ")</f>
        <v>92792.11</v>
      </c>
      <c r="C30" s="42"/>
      <c r="D30" s="40">
        <f>IF('450-530'!$D$32&gt;0,'450-530'!$D$32,"  ")</f>
        <v>114401.92</v>
      </c>
      <c r="E30" s="42"/>
      <c r="F30" s="40">
        <f>IF('450-530'!$E$32&gt;0,'450-530'!$E$32,"  ")</f>
        <v>116524.43</v>
      </c>
      <c r="G30" s="42"/>
      <c r="H30" s="42"/>
    </row>
    <row r="31" spans="1:8" ht="15.75">
      <c r="A31" s="40" t="str">
        <f>IF(inputPrYr!$B41&gt;"  ",(inputPrYr!$B41),"  ")</f>
        <v>Sales Tax Bond Debt Service</v>
      </c>
      <c r="B31" s="40">
        <f>IF('450-530'!$C$68&gt;0,'450-530'!$C$68,"  ")</f>
        <v>418562.5</v>
      </c>
      <c r="C31" s="42"/>
      <c r="D31" s="40">
        <f>IF('450-530'!$D$68&gt;0,'450-530'!$D$68,"  ")</f>
        <v>417927.5</v>
      </c>
      <c r="E31" s="42"/>
      <c r="F31" s="40">
        <f>IF('450-530'!$E$68&gt;0,'450-530'!$E$68,"  ")</f>
        <v>418977.5</v>
      </c>
      <c r="G31" s="42"/>
      <c r="H31" s="42"/>
    </row>
    <row r="32" spans="1:8" ht="15.75">
      <c r="A32" s="40" t="str">
        <f>IF(inputPrYr!B42&gt;"  ",(inputPrYr!B42),"  ")</f>
        <v>USD 445 Sales Tax </v>
      </c>
      <c r="B32" s="40">
        <f>IF('550-560'!C32&gt;0,'550-560'!C32,"  ")</f>
        <v>1011256</v>
      </c>
      <c r="C32" s="42"/>
      <c r="D32" s="40">
        <f>IF('550-560'!D32&gt;0,'550-560'!D32,"  ")</f>
        <v>851526</v>
      </c>
      <c r="E32" s="42"/>
      <c r="F32" s="40">
        <f>IF('550-560'!E32&gt;0,'550-560'!E32,"  ")</f>
        <v>1000000</v>
      </c>
      <c r="G32" s="42"/>
      <c r="H32" s="42"/>
    </row>
    <row r="33" spans="1:8" ht="15.75">
      <c r="A33" s="40" t="str">
        <f>IF(inputPrYr!B43&gt;"  ",(inputPrYr!B43),"  ")</f>
        <v>CRMC Sales Tax</v>
      </c>
      <c r="B33" s="40">
        <f>IF('550-560'!C68&gt;0,'550-560'!C68,"  ")</f>
        <v>561033.47</v>
      </c>
      <c r="C33" s="42"/>
      <c r="D33" s="40">
        <f>IF('550-560'!D68&gt;0,'550-560'!D68,"  ")</f>
        <v>562000</v>
      </c>
      <c r="E33" s="42"/>
      <c r="F33" s="40">
        <f>IF('550-560'!E68&gt;0,'550-560'!E68,"  ")</f>
        <v>1000000</v>
      </c>
      <c r="G33" s="42"/>
      <c r="H33" s="42"/>
    </row>
    <row r="34" spans="1:8" ht="15.75">
      <c r="A34" s="40" t="str">
        <f>IF(inputPrYr!B44&gt;"  ",(inputPrYr!B44),"  ")</f>
        <v>Business Dev. Training Center (BDTC)</v>
      </c>
      <c r="B34" s="40">
        <f>IF('650-670'!C29&gt;0,'650-670'!C29,"  ")</f>
        <v>18954.2</v>
      </c>
      <c r="C34" s="42"/>
      <c r="D34" s="40">
        <f>IF('650-670'!D29&gt;0,'650-670'!D29,"  ")</f>
        <v>20875</v>
      </c>
      <c r="E34" s="42"/>
      <c r="F34" s="40">
        <f>IF('650-670'!E29&gt;0,'650-670'!E29,"  ")</f>
        <v>160329.24</v>
      </c>
      <c r="G34" s="42"/>
      <c r="H34" s="42"/>
    </row>
    <row r="35" spans="1:8" ht="15.75">
      <c r="A35" s="40" t="str">
        <f>IF(inputPrYr!B45&gt;"  ",(inputPrYr!B45),"  ")</f>
        <v>Veterans Memorial Stadium (VMS)</v>
      </c>
      <c r="B35" s="40">
        <f>IF('650-670'!C68&gt;0,'650-670'!C68,"  ")</f>
        <v>16449.35</v>
      </c>
      <c r="C35" s="42"/>
      <c r="D35" s="40">
        <f>IF('650-670'!D68&gt;0,'650-670'!D68,"  ")</f>
        <v>9300</v>
      </c>
      <c r="E35" s="42"/>
      <c r="F35" s="40">
        <f>IF('650-670'!E68&gt;0,'650-670'!E68,"  ")</f>
        <v>28652.64</v>
      </c>
      <c r="G35" s="42"/>
      <c r="H35" s="42"/>
    </row>
    <row r="36" spans="1:8" ht="15.75">
      <c r="A36" s="40" t="str">
        <f>IF(inputPrYr!B46&gt;"  ",(inputPrYr!B46),"  ")</f>
        <v>Refuse Utility</v>
      </c>
      <c r="B36" s="40">
        <f>IF('700-720'!C32&gt;0,'700-720'!C32,"  ")</f>
        <v>510849.2</v>
      </c>
      <c r="C36" s="42"/>
      <c r="D36" s="40">
        <f>IF('700-720'!D32&gt;0,'700-720'!D32,"  ")</f>
        <v>618502.8</v>
      </c>
      <c r="E36" s="42"/>
      <c r="F36" s="40">
        <f>IF('700-720'!E32&gt;0,'700-720'!E32,"  ")</f>
        <v>674283.74</v>
      </c>
      <c r="G36" s="42"/>
      <c r="H36" s="42"/>
    </row>
    <row r="37" spans="1:8" ht="15.75">
      <c r="A37" s="40" t="str">
        <f>IF(inputPrYr!B47&gt;"  ",(inputPrYr!B47),"  ")</f>
        <v>Internet Utility</v>
      </c>
      <c r="B37" s="40">
        <f>IF('700-720'!C68&gt;0,'700-720'!C68,"  ")</f>
        <v>201145.77</v>
      </c>
      <c r="C37" s="42"/>
      <c r="D37" s="40">
        <f>IF('700-720'!D68&gt;0,'700-720'!D68,"  ")</f>
        <v>279350.6</v>
      </c>
      <c r="E37" s="42"/>
      <c r="F37" s="40">
        <f>IF('700-720'!E68&gt;0,'700-720'!E68,"  ")</f>
        <v>466497.36</v>
      </c>
      <c r="G37" s="42"/>
      <c r="H37" s="42"/>
    </row>
    <row r="38" spans="1:8" ht="15.75">
      <c r="A38" s="40" t="str">
        <f>IF(inputPrYr!B48&gt;"  ",(inputPrYr!B48),"  ")</f>
        <v>Stormwater Utility</v>
      </c>
      <c r="B38" s="40">
        <f>IF('760-820'!C33&gt;0,'760-820'!C33,"  ")</f>
        <v>162023.84</v>
      </c>
      <c r="C38" s="42"/>
      <c r="D38" s="40">
        <f>IF('760-820'!D33&gt;0,'760-820'!D33,"  ")</f>
        <v>168202.41999999998</v>
      </c>
      <c r="E38" s="42"/>
      <c r="F38" s="40">
        <f>IF('760-820'!E33&gt;0,'760-820'!E33,"  ")</f>
        <v>163872.31</v>
      </c>
      <c r="G38" s="42"/>
      <c r="H38" s="42"/>
    </row>
    <row r="39" spans="1:8" ht="15.75">
      <c r="A39" s="40" t="str">
        <f>IF(inputPrYr!B49&gt;"  ",(inputPrYr!B49),"  ")</f>
        <v>Electric Debt Service</v>
      </c>
      <c r="B39" s="40">
        <f>IF('760-820'!C68&gt;0,'760-820'!C68,"  ")</f>
        <v>1050234.72</v>
      </c>
      <c r="C39" s="42"/>
      <c r="D39" s="40">
        <f>IF('760-820'!D68&gt;0,'760-820'!D68,"  ")</f>
        <v>1060097.22</v>
      </c>
      <c r="E39" s="42"/>
      <c r="F39" s="40">
        <f>IF('760-820'!E68&gt;0,'760-820'!E68,"  ")</f>
        <v>1047147.22</v>
      </c>
      <c r="G39" s="42"/>
      <c r="H39" s="42"/>
    </row>
    <row r="40" spans="1:8" ht="15.75">
      <c r="A40" s="40" t="str">
        <f>IF(inputPrYr!B50&gt;"  ",(inputPrYr!B50),"  ")</f>
        <v>Water/Wastewater Debt Service</v>
      </c>
      <c r="B40" s="40">
        <f>IF('920'!C33&gt;0,'920'!C33,"  ")</f>
        <v>1142439.78</v>
      </c>
      <c r="C40" s="42"/>
      <c r="D40" s="40">
        <f>IF('920'!D33&gt;0,'920'!D33,"  ")</f>
        <v>1180066.1</v>
      </c>
      <c r="E40" s="42"/>
      <c r="F40" s="40">
        <f>IF('920'!E33&gt;0,'920'!E33,"  ")</f>
        <v>1177332.46</v>
      </c>
      <c r="G40" s="42"/>
      <c r="H40" s="42"/>
    </row>
    <row r="41" spans="1:8" ht="15.75">
      <c r="A41" s="40" t="str">
        <f>IF(inputPrYr!B52&gt;"  ",(inputPrYr!B52),"  ")</f>
        <v>Electric Utility</v>
      </c>
      <c r="B41" s="40">
        <f>IF('800'!C68&gt;0,'800'!C68,"  ")</f>
        <v>45933383.92</v>
      </c>
      <c r="C41" s="42"/>
      <c r="D41" s="40">
        <f>IF('800'!D68&gt;0,'800'!D68,"  ")</f>
        <v>51211718.04</v>
      </c>
      <c r="E41" s="42"/>
      <c r="F41" s="40">
        <f>IF('800'!E68&gt;0,'800'!E68,"  ")</f>
        <v>52953745.31</v>
      </c>
      <c r="G41" s="42"/>
      <c r="H41" s="42"/>
    </row>
    <row r="42" spans="1:8" ht="15.75">
      <c r="A42" s="40" t="str">
        <f>IF(inputPrYr!B53&gt;"  ",(inputPrYr!B53),"  ")</f>
        <v>Water/Wastewater Utility</v>
      </c>
      <c r="B42" s="40">
        <f>IF('900'!C68&gt;0,'900'!C68,"  ")</f>
        <v>4841210.02</v>
      </c>
      <c r="C42" s="42"/>
      <c r="D42" s="40">
        <f>IF('900'!D68&gt;0,'900'!D68,"  ")</f>
        <v>5038096.61</v>
      </c>
      <c r="E42" s="42"/>
      <c r="F42" s="40">
        <f>IF('900'!E68&gt;0,'900'!E68,"  ")</f>
        <v>5215234.449999999</v>
      </c>
      <c r="G42" s="42"/>
      <c r="H42" s="42"/>
    </row>
    <row r="43" spans="1:8" ht="15.75">
      <c r="A43" s="40" t="str">
        <f>IF(inputPrYr!$B57&gt;"  ",(NonBudA!$A3),"  ")</f>
        <v>Non-Budgeted Funds-A</v>
      </c>
      <c r="B43" s="40">
        <f>IF(NonBudA!$K$28&gt;0,NonBudA!$K$28,"  ")</f>
        <v>3058369.84</v>
      </c>
      <c r="C43" s="42"/>
      <c r="D43" s="40"/>
      <c r="E43" s="42"/>
      <c r="F43" s="40"/>
      <c r="G43" s="42"/>
      <c r="H43" s="42"/>
    </row>
    <row r="44" spans="1:8" ht="15.75">
      <c r="A44" s="40" t="str">
        <f>IF(inputPrYr!$B63&gt;"  ",(NonBudB!$A3),"  ")</f>
        <v>Non-Budgeted Funds-B</v>
      </c>
      <c r="B44" s="40">
        <f>IF(NonBudB!$K$28&gt;0,NonBudB!$K$28,"  ")</f>
        <v>683262.5</v>
      </c>
      <c r="C44" s="42"/>
      <c r="D44" s="40"/>
      <c r="E44" s="42"/>
      <c r="F44" s="40"/>
      <c r="G44" s="42"/>
      <c r="H44" s="42"/>
    </row>
    <row r="45" spans="1:8" ht="15.75">
      <c r="A45" s="40" t="str">
        <f>IF(inputPrYr!$B69&gt;"  ",(NonBudC!$A3),"  ")</f>
        <v>Non-Budgeted Funds-C</v>
      </c>
      <c r="B45" s="40">
        <f>IF(NonBudC!$K$30&gt;0,NonBudC!$K$30,"  ")</f>
        <v>1844979.52</v>
      </c>
      <c r="C45" s="42"/>
      <c r="D45" s="40"/>
      <c r="E45" s="42"/>
      <c r="F45" s="40"/>
      <c r="G45" s="42"/>
      <c r="H45" s="42"/>
    </row>
    <row r="46" spans="1:8" ht="15.75">
      <c r="A46" s="40" t="str">
        <f>IF(inputPrYr!$B75&gt;"  ",(NonBudD!$A3),"  ")</f>
        <v>Non-Budgeted Funds-D</v>
      </c>
      <c r="B46" s="40">
        <f>IF(NonBudD!$K$28&gt;0,NonBudD!$K$28,"  ")</f>
        <v>3437981.52</v>
      </c>
      <c r="C46" s="42"/>
      <c r="D46" s="40"/>
      <c r="E46" s="42"/>
      <c r="F46" s="40"/>
      <c r="G46" s="42"/>
      <c r="H46" s="42"/>
    </row>
    <row r="47" spans="1:8" ht="15.75">
      <c r="A47" s="40" t="str">
        <f>IF(inputPrYr!$B81&gt;"  ",(NonBudE!$A3),"  ")</f>
        <v>Non-Budgeted Funds-E</v>
      </c>
      <c r="B47" s="40">
        <f>IF(NonBudE!$K$28&gt;0,NonBudE!$K$28,"  ")</f>
        <v>61170.46</v>
      </c>
      <c r="C47" s="42"/>
      <c r="D47" s="40"/>
      <c r="E47" s="42"/>
      <c r="F47" s="40"/>
      <c r="G47" s="42"/>
      <c r="H47" s="42"/>
    </row>
    <row r="48" spans="1:8" ht="15.75">
      <c r="A48" s="44" t="s">
        <v>379</v>
      </c>
      <c r="B48" s="40">
        <f>SUM(B18:B47)</f>
        <v>82160809.16999999</v>
      </c>
      <c r="C48" s="105">
        <f>SUM(C18:C21)</f>
        <v>39.800000000000004</v>
      </c>
      <c r="D48" s="40">
        <f>SUM(D18:D47)</f>
        <v>78983814.31</v>
      </c>
      <c r="E48" s="105">
        <f>SUM(E18:E21)</f>
        <v>39.556</v>
      </c>
      <c r="F48" s="40">
        <f>SUM(F18:F47)</f>
        <v>79620089.89999999</v>
      </c>
      <c r="G48" s="40">
        <f>SUM(G18:G46)</f>
        <v>4224167.709999999</v>
      </c>
      <c r="H48" s="105">
        <f>SUM(H18:H21)</f>
        <v>39.8</v>
      </c>
    </row>
    <row r="49" spans="1:8" ht="15.75">
      <c r="A49" s="25" t="s">
        <v>418</v>
      </c>
      <c r="B49" s="120">
        <f>+transfers!C52</f>
        <v>13886640.009999998</v>
      </c>
      <c r="C49" s="72"/>
      <c r="D49" s="120">
        <f>+transfers!D52</f>
        <v>13465080.84</v>
      </c>
      <c r="E49" s="72"/>
      <c r="F49" s="120">
        <f>+transfers!E52</f>
        <v>15103848.719999999</v>
      </c>
      <c r="G49" s="21"/>
      <c r="H49" s="21"/>
    </row>
    <row r="50" spans="1:8" ht="16.5" thickBot="1">
      <c r="A50" s="25" t="s">
        <v>419</v>
      </c>
      <c r="B50" s="73">
        <f>B48-B49</f>
        <v>68274169.16</v>
      </c>
      <c r="C50" s="21"/>
      <c r="D50" s="73">
        <f>D48-D49</f>
        <v>65518733.47</v>
      </c>
      <c r="E50" s="94"/>
      <c r="F50" s="73">
        <f>F48-F49</f>
        <v>64516241.17999999</v>
      </c>
      <c r="G50" s="21"/>
      <c r="H50" s="21"/>
    </row>
    <row r="51" spans="1:8" ht="16.5" thickTop="1">
      <c r="A51" s="25" t="s">
        <v>420</v>
      </c>
      <c r="B51" s="120">
        <f>inputPrYr!E104</f>
        <v>4391083</v>
      </c>
      <c r="C51" s="106"/>
      <c r="D51" s="120">
        <f>inputPrYr!D29</f>
        <v>4236286</v>
      </c>
      <c r="E51" s="106"/>
      <c r="F51" s="121" t="s">
        <v>380</v>
      </c>
      <c r="G51" s="21"/>
      <c r="H51" s="21"/>
    </row>
    <row r="52" spans="1:8" ht="15.75">
      <c r="A52" s="25" t="s">
        <v>421</v>
      </c>
      <c r="B52" s="39"/>
      <c r="C52" s="21"/>
      <c r="D52" s="39"/>
      <c r="E52" s="21"/>
      <c r="F52" s="39"/>
      <c r="G52" s="21"/>
      <c r="H52" s="21"/>
    </row>
    <row r="53" spans="1:8" ht="15.75">
      <c r="A53" s="25" t="s">
        <v>422</v>
      </c>
      <c r="B53" s="120">
        <f>inputPrYr!E105</f>
        <v>106220975</v>
      </c>
      <c r="C53" s="21"/>
      <c r="D53" s="120">
        <f>inputOth!E34</f>
        <v>107095234</v>
      </c>
      <c r="E53" s="21"/>
      <c r="F53" s="120">
        <f>inputOth!E6</f>
        <v>106134873</v>
      </c>
      <c r="G53" s="21"/>
      <c r="H53" s="21"/>
    </row>
    <row r="54" spans="1:8" ht="13.5" customHeight="1">
      <c r="A54" s="21"/>
      <c r="B54" s="21"/>
      <c r="C54" s="21"/>
      <c r="D54" s="21"/>
      <c r="E54" s="21"/>
      <c r="F54" s="21"/>
      <c r="G54" s="21"/>
      <c r="H54" s="21"/>
    </row>
    <row r="55" spans="1:8" ht="15.75">
      <c r="A55" s="25" t="s">
        <v>423</v>
      </c>
      <c r="B55" s="21"/>
      <c r="C55" s="21"/>
      <c r="D55" s="21"/>
      <c r="E55" s="21"/>
      <c r="F55" s="21"/>
      <c r="G55" s="21"/>
      <c r="H55" s="21"/>
    </row>
    <row r="56" spans="1:8" ht="18.75" customHeight="1">
      <c r="A56" s="25" t="s">
        <v>424</v>
      </c>
      <c r="B56" s="107">
        <f>H2-3</f>
        <v>2009</v>
      </c>
      <c r="C56" s="21"/>
      <c r="D56" s="107">
        <f>H2-2</f>
        <v>2010</v>
      </c>
      <c r="E56" s="21"/>
      <c r="F56" s="107">
        <f>H2-1</f>
        <v>2011</v>
      </c>
      <c r="G56" s="21"/>
      <c r="H56" s="21"/>
    </row>
    <row r="57" spans="1:8" ht="18.75" customHeight="1">
      <c r="A57" s="25" t="s">
        <v>425</v>
      </c>
      <c r="B57" s="193">
        <f>inputPrYr!D109</f>
        <v>9105000</v>
      </c>
      <c r="C57" s="133"/>
      <c r="D57" s="193">
        <f>inputPrYr!E109</f>
        <v>10215000</v>
      </c>
      <c r="E57" s="133"/>
      <c r="F57" s="193">
        <f>debt!F19</f>
        <v>9310000</v>
      </c>
      <c r="G57" s="21"/>
      <c r="H57" s="21"/>
    </row>
    <row r="58" spans="1:8" ht="18.75" customHeight="1">
      <c r="A58" s="25" t="s">
        <v>426</v>
      </c>
      <c r="B58" s="193">
        <f>inputPrYr!D110</f>
        <v>2235000</v>
      </c>
      <c r="C58" s="133"/>
      <c r="D58" s="193">
        <f>inputPrYr!E110</f>
        <v>0</v>
      </c>
      <c r="E58" s="133"/>
      <c r="F58" s="194">
        <f>debt!F26</f>
        <v>0</v>
      </c>
      <c r="G58" s="21"/>
      <c r="H58" s="21"/>
    </row>
    <row r="59" spans="1:8" ht="18.75" customHeight="1">
      <c r="A59" s="21" t="s">
        <v>445</v>
      </c>
      <c r="B59" s="193">
        <f>inputPrYr!D111</f>
        <v>14307836</v>
      </c>
      <c r="C59" s="133"/>
      <c r="D59" s="193">
        <f>inputPrYr!E111</f>
        <v>14559767</v>
      </c>
      <c r="E59" s="133"/>
      <c r="F59" s="194">
        <f>debt!F37</f>
        <v>14264138.370000001</v>
      </c>
      <c r="G59" s="21"/>
      <c r="H59" s="21"/>
    </row>
    <row r="60" spans="1:8" ht="18" customHeight="1">
      <c r="A60" s="25" t="s">
        <v>535</v>
      </c>
      <c r="B60" s="193">
        <f>inputPrYr!D112</f>
        <v>2066894</v>
      </c>
      <c r="C60" s="133"/>
      <c r="D60" s="193">
        <f>inputPrYr!E112</f>
        <v>2028561</v>
      </c>
      <c r="E60" s="133"/>
      <c r="F60" s="194">
        <f>lpform!F28</f>
        <v>1803241.99</v>
      </c>
      <c r="G60" s="21"/>
      <c r="H60" s="21"/>
    </row>
    <row r="61" spans="1:8" ht="19.5" customHeight="1" thickBot="1">
      <c r="A61" s="25" t="s">
        <v>427</v>
      </c>
      <c r="B61" s="195">
        <f>SUM(B57:B60)</f>
        <v>27714730</v>
      </c>
      <c r="C61" s="133"/>
      <c r="D61" s="195">
        <f>SUM(D57:D60)</f>
        <v>26803328</v>
      </c>
      <c r="E61" s="133"/>
      <c r="F61" s="195">
        <f>SUM(F57:F60)</f>
        <v>25377380.36</v>
      </c>
      <c r="G61" s="21"/>
      <c r="H61" s="21"/>
    </row>
    <row r="62" spans="1:8" ht="18.75" customHeight="1" thickTop="1">
      <c r="A62" s="25" t="s">
        <v>428</v>
      </c>
      <c r="B62" s="21"/>
      <c r="C62" s="21"/>
      <c r="D62" s="21"/>
      <c r="E62" s="21"/>
      <c r="F62" s="21"/>
      <c r="G62" s="21"/>
      <c r="H62" s="21"/>
    </row>
    <row r="63" spans="1:8" ht="15.75">
      <c r="A63" s="21"/>
      <c r="B63" s="21"/>
      <c r="C63" s="21"/>
      <c r="D63" s="21"/>
      <c r="E63" s="21"/>
      <c r="F63" s="21"/>
      <c r="G63" s="21"/>
      <c r="H63" s="21"/>
    </row>
    <row r="64" spans="1:8" ht="15.75">
      <c r="A64" s="31"/>
      <c r="B64" s="31"/>
      <c r="C64" s="20"/>
      <c r="D64" s="21"/>
      <c r="E64" s="21"/>
      <c r="F64" s="21"/>
      <c r="G64" s="21"/>
      <c r="H64" s="21"/>
    </row>
    <row r="65" spans="1:8" ht="15.75">
      <c r="A65" s="24" t="s">
        <v>585</v>
      </c>
      <c r="B65" s="471" t="s">
        <v>162</v>
      </c>
      <c r="C65" s="472"/>
      <c r="D65" s="21"/>
      <c r="E65" s="21"/>
      <c r="F65" s="21"/>
      <c r="G65" s="21"/>
      <c r="H65" s="21"/>
    </row>
    <row r="66" spans="1:8" ht="15.75">
      <c r="A66" s="21"/>
      <c r="B66" s="21"/>
      <c r="C66" s="21"/>
      <c r="D66" s="21"/>
      <c r="E66" s="21"/>
      <c r="F66" s="21"/>
      <c r="G66" s="21"/>
      <c r="H66" s="21"/>
    </row>
    <row r="67" spans="1:8" ht="15.75">
      <c r="A67" s="21"/>
      <c r="B67" s="21"/>
      <c r="C67" s="23" t="s">
        <v>399</v>
      </c>
      <c r="D67" s="100">
        <v>27</v>
      </c>
      <c r="E67" s="21"/>
      <c r="F67" s="21"/>
      <c r="G67" s="21"/>
      <c r="H67" s="21"/>
    </row>
  </sheetData>
  <sheetProtection/>
  <mergeCells count="8">
    <mergeCell ref="B65:C65"/>
    <mergeCell ref="A1:H1"/>
    <mergeCell ref="A4:H4"/>
    <mergeCell ref="A5:H5"/>
    <mergeCell ref="A6:H6"/>
    <mergeCell ref="A8:H8"/>
    <mergeCell ref="A9:H9"/>
    <mergeCell ref="A3:H3"/>
  </mergeCells>
  <printOptions/>
  <pageMargins left="0.5" right="0.5" top="1" bottom="0.5" header="0.5" footer="0.5"/>
  <pageSetup blackAndWhite="1" fitToHeight="1" fitToWidth="1" horizontalDpi="600" verticalDpi="600" orientation="portrait" scale="63" r:id="rId1"/>
  <headerFooter alignWithMargins="0">
    <oddHeader>&amp;RState of Kansas
Coffeyville</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75"/>
  <sheetViews>
    <sheetView view="pageBreakPreview" zoomScaleSheetLayoutView="100" zoomScalePageLayoutView="0" workbookViewId="0" topLeftCell="A1">
      <selection activeCell="D25" sqref="D25"/>
    </sheetView>
  </sheetViews>
  <sheetFormatPr defaultColWidth="8.796875" defaultRowHeight="15"/>
  <cols>
    <col min="1" max="1" width="10.09765625" style="0" customWidth="1"/>
    <col min="2" max="2" width="16.296875" style="0" customWidth="1"/>
    <col min="3" max="3" width="11.796875" style="0" customWidth="1"/>
    <col min="4" max="4" width="12.796875" style="0" customWidth="1"/>
    <col min="5" max="5" width="11.796875" style="0" customWidth="1"/>
  </cols>
  <sheetData>
    <row r="1" spans="1:6" ht="15.75">
      <c r="A1" s="72" t="str">
        <f>inputPrYr!D2</f>
        <v>City of Coffeyville</v>
      </c>
      <c r="B1" s="21"/>
      <c r="C1" s="21"/>
      <c r="D1" s="21"/>
      <c r="E1" s="21"/>
      <c r="F1" s="21">
        <f>inputPrYr!C5</f>
        <v>2012</v>
      </c>
    </row>
    <row r="2" spans="1:6" ht="15.75">
      <c r="A2" s="21"/>
      <c r="B2" s="21"/>
      <c r="C2" s="21"/>
      <c r="D2" s="21"/>
      <c r="E2" s="21"/>
      <c r="F2" s="21"/>
    </row>
    <row r="3" spans="1:6" ht="15.75">
      <c r="A3" s="21"/>
      <c r="B3" s="457" t="str">
        <f>CONCATENATE("",F1," Neighborhood Revitalization Rebate")</f>
        <v>2012 Neighborhood Revitalization Rebate</v>
      </c>
      <c r="C3" s="475"/>
      <c r="D3" s="475"/>
      <c r="E3" s="475"/>
      <c r="F3" s="21"/>
    </row>
    <row r="4" spans="1:6" ht="15.75">
      <c r="A4" s="21"/>
      <c r="B4" s="21"/>
      <c r="C4" s="21"/>
      <c r="D4" s="21"/>
      <c r="E4" s="21"/>
      <c r="F4" s="21"/>
    </row>
    <row r="5" spans="1:6" ht="51" customHeight="1">
      <c r="A5" s="21"/>
      <c r="B5" s="363" t="str">
        <f>CONCATENATE("Budgeted Funds for ",F1-1,"")</f>
        <v>Budgeted Funds for 2011</v>
      </c>
      <c r="C5" s="340" t="str">
        <f>CONCATENATE("",F1-1," Ad Valorem before Rebate")</f>
        <v>2011 Ad Valorem before Rebate</v>
      </c>
      <c r="D5" s="341" t="str">
        <f>CONCATENATE("",F1-1," Mil Rate before Rebate")</f>
        <v>2011 Mil Rate before Rebate</v>
      </c>
      <c r="E5" s="342" t="str">
        <f>CONCATENATE("Estimate ",F1," NR Rebate")</f>
        <v>Estimate 2012 NR Rebate</v>
      </c>
      <c r="F5" s="136"/>
    </row>
    <row r="6" spans="1:6" ht="15.75">
      <c r="A6" s="21"/>
      <c r="B6" s="44" t="str">
        <f>inputPrYr!B16</f>
        <v>General</v>
      </c>
      <c r="C6" s="358"/>
      <c r="D6" s="343">
        <f>IF(C6&gt;0,C6/$D$23,"")</f>
      </c>
      <c r="E6" s="210">
        <f>IF(C6&gt;0,D6*$D$27,"")</f>
      </c>
      <c r="F6" s="136"/>
    </row>
    <row r="7" spans="1:6" ht="15.75">
      <c r="A7" s="21"/>
      <c r="B7" s="44" t="str">
        <f>inputPrYr!B17</f>
        <v>Bond &amp; Interest</v>
      </c>
      <c r="C7" s="358"/>
      <c r="D7" s="343">
        <f aca="true" t="shared" si="0" ref="D7:D17">IF(C7&gt;0,C7/$D$23,"")</f>
      </c>
      <c r="E7" s="210">
        <f aca="true" t="shared" si="1" ref="E7:E17">IF(C7&gt;0,D7*$D$27,"")</f>
      </c>
      <c r="F7" s="136"/>
    </row>
    <row r="8" spans="1:6" ht="15.75">
      <c r="A8" s="21"/>
      <c r="B8" s="40" t="str">
        <f>inputPrYr!B19</f>
        <v>Library</v>
      </c>
      <c r="C8" s="358"/>
      <c r="D8" s="343">
        <f t="shared" si="0"/>
      </c>
      <c r="E8" s="210">
        <f t="shared" si="1"/>
      </c>
      <c r="F8" s="136"/>
    </row>
    <row r="9" spans="1:6" ht="15.75">
      <c r="A9" s="21"/>
      <c r="B9" s="40" t="str">
        <f>inputPrYr!B20</f>
        <v>Employee Benefits</v>
      </c>
      <c r="C9" s="358"/>
      <c r="D9" s="343">
        <f t="shared" si="0"/>
      </c>
      <c r="E9" s="210">
        <f t="shared" si="1"/>
      </c>
      <c r="F9" s="136"/>
    </row>
    <row r="10" spans="1:6" ht="15.75">
      <c r="A10" s="21"/>
      <c r="B10" s="40">
        <f>inputPrYr!B21</f>
        <v>0</v>
      </c>
      <c r="C10" s="358"/>
      <c r="D10" s="343">
        <f t="shared" si="0"/>
      </c>
      <c r="E10" s="210">
        <f t="shared" si="1"/>
      </c>
      <c r="F10" s="136"/>
    </row>
    <row r="11" spans="1:6" ht="15.75">
      <c r="A11" s="21"/>
      <c r="B11" s="40">
        <f>inputPrYr!B22</f>
        <v>0</v>
      </c>
      <c r="C11" s="358"/>
      <c r="D11" s="343">
        <f t="shared" si="0"/>
      </c>
      <c r="E11" s="210">
        <f t="shared" si="1"/>
      </c>
      <c r="F11" s="136"/>
    </row>
    <row r="12" spans="1:6" ht="15.75">
      <c r="A12" s="21"/>
      <c r="B12" s="40">
        <f>inputPrYr!B23</f>
        <v>0</v>
      </c>
      <c r="C12" s="359"/>
      <c r="D12" s="343">
        <f t="shared" si="0"/>
      </c>
      <c r="E12" s="210">
        <f t="shared" si="1"/>
      </c>
      <c r="F12" s="136"/>
    </row>
    <row r="13" spans="1:6" ht="15.75">
      <c r="A13" s="21"/>
      <c r="B13" s="40">
        <f>inputPrYr!B24</f>
        <v>0</v>
      </c>
      <c r="C13" s="359"/>
      <c r="D13" s="343">
        <f t="shared" si="0"/>
      </c>
      <c r="E13" s="210">
        <f t="shared" si="1"/>
      </c>
      <c r="F13" s="136"/>
    </row>
    <row r="14" spans="1:6" ht="15.75">
      <c r="A14" s="21"/>
      <c r="B14" s="40">
        <f>inputPrYr!B25</f>
        <v>0</v>
      </c>
      <c r="C14" s="359"/>
      <c r="D14" s="343">
        <f t="shared" si="0"/>
      </c>
      <c r="E14" s="210">
        <f t="shared" si="1"/>
      </c>
      <c r="F14" s="136"/>
    </row>
    <row r="15" spans="1:6" ht="15.75">
      <c r="A15" s="21"/>
      <c r="B15" s="40">
        <f>inputPrYr!B26</f>
        <v>0</v>
      </c>
      <c r="C15" s="359"/>
      <c r="D15" s="343">
        <f t="shared" si="0"/>
      </c>
      <c r="E15" s="210">
        <f t="shared" si="1"/>
      </c>
      <c r="F15" s="136"/>
    </row>
    <row r="16" spans="1:6" ht="15.75">
      <c r="A16" s="21"/>
      <c r="B16" s="40">
        <f>inputPrYr!B27</f>
        <v>0</v>
      </c>
      <c r="C16" s="359"/>
      <c r="D16" s="343">
        <f t="shared" si="0"/>
      </c>
      <c r="E16" s="210">
        <f t="shared" si="1"/>
      </c>
      <c r="F16" s="136"/>
    </row>
    <row r="17" spans="1:6" ht="15.75">
      <c r="A17" s="21"/>
      <c r="B17" s="40">
        <f>inputPrYr!B28</f>
        <v>0</v>
      </c>
      <c r="C17" s="359"/>
      <c r="D17" s="343">
        <f t="shared" si="0"/>
      </c>
      <c r="E17" s="210">
        <f t="shared" si="1"/>
      </c>
      <c r="F17" s="136"/>
    </row>
    <row r="18" spans="1:6" ht="16.5" thickBot="1">
      <c r="A18" s="21"/>
      <c r="B18" s="42" t="s">
        <v>386</v>
      </c>
      <c r="C18" s="344">
        <f>SUM(C6:C17)</f>
        <v>0</v>
      </c>
      <c r="D18" s="345">
        <f>SUM(D6:D17)</f>
        <v>0</v>
      </c>
      <c r="E18" s="344">
        <f>SUM(E6:E17)</f>
        <v>0</v>
      </c>
      <c r="F18" s="136"/>
    </row>
    <row r="19" spans="1:6" ht="16.5" thickTop="1">
      <c r="A19" s="21"/>
      <c r="B19" s="21"/>
      <c r="C19" s="21"/>
      <c r="D19" s="21"/>
      <c r="E19" s="21"/>
      <c r="F19" s="136"/>
    </row>
    <row r="20" spans="1:6" ht="15.75">
      <c r="A20" s="21"/>
      <c r="B20" s="21"/>
      <c r="C20" s="21"/>
      <c r="D20" s="21"/>
      <c r="E20" s="21"/>
      <c r="F20" s="136"/>
    </row>
    <row r="21" spans="1:6" ht="15.75">
      <c r="A21" s="476" t="str">
        <f>CONCATENATE("",F1-1," Net Valuation (July 1 less NR Valuation)")</f>
        <v>2011 Net Valuation (July 1 less NR Valuation)</v>
      </c>
      <c r="B21" s="466"/>
      <c r="C21" s="476"/>
      <c r="D21" s="193">
        <f>inputOth!E6-inputOth!E16</f>
        <v>106134873</v>
      </c>
      <c r="E21" s="21"/>
      <c r="F21" s="136"/>
    </row>
    <row r="22" spans="1:6" ht="15.75">
      <c r="A22" s="21"/>
      <c r="B22" s="21"/>
      <c r="C22" s="21"/>
      <c r="D22" s="21"/>
      <c r="E22" s="21"/>
      <c r="F22" s="136"/>
    </row>
    <row r="23" spans="1:6" ht="15.75">
      <c r="A23" s="21"/>
      <c r="B23" s="476" t="s">
        <v>699</v>
      </c>
      <c r="C23" s="476"/>
      <c r="D23" s="346">
        <f>IF(D21&gt;0,(D21*0.001),"")</f>
        <v>106134.873</v>
      </c>
      <c r="E23" s="21"/>
      <c r="F23" s="136"/>
    </row>
    <row r="24" spans="1:6" ht="15.75">
      <c r="A24" s="21"/>
      <c r="B24" s="23"/>
      <c r="C24" s="23"/>
      <c r="D24" s="347"/>
      <c r="E24" s="21"/>
      <c r="F24" s="136"/>
    </row>
    <row r="25" spans="1:6" ht="15.75">
      <c r="A25" s="474" t="s">
        <v>700</v>
      </c>
      <c r="B25" s="477"/>
      <c r="C25" s="477"/>
      <c r="D25" s="348">
        <f>inputOth!E16</f>
        <v>0</v>
      </c>
      <c r="E25" s="168"/>
      <c r="F25" s="168"/>
    </row>
    <row r="26" spans="1:6" ht="15">
      <c r="A26" s="168"/>
      <c r="B26" s="168"/>
      <c r="C26" s="168"/>
      <c r="D26" s="349"/>
      <c r="E26" s="168"/>
      <c r="F26" s="168"/>
    </row>
    <row r="27" spans="1:6" ht="15.75">
      <c r="A27" s="168"/>
      <c r="B27" s="474" t="s">
        <v>701</v>
      </c>
      <c r="C27" s="466"/>
      <c r="D27" s="357">
        <f>IF(D25&gt;0,(D25*0.001),"")</f>
      </c>
      <c r="E27" s="168"/>
      <c r="F27" s="168"/>
    </row>
    <row r="28" spans="1:6" ht="15">
      <c r="A28" s="168"/>
      <c r="B28" s="168"/>
      <c r="C28" s="168"/>
      <c r="D28" s="168"/>
      <c r="E28" s="168"/>
      <c r="F28" s="168"/>
    </row>
    <row r="29" spans="1:6" ht="15">
      <c r="A29" s="168"/>
      <c r="B29" s="168"/>
      <c r="C29" s="168"/>
      <c r="D29" s="168"/>
      <c r="E29" s="168"/>
      <c r="F29" s="168"/>
    </row>
    <row r="30" spans="1:6" ht="15">
      <c r="A30" s="168"/>
      <c r="B30" s="168"/>
      <c r="C30" s="168"/>
      <c r="D30" s="168"/>
      <c r="E30" s="168"/>
      <c r="F30" s="168"/>
    </row>
    <row r="31" spans="1:6" ht="15">
      <c r="A31" s="168"/>
      <c r="B31" s="168"/>
      <c r="C31" s="168"/>
      <c r="D31" s="168"/>
      <c r="E31" s="168"/>
      <c r="F31" s="168"/>
    </row>
    <row r="32" spans="1:6" ht="15">
      <c r="A32" s="168"/>
      <c r="B32" s="168"/>
      <c r="C32" s="168"/>
      <c r="D32" s="168"/>
      <c r="E32" s="168"/>
      <c r="F32" s="168"/>
    </row>
    <row r="33" spans="1:6" ht="15">
      <c r="A33" s="168"/>
      <c r="B33" s="168"/>
      <c r="C33" s="168"/>
      <c r="D33" s="168"/>
      <c r="E33" s="168"/>
      <c r="F33" s="168"/>
    </row>
    <row r="34" spans="1:6" ht="15">
      <c r="A34" s="168"/>
      <c r="B34" s="168"/>
      <c r="C34" s="168"/>
      <c r="D34" s="168"/>
      <c r="E34" s="168"/>
      <c r="F34" s="168"/>
    </row>
    <row r="35" spans="1:6" ht="15">
      <c r="A35" s="168"/>
      <c r="B35" s="168"/>
      <c r="C35" s="168"/>
      <c r="D35" s="168"/>
      <c r="E35" s="168"/>
      <c r="F35" s="168"/>
    </row>
    <row r="36" spans="1:6" ht="15">
      <c r="A36" s="168"/>
      <c r="B36" s="168"/>
      <c r="C36" s="168"/>
      <c r="D36" s="168"/>
      <c r="E36" s="168"/>
      <c r="F36" s="168"/>
    </row>
    <row r="37" spans="1:6" ht="15">
      <c r="A37" s="168"/>
      <c r="B37" s="168"/>
      <c r="C37" s="168"/>
      <c r="D37" s="168"/>
      <c r="E37" s="168"/>
      <c r="F37" s="168"/>
    </row>
    <row r="38" spans="1:6" ht="15">
      <c r="A38" s="168"/>
      <c r="B38" s="168"/>
      <c r="C38" s="168"/>
      <c r="D38" s="168"/>
      <c r="E38" s="168"/>
      <c r="F38" s="168"/>
    </row>
    <row r="39" spans="1:6" ht="15">
      <c r="A39" s="168"/>
      <c r="B39" s="168"/>
      <c r="C39" s="168"/>
      <c r="D39" s="168"/>
      <c r="E39" s="168"/>
      <c r="F39" s="168"/>
    </row>
    <row r="40" spans="1:6" ht="15">
      <c r="A40" s="168"/>
      <c r="B40" s="168"/>
      <c r="C40" s="168"/>
      <c r="D40" s="168"/>
      <c r="E40" s="168"/>
      <c r="F40" s="168"/>
    </row>
    <row r="41" spans="1:6" ht="15">
      <c r="A41" s="168"/>
      <c r="B41" s="168"/>
      <c r="C41" s="168"/>
      <c r="D41" s="168"/>
      <c r="E41" s="168"/>
      <c r="F41" s="168"/>
    </row>
    <row r="42" spans="1:6" ht="15">
      <c r="A42" s="168"/>
      <c r="B42" s="168"/>
      <c r="C42" s="168"/>
      <c r="D42" s="168"/>
      <c r="E42" s="168"/>
      <c r="F42" s="168"/>
    </row>
    <row r="43" spans="1:6" ht="15">
      <c r="A43" s="168"/>
      <c r="B43" s="168"/>
      <c r="C43" s="168"/>
      <c r="D43" s="168"/>
      <c r="E43" s="168"/>
      <c r="F43" s="168"/>
    </row>
    <row r="44" spans="1:6" ht="15">
      <c r="A44" s="168"/>
      <c r="B44" s="168"/>
      <c r="C44" s="168"/>
      <c r="D44" s="168"/>
      <c r="E44" s="168"/>
      <c r="F44" s="168"/>
    </row>
    <row r="45" spans="1:6" ht="15">
      <c r="A45" s="168"/>
      <c r="B45" s="168"/>
      <c r="C45" s="168"/>
      <c r="D45" s="168"/>
      <c r="E45" s="168"/>
      <c r="F45" s="168"/>
    </row>
    <row r="46" spans="1:6" ht="15">
      <c r="A46" s="168"/>
      <c r="B46" s="168"/>
      <c r="C46" s="168"/>
      <c r="D46" s="168"/>
      <c r="E46" s="168"/>
      <c r="F46" s="168"/>
    </row>
    <row r="47" spans="1:6" ht="15">
      <c r="A47" s="168"/>
      <c r="B47" s="168"/>
      <c r="C47" s="168"/>
      <c r="D47" s="168"/>
      <c r="E47" s="168"/>
      <c r="F47" s="168"/>
    </row>
    <row r="48" spans="1:6" ht="15">
      <c r="A48" s="168"/>
      <c r="B48" s="168"/>
      <c r="C48" s="168"/>
      <c r="D48" s="168"/>
      <c r="E48" s="168"/>
      <c r="F48" s="168"/>
    </row>
    <row r="49" spans="1:6" ht="15">
      <c r="A49" s="168"/>
      <c r="B49" s="168"/>
      <c r="C49" s="168"/>
      <c r="D49" s="168"/>
      <c r="E49" s="168"/>
      <c r="F49" s="168"/>
    </row>
    <row r="50" spans="1:6" ht="15">
      <c r="A50" s="168"/>
      <c r="B50" s="168"/>
      <c r="C50" s="168"/>
      <c r="D50" s="168"/>
      <c r="E50" s="168"/>
      <c r="F50" s="168"/>
    </row>
    <row r="51" spans="1:6" ht="15">
      <c r="A51" s="168"/>
      <c r="B51" s="168"/>
      <c r="C51" s="168"/>
      <c r="D51" s="168"/>
      <c r="E51" s="168"/>
      <c r="F51" s="168"/>
    </row>
    <row r="52" spans="1:6" ht="15">
      <c r="A52" s="168"/>
      <c r="B52" s="168"/>
      <c r="C52" s="168"/>
      <c r="D52" s="168"/>
      <c r="E52" s="168"/>
      <c r="F52" s="168"/>
    </row>
    <row r="53" spans="1:6" ht="15">
      <c r="A53" s="168"/>
      <c r="B53" s="168"/>
      <c r="C53" s="168"/>
      <c r="D53" s="168"/>
      <c r="E53" s="168"/>
      <c r="F53" s="168"/>
    </row>
    <row r="54" spans="1:6" ht="15">
      <c r="A54" s="168"/>
      <c r="B54" s="168"/>
      <c r="C54" s="168"/>
      <c r="D54" s="168"/>
      <c r="E54" s="168"/>
      <c r="F54" s="168"/>
    </row>
    <row r="55" spans="1:6" ht="15">
      <c r="A55" s="168"/>
      <c r="B55" s="168"/>
      <c r="C55" s="168"/>
      <c r="D55" s="168"/>
      <c r="E55" s="168"/>
      <c r="F55" s="168"/>
    </row>
    <row r="56" spans="1:6" ht="15">
      <c r="A56" s="168"/>
      <c r="B56" s="168"/>
      <c r="C56" s="168"/>
      <c r="D56" s="168"/>
      <c r="E56" s="168"/>
      <c r="F56" s="168"/>
    </row>
    <row r="57" spans="1:6" ht="15">
      <c r="A57" s="168"/>
      <c r="B57" s="168"/>
      <c r="C57" s="168"/>
      <c r="D57" s="168"/>
      <c r="E57" s="168"/>
      <c r="F57" s="168"/>
    </row>
    <row r="58" spans="1:6" ht="15">
      <c r="A58" s="168"/>
      <c r="B58" s="168"/>
      <c r="C58" s="168"/>
      <c r="D58" s="168"/>
      <c r="E58" s="168"/>
      <c r="F58" s="168"/>
    </row>
    <row r="59" spans="1:6" ht="15">
      <c r="A59" s="168"/>
      <c r="B59" s="168"/>
      <c r="C59" s="168"/>
      <c r="D59" s="168"/>
      <c r="E59" s="168"/>
      <c r="F59" s="168"/>
    </row>
    <row r="60" spans="1:6" ht="15">
      <c r="A60" s="168"/>
      <c r="B60" s="168"/>
      <c r="C60" s="168"/>
      <c r="D60" s="168"/>
      <c r="E60" s="168"/>
      <c r="F60" s="168"/>
    </row>
    <row r="61" spans="1:6" ht="15">
      <c r="A61" s="168"/>
      <c r="B61" s="168"/>
      <c r="C61" s="168"/>
      <c r="D61" s="168"/>
      <c r="E61" s="168"/>
      <c r="F61" s="168"/>
    </row>
    <row r="62" spans="1:6" ht="15">
      <c r="A62" s="168"/>
      <c r="B62" s="168"/>
      <c r="C62" s="168"/>
      <c r="D62" s="168"/>
      <c r="E62" s="168"/>
      <c r="F62" s="168"/>
    </row>
    <row r="63" spans="1:6" ht="15">
      <c r="A63" s="168"/>
      <c r="B63" s="168"/>
      <c r="C63" s="168"/>
      <c r="D63" s="168"/>
      <c r="E63" s="168"/>
      <c r="F63" s="168"/>
    </row>
    <row r="64" spans="1:6" ht="15">
      <c r="A64" s="168"/>
      <c r="B64" s="168"/>
      <c r="C64" s="168"/>
      <c r="D64" s="168"/>
      <c r="E64" s="168"/>
      <c r="F64" s="168"/>
    </row>
    <row r="65" spans="1:6" ht="15">
      <c r="A65" s="168"/>
      <c r="B65" s="168"/>
      <c r="C65" s="168"/>
      <c r="D65" s="168"/>
      <c r="E65" s="168"/>
      <c r="F65" s="168"/>
    </row>
    <row r="66" spans="1:6" ht="15">
      <c r="A66" s="168"/>
      <c r="B66" s="168"/>
      <c r="C66" s="168"/>
      <c r="D66" s="168"/>
      <c r="E66" s="168"/>
      <c r="F66" s="168"/>
    </row>
    <row r="67" spans="1:6" ht="15">
      <c r="A67" s="168"/>
      <c r="B67" s="168"/>
      <c r="C67" s="168"/>
      <c r="D67" s="168"/>
      <c r="E67" s="168"/>
      <c r="F67" s="168"/>
    </row>
    <row r="68" spans="1:6" ht="15">
      <c r="A68" s="168"/>
      <c r="B68" s="168"/>
      <c r="C68" s="168"/>
      <c r="D68" s="168"/>
      <c r="E68" s="168"/>
      <c r="F68" s="168"/>
    </row>
    <row r="69" spans="1:6" ht="15">
      <c r="A69" s="168"/>
      <c r="B69" s="168"/>
      <c r="C69" s="168"/>
      <c r="D69" s="168"/>
      <c r="E69" s="168"/>
      <c r="F69" s="168"/>
    </row>
    <row r="70" spans="1:6" ht="15">
      <c r="A70" s="168"/>
      <c r="B70" s="168"/>
      <c r="C70" s="168"/>
      <c r="D70" s="168"/>
      <c r="E70" s="168"/>
      <c r="F70" s="168"/>
    </row>
    <row r="71" spans="1:6" ht="15">
      <c r="A71" s="168"/>
      <c r="B71" s="168"/>
      <c r="C71" s="168"/>
      <c r="D71" s="168"/>
      <c r="E71" s="168"/>
      <c r="F71" s="168"/>
    </row>
    <row r="72" spans="1:6" ht="15">
      <c r="A72" s="168"/>
      <c r="B72" s="168"/>
      <c r="C72" s="168"/>
      <c r="D72" s="168"/>
      <c r="E72" s="168"/>
      <c r="F72" s="168"/>
    </row>
    <row r="73" spans="1:6" ht="15">
      <c r="A73" s="168"/>
      <c r="B73" s="168"/>
      <c r="C73" s="168"/>
      <c r="D73" s="168"/>
      <c r="E73" s="168"/>
      <c r="F73" s="168"/>
    </row>
    <row r="74" spans="1:6" ht="15.75">
      <c r="A74" s="168"/>
      <c r="B74" s="63" t="s">
        <v>408</v>
      </c>
      <c r="C74" s="100">
        <v>28</v>
      </c>
      <c r="D74" s="168"/>
      <c r="E74" s="168"/>
      <c r="F74" s="168"/>
    </row>
    <row r="75" spans="1:6" ht="15.75">
      <c r="A75" s="136"/>
      <c r="B75" s="21"/>
      <c r="C75" s="21"/>
      <c r="D75" s="350"/>
      <c r="E75" s="136"/>
      <c r="F75" s="136"/>
    </row>
  </sheetData>
  <sheetProtection/>
  <mergeCells count="5">
    <mergeCell ref="B27:C27"/>
    <mergeCell ref="B3:E3"/>
    <mergeCell ref="A21:C21"/>
    <mergeCell ref="B23:C23"/>
    <mergeCell ref="A25:C25"/>
  </mergeCells>
  <printOptions/>
  <pageMargins left="0.5" right="0.5" top="1" bottom="0.5" header="0.5" footer="0.5"/>
  <pageSetup blackAndWhite="1" fitToHeight="1" fitToWidth="1" horizontalDpi="600" verticalDpi="600" orientation="portrait" scale="59" r:id="rId1"/>
  <headerFooter alignWithMargins="0">
    <oddHeader>&amp;RState of  Kansas
Coffeyville</oddHeader>
    <oddFooter>&amp;Lrevised 8/06/07</oddFooter>
  </headerFooter>
</worksheet>
</file>

<file path=xl/worksheets/sheet39.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1">
      <selection activeCell="A1" sqref="A1:H1"/>
    </sheetView>
  </sheetViews>
  <sheetFormatPr defaultColWidth="8.796875" defaultRowHeight="15"/>
  <cols>
    <col min="1" max="16384" width="8.8984375" style="2" customWidth="1"/>
  </cols>
  <sheetData>
    <row r="1" spans="1:7" ht="16.5" customHeight="1">
      <c r="A1" s="478" t="s">
        <v>538</v>
      </c>
      <c r="B1" s="478"/>
      <c r="C1" s="478"/>
      <c r="D1" s="478"/>
      <c r="E1" s="478"/>
      <c r="F1" s="478"/>
      <c r="G1" s="478"/>
    </row>
    <row r="2" spans="1:7" ht="16.5" customHeight="1">
      <c r="A2" s="478"/>
      <c r="B2" s="478"/>
      <c r="C2" s="478"/>
      <c r="D2" s="478"/>
      <c r="E2" s="478"/>
      <c r="F2" s="478"/>
      <c r="G2" s="478"/>
    </row>
    <row r="3" spans="1:7" ht="16.5" customHeight="1">
      <c r="A3" s="479"/>
      <c r="B3" s="479"/>
      <c r="C3" s="479"/>
      <c r="D3" s="479"/>
      <c r="E3" s="479"/>
      <c r="F3" s="479"/>
      <c r="G3" s="479"/>
    </row>
    <row r="4" spans="1:7" ht="16.5" customHeight="1">
      <c r="A4" s="480" t="str">
        <f>CONCATENATE("AN ORDINANCE ATTESTING TO AN INCREASE IN TAX REVENUES FOR BUDGET YEAR ",inputPrYr!C5," FOR THE ",(inputPrYr!$D$2))</f>
        <v>AN ORDINANCE ATTESTING TO AN INCREASE IN TAX REVENUES FOR BUDGET YEAR 2012 FOR THE City of Coffeyville</v>
      </c>
      <c r="B4" s="480"/>
      <c r="C4" s="480"/>
      <c r="D4" s="480"/>
      <c r="E4" s="480"/>
      <c r="F4" s="480"/>
      <c r="G4" s="480"/>
    </row>
    <row r="5" spans="1:7" ht="16.5" customHeight="1">
      <c r="A5" s="480"/>
      <c r="B5" s="480"/>
      <c r="C5" s="480"/>
      <c r="D5" s="480"/>
      <c r="E5" s="480"/>
      <c r="F5" s="480"/>
      <c r="G5" s="480"/>
    </row>
    <row r="6" spans="1:7" ht="16.5" customHeight="1">
      <c r="A6" s="478"/>
      <c r="B6" s="478"/>
      <c r="C6" s="478"/>
      <c r="D6" s="478"/>
      <c r="E6" s="478"/>
      <c r="F6" s="478"/>
      <c r="G6" s="478"/>
    </row>
    <row r="7" spans="1:14" ht="16.5" customHeight="1">
      <c r="A7" s="480" t="str">
        <f>CONCATENATE("WHEREAS, the ",(inputPrYr!$D$2)," must continue to provide services to protect the health, safety, and welfare of the citizens of this community; and")</f>
        <v>WHEREAS, the City of Coffeyville must continue to provide services to protect the health, safety, and welfare of the citizens of this community; and</v>
      </c>
      <c r="B7" s="480"/>
      <c r="C7" s="480"/>
      <c r="D7" s="480"/>
      <c r="E7" s="480"/>
      <c r="F7" s="480"/>
      <c r="G7" s="480"/>
      <c r="H7" s="230"/>
      <c r="I7" s="230"/>
      <c r="J7" s="230"/>
      <c r="K7" s="230"/>
      <c r="L7" s="230"/>
      <c r="M7" s="230"/>
      <c r="N7" s="230"/>
    </row>
    <row r="8" spans="1:14" ht="16.5" customHeight="1">
      <c r="A8" s="480"/>
      <c r="B8" s="480"/>
      <c r="C8" s="480"/>
      <c r="D8" s="480"/>
      <c r="E8" s="480"/>
      <c r="F8" s="480"/>
      <c r="G8" s="480"/>
      <c r="H8" s="230"/>
      <c r="I8" s="230"/>
      <c r="J8" s="230"/>
      <c r="K8" s="230"/>
      <c r="L8" s="230"/>
      <c r="M8" s="230"/>
      <c r="N8" s="230"/>
    </row>
    <row r="9" spans="1:7" ht="16.5" customHeight="1">
      <c r="A9" s="231"/>
      <c r="B9" s="231"/>
      <c r="C9" s="231"/>
      <c r="D9" s="231"/>
      <c r="E9" s="231"/>
      <c r="F9" s="231"/>
      <c r="G9" s="231"/>
    </row>
    <row r="10" spans="1:7" ht="16.5" customHeight="1">
      <c r="A10" s="480" t="s">
        <v>539</v>
      </c>
      <c r="B10" s="480"/>
      <c r="C10" s="480"/>
      <c r="D10" s="480"/>
      <c r="E10" s="480"/>
      <c r="F10" s="480"/>
      <c r="G10" s="480"/>
    </row>
    <row r="11" spans="1:7" ht="16.5" customHeight="1">
      <c r="A11" s="480"/>
      <c r="B11" s="480"/>
      <c r="C11" s="480"/>
      <c r="D11" s="480"/>
      <c r="E11" s="480"/>
      <c r="F11" s="480"/>
      <c r="G11" s="480"/>
    </row>
    <row r="12" spans="1:7" ht="16.5" customHeight="1">
      <c r="A12" s="231"/>
      <c r="B12" s="231"/>
      <c r="C12" s="231"/>
      <c r="D12" s="231"/>
      <c r="E12" s="231"/>
      <c r="F12" s="231"/>
      <c r="G12" s="231"/>
    </row>
    <row r="13" spans="1:14" ht="16.5" customHeight="1">
      <c r="A13" s="480" t="str">
        <f>CONCATENATE("NOW THEREFORE, be it ordained by the Governing Body of the ",(inputPrYr!$D$2),":")</f>
        <v>NOW THEREFORE, be it ordained by the Governing Body of the City of Coffeyville:</v>
      </c>
      <c r="B13" s="480"/>
      <c r="C13" s="480"/>
      <c r="D13" s="480"/>
      <c r="E13" s="480"/>
      <c r="F13" s="480"/>
      <c r="G13" s="480"/>
      <c r="H13" s="230"/>
      <c r="I13" s="230"/>
      <c r="J13" s="230"/>
      <c r="K13" s="230"/>
      <c r="L13" s="230"/>
      <c r="M13" s="230"/>
      <c r="N13" s="230"/>
    </row>
    <row r="14" spans="1:14" ht="16.5" customHeight="1">
      <c r="A14" s="480"/>
      <c r="B14" s="480"/>
      <c r="C14" s="480"/>
      <c r="D14" s="480"/>
      <c r="E14" s="480"/>
      <c r="F14" s="480"/>
      <c r="G14" s="480"/>
      <c r="H14" s="230"/>
      <c r="I14" s="230"/>
      <c r="J14" s="230"/>
      <c r="K14" s="230"/>
      <c r="L14" s="230"/>
      <c r="M14" s="230"/>
      <c r="N14" s="230"/>
    </row>
    <row r="15" spans="1:14" ht="16.5" customHeight="1">
      <c r="A15" s="48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Coffeyville  has scheduled a public hearing and has prepared the proposed budget necessary to fund city services from January 1, 2012 until December 31, 2012.</v>
      </c>
      <c r="B15" s="480"/>
      <c r="C15" s="480"/>
      <c r="D15" s="480"/>
      <c r="E15" s="480"/>
      <c r="F15" s="480"/>
      <c r="G15" s="480"/>
      <c r="H15" s="230"/>
      <c r="I15" s="230"/>
      <c r="J15" s="230"/>
      <c r="K15" s="230"/>
      <c r="L15" s="230"/>
      <c r="M15" s="230"/>
      <c r="N15" s="230"/>
    </row>
    <row r="16" spans="1:14" ht="16.5" customHeight="1">
      <c r="A16" s="480"/>
      <c r="B16" s="480"/>
      <c r="C16" s="480"/>
      <c r="D16" s="480"/>
      <c r="E16" s="480"/>
      <c r="F16" s="480"/>
      <c r="G16" s="480"/>
      <c r="H16" s="230"/>
      <c r="I16" s="230"/>
      <c r="J16" s="230"/>
      <c r="K16" s="230"/>
      <c r="L16" s="230"/>
      <c r="M16" s="230"/>
      <c r="N16" s="230"/>
    </row>
    <row r="17" spans="1:14" ht="16.5" customHeight="1">
      <c r="A17" s="480"/>
      <c r="B17" s="480"/>
      <c r="C17" s="480"/>
      <c r="D17" s="480"/>
      <c r="E17" s="480"/>
      <c r="F17" s="480"/>
      <c r="G17" s="480"/>
      <c r="H17" s="230"/>
      <c r="I17" s="230"/>
      <c r="J17" s="230"/>
      <c r="K17" s="230"/>
      <c r="L17" s="230"/>
      <c r="M17" s="230"/>
      <c r="N17" s="230"/>
    </row>
    <row r="18" spans="1:7" ht="16.5" customHeight="1">
      <c r="A18" s="230"/>
      <c r="B18" s="230"/>
      <c r="C18" s="230"/>
      <c r="D18" s="230"/>
      <c r="E18" s="230"/>
      <c r="F18" s="230"/>
      <c r="G18" s="230"/>
    </row>
    <row r="19" spans="1:7" ht="16.5" customHeight="1">
      <c r="A19" s="482" t="s">
        <v>616</v>
      </c>
      <c r="B19" s="482"/>
      <c r="C19" s="482"/>
      <c r="D19" s="482"/>
      <c r="E19" s="482"/>
      <c r="F19" s="482"/>
      <c r="G19" s="482"/>
    </row>
    <row r="20" spans="1:7" ht="16.5" customHeight="1">
      <c r="A20" s="482" t="s">
        <v>617</v>
      </c>
      <c r="B20" s="482"/>
      <c r="C20" s="482"/>
      <c r="D20" s="482"/>
      <c r="E20" s="482"/>
      <c r="F20" s="482"/>
      <c r="G20" s="482"/>
    </row>
    <row r="21" spans="1:7" ht="16.5" customHeight="1">
      <c r="A21" s="482" t="str">
        <f>CONCATENATE("necessary to budget property tax revenues in an amount exceeding the levy in the ",inputPrYr!C5-1,"")</f>
        <v>necessary to budget property tax revenues in an amount exceeding the levy in the 2011</v>
      </c>
      <c r="B21" s="482"/>
      <c r="C21" s="482"/>
      <c r="D21" s="482"/>
      <c r="E21" s="482"/>
      <c r="F21" s="482"/>
      <c r="G21" s="482"/>
    </row>
    <row r="22" spans="1:7" ht="16.5" customHeight="1">
      <c r="A22" s="232" t="s">
        <v>618</v>
      </c>
      <c r="B22" s="232"/>
      <c r="C22" s="232"/>
      <c r="D22" s="232"/>
      <c r="E22" s="232"/>
      <c r="F22" s="232"/>
      <c r="G22" s="232"/>
    </row>
    <row r="23" spans="1:7" ht="16.5" customHeight="1">
      <c r="A23" s="230"/>
      <c r="B23" s="230"/>
      <c r="C23" s="230"/>
      <c r="D23" s="230"/>
      <c r="E23" s="230"/>
      <c r="F23" s="230"/>
      <c r="G23" s="230"/>
    </row>
    <row r="24" spans="1:7" ht="16.5" customHeight="1">
      <c r="A24" s="480" t="s">
        <v>540</v>
      </c>
      <c r="B24" s="480"/>
      <c r="C24" s="480"/>
      <c r="D24" s="480"/>
      <c r="E24" s="480"/>
      <c r="F24" s="480"/>
      <c r="G24" s="480"/>
    </row>
    <row r="25" spans="1:7" ht="16.5" customHeight="1">
      <c r="A25" s="480"/>
      <c r="B25" s="480"/>
      <c r="C25" s="480"/>
      <c r="D25" s="480"/>
      <c r="E25" s="480"/>
      <c r="F25" s="480"/>
      <c r="G25" s="480"/>
    </row>
    <row r="26" spans="1:7" ht="16.5" customHeight="1">
      <c r="A26" s="230"/>
      <c r="B26" s="230"/>
      <c r="C26" s="230"/>
      <c r="D26" s="230"/>
      <c r="E26" s="230"/>
      <c r="F26" s="230"/>
      <c r="G26" s="230"/>
    </row>
    <row r="27" spans="1:7" ht="16.5" customHeight="1">
      <c r="A27" s="480" t="str">
        <f>CONCATENATE("Passed and approved by the Governing Body on this ______ day of __________, ",inputPrYr!C5-1,".")</f>
        <v>Passed and approved by the Governing Body on this ______ day of __________, 2011.</v>
      </c>
      <c r="B27" s="480"/>
      <c r="C27" s="480"/>
      <c r="D27" s="480"/>
      <c r="E27" s="480"/>
      <c r="F27" s="480"/>
      <c r="G27" s="480"/>
    </row>
    <row r="28" spans="1:7" ht="16.5" customHeight="1">
      <c r="A28" s="480"/>
      <c r="B28" s="480"/>
      <c r="C28" s="480"/>
      <c r="D28" s="480"/>
      <c r="E28" s="480"/>
      <c r="F28" s="480"/>
      <c r="G28" s="480"/>
    </row>
    <row r="29" ht="16.5" customHeight="1"/>
    <row r="30" spans="1:7" ht="16.5" customHeight="1">
      <c r="A30" s="481" t="s">
        <v>541</v>
      </c>
      <c r="B30" s="481"/>
      <c r="C30" s="481"/>
      <c r="D30" s="481"/>
      <c r="E30" s="481"/>
      <c r="F30" s="481"/>
      <c r="G30" s="481"/>
    </row>
    <row r="31" spans="1:7" ht="16.5" customHeight="1">
      <c r="A31" s="481" t="s">
        <v>546</v>
      </c>
      <c r="B31" s="481"/>
      <c r="C31" s="481"/>
      <c r="D31" s="481"/>
      <c r="E31" s="481"/>
      <c r="F31" s="481"/>
      <c r="G31" s="481"/>
    </row>
    <row r="32" ht="16.5" customHeight="1">
      <c r="A32" s="2" t="s">
        <v>542</v>
      </c>
    </row>
    <row r="33" ht="16.5" customHeight="1">
      <c r="B33" s="2" t="s">
        <v>543</v>
      </c>
    </row>
    <row r="34" ht="16.5" customHeight="1"/>
    <row r="35" ht="16.5" customHeight="1"/>
    <row r="36" ht="16.5" customHeight="1">
      <c r="A36" s="2" t="s">
        <v>544</v>
      </c>
    </row>
    <row r="37" ht="16.5" customHeight="1"/>
    <row r="38" ht="16.5" customHeight="1"/>
    <row r="39" ht="16.5" customHeight="1">
      <c r="A39" s="2" t="s">
        <v>545</v>
      </c>
    </row>
  </sheetData>
  <sheetProtection/>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24" sqref="H24"/>
    </sheetView>
  </sheetViews>
  <sheetFormatPr defaultColWidth="8.796875" defaultRowHeight="15"/>
  <sheetData/>
  <sheetProtection/>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A52"/>
  <sheetViews>
    <sheetView view="pageBreakPreview" zoomScaleSheetLayoutView="100" zoomScalePageLayoutView="0" workbookViewId="0" topLeftCell="A1">
      <selection activeCell="A1" sqref="A1:H1"/>
    </sheetView>
  </sheetViews>
  <sheetFormatPr defaultColWidth="8.796875" defaultRowHeight="15"/>
  <cols>
    <col min="1" max="1" width="80.09765625" style="2" customWidth="1"/>
    <col min="2" max="16384" width="8.8984375" style="2" customWidth="1"/>
  </cols>
  <sheetData>
    <row r="1" ht="15.75">
      <c r="A1" s="368" t="s">
        <v>351</v>
      </c>
    </row>
    <row r="2" ht="15.75">
      <c r="A2" s="2" t="s">
        <v>353</v>
      </c>
    </row>
    <row r="3" ht="15.75">
      <c r="A3" s="2" t="s">
        <v>354</v>
      </c>
    </row>
    <row r="4" ht="15.75">
      <c r="A4" s="2" t="s">
        <v>355</v>
      </c>
    </row>
    <row r="5" ht="15.75">
      <c r="A5" s="2" t="s">
        <v>352</v>
      </c>
    </row>
    <row r="8" ht="15.75">
      <c r="A8" s="368" t="s">
        <v>183</v>
      </c>
    </row>
    <row r="9" ht="15.75">
      <c r="A9" s="2" t="s">
        <v>184</v>
      </c>
    </row>
    <row r="11" ht="15.75">
      <c r="A11" s="368" t="s">
        <v>176</v>
      </c>
    </row>
    <row r="12" ht="15.75">
      <c r="A12" s="2" t="s">
        <v>177</v>
      </c>
    </row>
    <row r="13" ht="15.75">
      <c r="A13" s="2" t="s">
        <v>178</v>
      </c>
    </row>
    <row r="14" ht="31.5">
      <c r="A14" s="5" t="s">
        <v>179</v>
      </c>
    </row>
    <row r="15" ht="15.75">
      <c r="A15" s="2" t="s">
        <v>180</v>
      </c>
    </row>
    <row r="16" ht="15.75">
      <c r="A16" s="2" t="s">
        <v>181</v>
      </c>
    </row>
    <row r="17" ht="15.75">
      <c r="A17" s="2" t="s">
        <v>182</v>
      </c>
    </row>
    <row r="19" ht="18" customHeight="1">
      <c r="A19" s="368" t="s">
        <v>624</v>
      </c>
    </row>
    <row r="20" ht="48.75" customHeight="1">
      <c r="A20" s="5" t="s">
        <v>668</v>
      </c>
    </row>
    <row r="21" ht="15.75">
      <c r="A21" s="2" t="s">
        <v>625</v>
      </c>
    </row>
    <row r="22" ht="15.75">
      <c r="A22" s="2" t="s">
        <v>626</v>
      </c>
    </row>
    <row r="23" ht="15.75">
      <c r="A23" s="2" t="s">
        <v>669</v>
      </c>
    </row>
    <row r="24" ht="15.75">
      <c r="A24" s="2" t="s">
        <v>627</v>
      </c>
    </row>
    <row r="25" ht="15.75">
      <c r="A25" s="2" t="s">
        <v>628</v>
      </c>
    </row>
    <row r="26" ht="15.75">
      <c r="A26" s="2" t="s">
        <v>685</v>
      </c>
    </row>
    <row r="27" ht="15.75">
      <c r="A27" s="2" t="s">
        <v>629</v>
      </c>
    </row>
    <row r="28" ht="15.75">
      <c r="A28" s="2" t="s">
        <v>630</v>
      </c>
    </row>
    <row r="29" ht="31.5">
      <c r="A29" s="5" t="s">
        <v>631</v>
      </c>
    </row>
    <row r="30" ht="31.5">
      <c r="A30" s="5" t="s">
        <v>2</v>
      </c>
    </row>
    <row r="31" ht="15.75">
      <c r="A31" s="2" t="s">
        <v>632</v>
      </c>
    </row>
    <row r="32" ht="15.75">
      <c r="A32" s="2" t="s">
        <v>633</v>
      </c>
    </row>
    <row r="33" ht="15.75">
      <c r="A33" s="2" t="s">
        <v>670</v>
      </c>
    </row>
    <row r="34" ht="15.75">
      <c r="A34" s="2" t="s">
        <v>634</v>
      </c>
    </row>
    <row r="35" ht="15.75">
      <c r="A35" s="2" t="s">
        <v>671</v>
      </c>
    </row>
    <row r="36" ht="31.5">
      <c r="A36" s="5" t="s">
        <v>672</v>
      </c>
    </row>
    <row r="37" ht="15.75">
      <c r="A37" s="2" t="s">
        <v>648</v>
      </c>
    </row>
    <row r="38" ht="15.75">
      <c r="A38" s="2" t="s">
        <v>649</v>
      </c>
    </row>
    <row r="39" ht="31.5">
      <c r="A39" s="5" t="s">
        <v>650</v>
      </c>
    </row>
    <row r="40" ht="15.75">
      <c r="A40" s="2" t="s">
        <v>68</v>
      </c>
    </row>
    <row r="41" ht="15.75">
      <c r="A41" s="2" t="s">
        <v>69</v>
      </c>
    </row>
    <row r="42" ht="15.75">
      <c r="A42" s="2" t="s">
        <v>70</v>
      </c>
    </row>
    <row r="43" ht="15.75">
      <c r="A43" s="2" t="s">
        <v>165</v>
      </c>
    </row>
    <row r="44" ht="15.75">
      <c r="A44" s="2" t="s">
        <v>166</v>
      </c>
    </row>
    <row r="45" ht="15.75">
      <c r="A45" s="2" t="s">
        <v>167</v>
      </c>
    </row>
    <row r="46" ht="15.75">
      <c r="A46" s="2" t="s">
        <v>168</v>
      </c>
    </row>
    <row r="47" ht="15.75">
      <c r="A47" s="2" t="s">
        <v>169</v>
      </c>
    </row>
    <row r="48" ht="15.75">
      <c r="A48" s="2" t="s">
        <v>170</v>
      </c>
    </row>
    <row r="49" ht="15.75">
      <c r="A49" s="2" t="s">
        <v>172</v>
      </c>
    </row>
    <row r="50" ht="15.75">
      <c r="A50" s="2" t="s">
        <v>173</v>
      </c>
    </row>
    <row r="51" ht="15.75">
      <c r="A51" s="2" t="s">
        <v>175</v>
      </c>
    </row>
    <row r="52" ht="15.75">
      <c r="A52" s="2" t="s">
        <v>171</v>
      </c>
    </row>
  </sheetData>
  <sheetProtection sheet="1" objects="1" scenarios="1"/>
  <printOptions/>
  <pageMargins left="0.75" right="0.75" top="1" bottom="1" header="0.5" footer="0.5"/>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view="pageBreakPreview" zoomScaleSheetLayoutView="100" zoomScalePageLayoutView="0" workbookViewId="0" topLeftCell="A1">
      <selection activeCell="F5" sqref="F5"/>
    </sheetView>
  </sheetViews>
  <sheetFormatPr defaultColWidth="8.796875" defaultRowHeight="15"/>
  <cols>
    <col min="1" max="1" width="28" style="7" customWidth="1"/>
    <col min="2" max="2" width="10.796875" style="7" customWidth="1"/>
    <col min="3" max="3" width="5.796875" style="7" customWidth="1"/>
    <col min="4" max="4" width="14" style="7" customWidth="1"/>
    <col min="5" max="5" width="13.296875" style="7" customWidth="1"/>
    <col min="6" max="6" width="12.296875" style="7" customWidth="1"/>
  </cols>
  <sheetData>
    <row r="1" spans="1:6" ht="15.75">
      <c r="A1" s="21"/>
      <c r="B1" s="21"/>
      <c r="C1" s="22" t="s">
        <v>460</v>
      </c>
      <c r="D1" s="21"/>
      <c r="E1" s="21"/>
      <c r="F1">
        <f>inputPrYr!C5</f>
        <v>2012</v>
      </c>
    </row>
    <row r="2" spans="1:6" ht="15.75">
      <c r="A2" s="447" t="str">
        <f>CONCATENATE("To the Clerk of ",(inputPrYr!D3),", State of Kansas")</f>
        <v>To the Clerk of Montgomery, State of Kansas</v>
      </c>
      <c r="B2" s="440"/>
      <c r="C2" s="440"/>
      <c r="D2" s="440"/>
      <c r="E2" s="440"/>
      <c r="F2" s="440"/>
    </row>
    <row r="3" spans="1:6" ht="15.75">
      <c r="A3" s="26" t="s">
        <v>456</v>
      </c>
      <c r="B3" s="27"/>
      <c r="C3" s="27"/>
      <c r="D3" s="27"/>
      <c r="E3" s="27"/>
      <c r="F3" s="27"/>
    </row>
    <row r="4" spans="1:6" ht="15.75">
      <c r="A4" s="445" t="str">
        <f>(inputPrYr!D2)</f>
        <v>City of Coffeyville</v>
      </c>
      <c r="B4" s="446"/>
      <c r="C4" s="446"/>
      <c r="D4" s="446"/>
      <c r="E4" s="446"/>
      <c r="F4" s="446"/>
    </row>
    <row r="5" spans="1:6" ht="15.75">
      <c r="A5" s="26" t="s">
        <v>366</v>
      </c>
      <c r="B5" s="27"/>
      <c r="C5" s="27"/>
      <c r="D5" s="27"/>
      <c r="E5" s="27"/>
      <c r="F5" s="27"/>
    </row>
    <row r="6" spans="1:6" ht="15.75">
      <c r="A6" s="26" t="s">
        <v>367</v>
      </c>
      <c r="B6" s="27"/>
      <c r="C6" s="27"/>
      <c r="D6" s="27"/>
      <c r="E6" s="27"/>
      <c r="F6" s="27"/>
    </row>
    <row r="7" spans="1:6" ht="15.75">
      <c r="A7" s="26" t="str">
        <f>CONCATENATE("maximum expenditures for the various funds for the year ",F1,"; and")</f>
        <v>maximum expenditures for the various funds for the year 2012; and</v>
      </c>
      <c r="B7" s="27"/>
      <c r="C7" s="27"/>
      <c r="D7" s="27"/>
      <c r="E7" s="27"/>
      <c r="F7" s="27"/>
    </row>
    <row r="8" spans="1:6" ht="15.75">
      <c r="A8" s="26" t="str">
        <f>CONCATENATE("(3) the Amounts(s) of ",F1-1," Ad Valorem Tax are within statutory limitations.")</f>
        <v>(3) the Amounts(s) of 2011 Ad Valorem Tax are within statutory limitations.</v>
      </c>
      <c r="B8" s="27"/>
      <c r="C8" s="27"/>
      <c r="D8" s="27"/>
      <c r="E8" s="27"/>
      <c r="F8" s="27"/>
    </row>
    <row r="9" spans="1:6" ht="15.75">
      <c r="A9" s="21"/>
      <c r="B9" s="21"/>
      <c r="C9" s="21"/>
      <c r="D9" s="28" t="str">
        <f>CONCATENATE("",F1," Adopted Budget")</f>
        <v>2012 Adopted Budget</v>
      </c>
      <c r="E9" s="29"/>
      <c r="F9" s="30"/>
    </row>
    <row r="10" spans="1:6" ht="21" customHeight="1">
      <c r="A10" s="21"/>
      <c r="B10" s="21"/>
      <c r="C10" s="31"/>
      <c r="D10" s="32" t="s">
        <v>368</v>
      </c>
      <c r="E10" s="33" t="str">
        <f>CONCATENATE("Amount of ",F1-1,"")</f>
        <v>Amount of 2011</v>
      </c>
      <c r="F10" s="33" t="s">
        <v>369</v>
      </c>
    </row>
    <row r="11" spans="1:6" ht="15.75">
      <c r="A11" s="25"/>
      <c r="B11" s="21"/>
      <c r="C11" s="33" t="s">
        <v>370</v>
      </c>
      <c r="D11" s="34"/>
      <c r="E11" s="198" t="s">
        <v>588</v>
      </c>
      <c r="F11" s="34" t="s">
        <v>371</v>
      </c>
    </row>
    <row r="12" spans="1:6" ht="15.75">
      <c r="A12" s="35" t="s">
        <v>372</v>
      </c>
      <c r="B12" s="20"/>
      <c r="C12" s="36" t="s">
        <v>373</v>
      </c>
      <c r="D12" s="36" t="s">
        <v>417</v>
      </c>
      <c r="E12" s="192" t="s">
        <v>589</v>
      </c>
      <c r="F12" s="36" t="s">
        <v>374</v>
      </c>
    </row>
    <row r="13" spans="1:6" ht="15.75">
      <c r="A13" s="37" t="str">
        <f>CONCATENATE("Computation to Determine Limit for ",F1,"")</f>
        <v>Computation to Determine Limit for 2012</v>
      </c>
      <c r="B13" s="38"/>
      <c r="C13" s="139">
        <v>2</v>
      </c>
      <c r="D13" s="39"/>
      <c r="E13" s="39"/>
      <c r="F13" s="39"/>
    </row>
    <row r="14" spans="1:6" ht="15.75">
      <c r="A14" s="37" t="s">
        <v>689</v>
      </c>
      <c r="B14" s="20"/>
      <c r="C14" s="36">
        <v>3</v>
      </c>
      <c r="D14" s="34"/>
      <c r="E14" s="34"/>
      <c r="F14" s="34"/>
    </row>
    <row r="15" spans="1:6" ht="15.75">
      <c r="A15" s="37" t="s">
        <v>532</v>
      </c>
      <c r="B15" s="20"/>
      <c r="C15" s="36">
        <v>4</v>
      </c>
      <c r="D15" s="34"/>
      <c r="E15" s="34"/>
      <c r="F15" s="34"/>
    </row>
    <row r="16" spans="1:6" ht="15.75">
      <c r="A16" s="37" t="s">
        <v>375</v>
      </c>
      <c r="B16" s="38"/>
      <c r="C16" s="139">
        <v>5</v>
      </c>
      <c r="D16" s="41"/>
      <c r="E16" s="41"/>
      <c r="F16" s="41"/>
    </row>
    <row r="17" spans="1:6" ht="15.75">
      <c r="A17" s="37" t="s">
        <v>376</v>
      </c>
      <c r="B17" s="38"/>
      <c r="C17" s="139">
        <v>6</v>
      </c>
      <c r="D17" s="41"/>
      <c r="E17" s="41"/>
      <c r="F17" s="41"/>
    </row>
    <row r="18" spans="1:6" ht="15.75">
      <c r="A18" s="298" t="s">
        <v>377</v>
      </c>
      <c r="B18" s="299" t="s">
        <v>378</v>
      </c>
      <c r="C18" s="82"/>
      <c r="D18" s="43"/>
      <c r="E18" s="43"/>
      <c r="F18" s="43"/>
    </row>
    <row r="19" spans="1:6" ht="15.75">
      <c r="A19" s="44" t="s">
        <v>361</v>
      </c>
      <c r="B19" s="139" t="str">
        <f>IF(inputPrYr!C16&gt;0,(inputPrYr!C16),"  ")</f>
        <v>12-101a</v>
      </c>
      <c r="C19" s="139">
        <v>7</v>
      </c>
      <c r="D19" s="40">
        <f>IF('010'!$E$110&lt;&gt;0,'010'!$E$110,"  ")</f>
        <v>13616564.989999998</v>
      </c>
      <c r="E19" s="40">
        <f>IF('010'!$E$116&lt;&gt;0,'010'!$E$116,"  ")</f>
        <v>3871122.1999999993</v>
      </c>
      <c r="F19" s="131" t="str">
        <f>IF(AND('010'!E116=0,$D$54&gt;=0)," ",IF(AND(E19&gt;0,$D$54=0)," ",IF(AND(E19&gt;0,$D$54&gt;0),ROUND(E19/$D$54*1000,3))))</f>
        <v> </v>
      </c>
    </row>
    <row r="20" spans="1:6" ht="15.75">
      <c r="A20" s="44" t="s">
        <v>571</v>
      </c>
      <c r="B20" s="139" t="str">
        <f>IF(inputPrYr!C17&gt;0,(inputPrYr!C17),"  ")</f>
        <v>10-113</v>
      </c>
      <c r="C20" s="139">
        <f>IF('090'!C74&gt;0,'090'!C74,"  ")</f>
        <v>8</v>
      </c>
      <c r="D20" s="40">
        <f>IF('090'!$E$66&lt;&gt;0,'090'!$E$66,"  ")</f>
        <v>352440.76</v>
      </c>
      <c r="E20" s="40" t="str">
        <f>IF('090'!$E$72&lt;&gt;0,'090'!$E$72,"  ")</f>
        <v>  </v>
      </c>
      <c r="F20" s="131" t="str">
        <f>IF(AND('090'!E72=0,$D$54&gt;=0)," ",IF(AND(E20&gt;0,$D$54=0)," ",IF(AND(E20&gt;0,$D$54&gt;0),ROUND(E20/$D$54*1000,3))))</f>
        <v> </v>
      </c>
    </row>
    <row r="21" spans="1:6" ht="15.75">
      <c r="A21" s="40" t="str">
        <f>IF(inputPrYr!$B19&gt;"  ",(inputPrYr!$B19),"  ")</f>
        <v>Library</v>
      </c>
      <c r="B21" s="139" t="s">
        <v>146</v>
      </c>
      <c r="C21" s="139">
        <f>IF('020-040'!C74&gt;0,'020-040'!C74,"  ")</f>
        <v>9</v>
      </c>
      <c r="D21" s="40">
        <f>IF('020-040'!$E$31&gt;0,'020-040'!$E$31,"  ")</f>
        <v>379321.45</v>
      </c>
      <c r="E21" s="40">
        <f>IF('020-040'!$E$37&lt;&gt;0,'020-040'!$E$37,"  ")</f>
        <v>353045.51000000007</v>
      </c>
      <c r="F21" s="131" t="str">
        <f>IF(AND('020-040'!$E$37=0,$D$54&gt;=0)," ",IF(AND(E21&gt;0,$D$54=0)," ",IF(AND(E21&gt;0,$D$54&gt;0),ROUND(E21/$D$54*1000,3))))</f>
        <v> </v>
      </c>
    </row>
    <row r="22" spans="1:6" ht="15.75">
      <c r="A22" s="40" t="str">
        <f>IF(inputPrYr!$B20&gt;"  ",(inputPrYr!$B20),"  ")</f>
        <v>Employee Benefits</v>
      </c>
      <c r="B22" s="139" t="str">
        <f>IF(inputPrYr!C20&gt;0,(inputPrYr!C20),"  ")</f>
        <v>  </v>
      </c>
      <c r="C22" s="139">
        <f>IF('020-040'!C74&gt;0,'020-040'!C74,"  ")</f>
        <v>9</v>
      </c>
      <c r="D22" s="40" t="str">
        <f>IF('020-040'!$E$66&gt;0,'020-040'!$E$66,"  ")</f>
        <v>  </v>
      </c>
      <c r="E22" s="40" t="str">
        <f>IF('020-040'!$E$72&lt;&gt;0,'020-040'!$E$72,"  ")</f>
        <v>  </v>
      </c>
      <c r="F22" s="131" t="str">
        <f>IF(AND('020-040'!$E$72=0,$D$54&gt;=0)," ",IF(AND(E22&gt;0,$D$54=0)," ",IF(AND(E22&gt;0,$D$54&gt;0),ROUND(E22/$D$54*1000,3))))</f>
        <v> </v>
      </c>
    </row>
    <row r="23" spans="1:6" ht="15.75">
      <c r="A23" s="40" t="str">
        <f>IF(inputPrYr!$B32&gt;"  ",(inputPrYr!$B32),"  ")</f>
        <v>Special Highway</v>
      </c>
      <c r="B23" s="82"/>
      <c r="C23" s="139">
        <f>IF('110'!C76&gt;0,'110'!C76,"  ")</f>
        <v>10</v>
      </c>
      <c r="D23" s="40" t="str">
        <f>IF('110'!$E$33&gt;0,'110'!$E$33,"  ")</f>
        <v>  </v>
      </c>
      <c r="E23" s="42"/>
      <c r="F23" s="42"/>
    </row>
    <row r="24" spans="1:6" ht="15.75">
      <c r="A24" s="40" t="str">
        <f>IF(inputPrYr!$B33&gt;"  ",(inputPrYr!$B33),"  ")</f>
        <v>Local Alcohol Liquor</v>
      </c>
      <c r="B24" s="82"/>
      <c r="C24" s="139">
        <f>IF('110'!C76&gt;0,'110'!C76,"  ")</f>
        <v>10</v>
      </c>
      <c r="D24" s="40">
        <f>IF('110'!$E$70&gt;0,'110'!$E$70,"  ")</f>
        <v>135108.22999999998</v>
      </c>
      <c r="E24" s="42"/>
      <c r="F24" s="42"/>
    </row>
    <row r="25" spans="1:6" ht="15.75">
      <c r="A25" s="40" t="str">
        <f>IF(inputPrYr!$B34&gt;"  ",(inputPrYr!$B34),"  ")</f>
        <v>Youth Activity Center</v>
      </c>
      <c r="B25" s="82"/>
      <c r="C25" s="139">
        <f>IF('140-190'!C74&gt;0,'140-190'!C74,"  ")</f>
        <v>11</v>
      </c>
      <c r="D25" s="40">
        <f>IF('140-190'!$E$33&gt;0,'140-190'!$E$33,"  ")</f>
        <v>43266.590000000004</v>
      </c>
      <c r="E25" s="42"/>
      <c r="F25" s="42"/>
    </row>
    <row r="26" spans="1:6" ht="15.75">
      <c r="A26" s="40" t="str">
        <f>IF(inputPrYr!$B35&gt;"  ",(inputPrYr!$B35),"  ")</f>
        <v>Community Development</v>
      </c>
      <c r="B26" s="82"/>
      <c r="C26" s="139">
        <f>IF('140-190'!C74&gt;0,'140-190'!C74,"  ")</f>
        <v>11</v>
      </c>
      <c r="D26" s="40">
        <f>IF('140-190'!$E$68&gt;0,'140-190'!$E$68,"  ")</f>
        <v>193235.53</v>
      </c>
      <c r="E26" s="42"/>
      <c r="F26" s="42"/>
    </row>
    <row r="27" spans="1:6" ht="15.75">
      <c r="A27" s="40" t="str">
        <f>IF(inputPrYr!$B36&gt;"  ",(inputPrYr!$B36),"  ")</f>
        <v>Police VIN</v>
      </c>
      <c r="B27" s="82"/>
      <c r="C27" s="139">
        <f>IF('250-280'!C74&gt;0,'250-280'!C74,"  ")</f>
        <v>12</v>
      </c>
      <c r="D27" s="40">
        <f>IF('250-280'!$E$32&gt;0,'250-280'!$E$32,"  ")</f>
        <v>17301.83</v>
      </c>
      <c r="E27" s="42"/>
      <c r="F27" s="42"/>
    </row>
    <row r="28" spans="1:6" ht="15.75">
      <c r="A28" s="40" t="str">
        <f>IF(inputPrYr!$B37&gt;"  ",(inputPrYr!$B37),"  ")</f>
        <v>Memorial Hall Building</v>
      </c>
      <c r="B28" s="82"/>
      <c r="C28" s="139">
        <f>IF('250-280'!C74&gt;0,'250-280'!C74,"  ")</f>
        <v>12</v>
      </c>
      <c r="D28" s="40">
        <f>IF('250-280'!$E$68&gt;0,'250-280'!$E$68,"  ")</f>
        <v>12834.07</v>
      </c>
      <c r="E28" s="42"/>
      <c r="F28" s="42"/>
    </row>
    <row r="29" spans="1:6" ht="15.75">
      <c r="A29" s="40" t="str">
        <f>IF(inputPrYr!$B38&gt;"  ",(inputPrYr!$B38),"  ")</f>
        <v>Airport</v>
      </c>
      <c r="B29" s="82"/>
      <c r="C29" s="139">
        <f>IF('360-370'!C74&gt;0,'360-370'!C74,"  ")</f>
        <v>13</v>
      </c>
      <c r="D29" s="40">
        <f>IF('360-370'!$E$30&gt;0,'360-370'!$E$30,"  ")</f>
        <v>38220.89</v>
      </c>
      <c r="E29" s="42"/>
      <c r="F29" s="42"/>
    </row>
    <row r="30" spans="1:6" ht="15.75">
      <c r="A30" s="40" t="str">
        <f>IF(inputPrYr!$B39&gt;"  ",(inputPrYr!$B39),"  ")</f>
        <v>Hillcrest Golf Course</v>
      </c>
      <c r="B30" s="82"/>
      <c r="C30" s="139">
        <f>IF('360-370'!C74&gt;0,'360-370'!C74,"  ")</f>
        <v>13</v>
      </c>
      <c r="D30" s="40">
        <f>IF('360-370'!$E$69&gt;0,'360-370'!$E$69,"  ")</f>
        <v>409198.9</v>
      </c>
      <c r="E30" s="42"/>
      <c r="F30" s="42"/>
    </row>
    <row r="31" spans="1:6" ht="15.75">
      <c r="A31" s="40" t="str">
        <f>IF(inputPrYr!$B40&gt;"  ",(inputPrYr!$B40),"  ")</f>
        <v>Aquatic Center</v>
      </c>
      <c r="B31" s="82"/>
      <c r="C31" s="139">
        <f>IF('450-530'!C74&gt;0,'450-530'!C74,"  ")</f>
        <v>14</v>
      </c>
      <c r="D31" s="40">
        <f>IF('450-530'!$E$32&gt;0,'450-530'!$E$32,"  ")</f>
        <v>116524.43</v>
      </c>
      <c r="E31" s="42"/>
      <c r="F31" s="42"/>
    </row>
    <row r="32" spans="1:6" ht="15.75">
      <c r="A32" s="40" t="str">
        <f>IF(inputPrYr!$B41&gt;"  ",(inputPrYr!$B41),"  ")</f>
        <v>Sales Tax Bond Debt Service</v>
      </c>
      <c r="B32" s="82"/>
      <c r="C32" s="139">
        <f>IF('450-530'!C74&gt;0,'450-530'!C74,"  ")</f>
        <v>14</v>
      </c>
      <c r="D32" s="40">
        <f>IF('450-530'!$E$68&gt;0,'450-530'!$E$68,"  ")</f>
        <v>418977.5</v>
      </c>
      <c r="E32" s="42"/>
      <c r="F32" s="42"/>
    </row>
    <row r="33" spans="1:6" ht="15.75">
      <c r="A33" s="40" t="str">
        <f>IF(inputPrYr!$B42&gt;"  ",(inputPrYr!$B42),"  ")</f>
        <v>USD 445 Sales Tax </v>
      </c>
      <c r="B33" s="82"/>
      <c r="C33" s="139">
        <f>IF('550-560'!C74&gt;0,'550-560'!C74,"  ")</f>
        <v>15</v>
      </c>
      <c r="D33" s="40">
        <f>IF('550-560'!$E$32&gt;0,'550-560'!$E$32,"  ")</f>
        <v>1000000</v>
      </c>
      <c r="E33" s="42"/>
      <c r="F33" s="42"/>
    </row>
    <row r="34" spans="1:6" ht="15.75">
      <c r="A34" s="40" t="str">
        <f>IF(inputPrYr!B43&gt;"  ",(inputPrYr!B43),"  ")</f>
        <v>CRMC Sales Tax</v>
      </c>
      <c r="B34" s="82"/>
      <c r="C34" s="139">
        <f>IF('550-560'!C74&gt;0,'550-560'!C74,"  ")</f>
        <v>15</v>
      </c>
      <c r="D34" s="40">
        <f>IF('550-560'!$E$68&gt;0,'550-560'!$E$68,"  ")</f>
        <v>1000000</v>
      </c>
      <c r="E34" s="42"/>
      <c r="F34" s="42"/>
    </row>
    <row r="35" spans="1:6" ht="15.75">
      <c r="A35" s="40" t="str">
        <f>IF(inputPrYr!B44&gt;"  ",(inputPrYr!B44),"  ")</f>
        <v>Business Dev. Training Center (BDTC)</v>
      </c>
      <c r="B35" s="82"/>
      <c r="C35" s="139">
        <f>IF('650-670'!$C$74&gt;0,'650-670'!$C$74,"  ")</f>
        <v>16</v>
      </c>
      <c r="D35" s="40">
        <f>IF('650-670'!$E$29&gt;0,'650-670'!$E$29,"  ")</f>
        <v>160329.24</v>
      </c>
      <c r="E35" s="42"/>
      <c r="F35" s="42"/>
    </row>
    <row r="36" spans="1:6" ht="15.75">
      <c r="A36" s="40" t="str">
        <f>IF(inputPrYr!B45&gt;"  ",(inputPrYr!B45),"  ")</f>
        <v>Veterans Memorial Stadium (VMS)</v>
      </c>
      <c r="B36" s="82"/>
      <c r="C36" s="139">
        <f>IF('650-670'!$C$74&gt;0,'650-670'!$C$74,"  ")</f>
        <v>16</v>
      </c>
      <c r="D36" s="40">
        <f>IF('650-670'!$E$68&gt;0,'650-670'!$E$68,"  ")</f>
        <v>28652.64</v>
      </c>
      <c r="E36" s="42"/>
      <c r="F36" s="42"/>
    </row>
    <row r="37" spans="1:6" ht="15.75">
      <c r="A37" s="40" t="str">
        <f>IF(inputPrYr!B46&gt;"  ",(inputPrYr!B46),"  ")</f>
        <v>Refuse Utility</v>
      </c>
      <c r="B37" s="82"/>
      <c r="C37" s="139">
        <f>IF('700-720'!$C$74&gt;0,'700-720'!$C$74,"  ")</f>
        <v>17</v>
      </c>
      <c r="D37" s="40">
        <f>IF('700-720'!$E$32&gt;0,'700-720'!$E$32,"  ")</f>
        <v>674283.74</v>
      </c>
      <c r="E37" s="42"/>
      <c r="F37" s="42"/>
    </row>
    <row r="38" spans="1:6" ht="15.75">
      <c r="A38" s="40" t="str">
        <f>IF(inputPrYr!B47&gt;"  ",(inputPrYr!B47),"  ")</f>
        <v>Internet Utility</v>
      </c>
      <c r="B38" s="82"/>
      <c r="C38" s="139">
        <f>IF('700-720'!$C$74&gt;0,'700-720'!$C$74,"  ")</f>
        <v>17</v>
      </c>
      <c r="D38" s="40">
        <f>IF('700-720'!$E$68&gt;0,'700-720'!$E$68,"  ")</f>
        <v>466497.36</v>
      </c>
      <c r="E38" s="42"/>
      <c r="F38" s="42"/>
    </row>
    <row r="39" spans="1:6" ht="15.75">
      <c r="A39" s="40" t="str">
        <f>IF(inputPrYr!B48&gt;"  ",(inputPrYr!B48),"  ")</f>
        <v>Stormwater Utility</v>
      </c>
      <c r="B39" s="82"/>
      <c r="C39" s="139">
        <f>IF('760-820'!$C$74&gt;0,'760-820'!$C$74,"  ")</f>
        <v>18</v>
      </c>
      <c r="D39" s="40">
        <f>IF('760-820'!$E$33&gt;0,'760-820'!$E$33,"  ")</f>
        <v>163872.31</v>
      </c>
      <c r="E39" s="42"/>
      <c r="F39" s="42"/>
    </row>
    <row r="40" spans="1:6" ht="15.75">
      <c r="A40" s="40" t="str">
        <f>IF(inputPrYr!B49&gt;"  ",(inputPrYr!B49),"  ")</f>
        <v>Electric Debt Service</v>
      </c>
      <c r="B40" s="82"/>
      <c r="C40" s="139">
        <f>IF('760-820'!$C$74&gt;0,'760-820'!$C$74,"  ")</f>
        <v>18</v>
      </c>
      <c r="D40" s="40">
        <f>IF('760-820'!$E$68&gt;0,'760-820'!$E$68,"  ")</f>
        <v>1047147.22</v>
      </c>
      <c r="E40" s="42"/>
      <c r="F40" s="42"/>
    </row>
    <row r="41" spans="1:6" ht="15.75">
      <c r="A41" s="40" t="str">
        <f>IF(inputPrYr!B50&gt;"  ",(inputPrYr!B50),"  ")</f>
        <v>Water/Wastewater Debt Service</v>
      </c>
      <c r="B41" s="82"/>
      <c r="C41" s="139">
        <f>IF('920'!$C$74&gt;0,'920'!$C$74,"  ")</f>
        <v>19</v>
      </c>
      <c r="D41" s="40">
        <f>IF('920'!$E$33&gt;0,'920'!$E$33,"  ")</f>
        <v>1177332.46</v>
      </c>
      <c r="E41" s="42"/>
      <c r="F41" s="42"/>
    </row>
    <row r="42" spans="1:6" ht="15.75">
      <c r="A42" s="40" t="str">
        <f>IF(inputPrYr!B52&gt;"  ",(inputPrYr!B52),"  ")</f>
        <v>Electric Utility</v>
      </c>
      <c r="B42" s="82"/>
      <c r="C42" s="139">
        <f>IF('800'!$C$74&gt;0,'800'!$C$74,"  ")</f>
        <v>20</v>
      </c>
      <c r="D42" s="40">
        <f>IF('800'!$E$68&gt;0,'800'!$E$68,"  ")</f>
        <v>52953745.31</v>
      </c>
      <c r="E42" s="42"/>
      <c r="F42" s="42"/>
    </row>
    <row r="43" spans="1:6" ht="15.75">
      <c r="A43" s="40" t="str">
        <f>IF(inputPrYr!B53&gt;"  ",(inputPrYr!B53),"  ")</f>
        <v>Water/Wastewater Utility</v>
      </c>
      <c r="B43" s="82"/>
      <c r="C43" s="139">
        <f>IF('900'!$C$74&gt;0,'900'!$C$74,"  ")</f>
        <v>21</v>
      </c>
      <c r="D43" s="40">
        <f>IF('900'!$E$68&gt;0,'900'!$E$68,"  ")</f>
        <v>5215234.449999999</v>
      </c>
      <c r="E43" s="42"/>
      <c r="F43" s="42"/>
    </row>
    <row r="44" spans="1:6" ht="15.75">
      <c r="A44" s="40" t="str">
        <f>IF(inputPrYr!$B57&gt;"  ",(NonBudA!$A3),"  ")</f>
        <v>Non-Budgeted Funds-A</v>
      </c>
      <c r="B44" s="82"/>
      <c r="C44" s="139">
        <f>IF(NonBudA!F33&gt;0,NonBudA!F33,"  ")</f>
        <v>22</v>
      </c>
      <c r="D44" s="40"/>
      <c r="E44" s="42"/>
      <c r="F44" s="42"/>
    </row>
    <row r="45" spans="1:6" ht="15.75">
      <c r="A45" s="40" t="str">
        <f>IF(inputPrYr!$B63&gt;"  ",(NonBudB!$A3),"  ")</f>
        <v>Non-Budgeted Funds-B</v>
      </c>
      <c r="B45" s="82"/>
      <c r="C45" s="139">
        <f>IF(NonBudB!F33&gt;0,NonBudB!F33,"  ")</f>
        <v>23</v>
      </c>
      <c r="D45" s="40"/>
      <c r="E45" s="42"/>
      <c r="F45" s="42"/>
    </row>
    <row r="46" spans="1:6" ht="15.75">
      <c r="A46" s="40" t="str">
        <f>IF(inputPrYr!$B69&gt;"  ",(NonBudC!$A3),"  ")</f>
        <v>Non-Budgeted Funds-C</v>
      </c>
      <c r="B46" s="82"/>
      <c r="C46" s="139">
        <f>IF(NonBudC!F35&gt;0,NonBudC!F35,"  ")</f>
        <v>24</v>
      </c>
      <c r="D46" s="40"/>
      <c r="E46" s="42"/>
      <c r="F46" s="42"/>
    </row>
    <row r="47" spans="1:6" ht="15.75">
      <c r="A47" s="40" t="str">
        <f>IF(inputPrYr!$B75&gt;"  ",(NonBudD!$A3),"  ")</f>
        <v>Non-Budgeted Funds-D</v>
      </c>
      <c r="B47" s="82"/>
      <c r="C47" s="139">
        <f>IF(NonBudD!F33&gt;0,NonBudD!F33,"  ")</f>
        <v>25</v>
      </c>
      <c r="D47" s="40"/>
      <c r="E47" s="42"/>
      <c r="F47" s="42"/>
    </row>
    <row r="48" spans="1:6" ht="15.75">
      <c r="A48" s="40" t="str">
        <f>IF(inputPrYr!$B81&gt;"  ",(NonBudE!$A3),"  ")</f>
        <v>Non-Budgeted Funds-E</v>
      </c>
      <c r="B48" s="82"/>
      <c r="C48" s="139">
        <f>IF(NonBudE!F33&gt;0,NonBudE!F33,"  ")</f>
        <v>26</v>
      </c>
      <c r="D48" s="40"/>
      <c r="E48" s="42"/>
      <c r="F48" s="42"/>
    </row>
    <row r="49" spans="1:6" ht="15.75">
      <c r="A49" s="37" t="s">
        <v>379</v>
      </c>
      <c r="B49" s="38"/>
      <c r="C49" s="139" t="s">
        <v>380</v>
      </c>
      <c r="D49" s="40">
        <f>SUM(D19:D48)</f>
        <v>79620089.89999999</v>
      </c>
      <c r="E49" s="40">
        <f>SUM(E19:E48)</f>
        <v>4224167.709999999</v>
      </c>
      <c r="F49" s="132">
        <f>IF(SUM(F19:F47)=0,"",SUM(F19:F47))</f>
      </c>
    </row>
    <row r="50" spans="1:6" ht="15.75">
      <c r="A50" s="37" t="s">
        <v>653</v>
      </c>
      <c r="B50" s="38"/>
      <c r="C50" s="139">
        <f>summ!D67</f>
        <v>27</v>
      </c>
      <c r="D50" s="21"/>
      <c r="E50" s="21"/>
      <c r="F50" s="21"/>
    </row>
    <row r="51" spans="1:6" ht="15.75">
      <c r="A51" s="37" t="s">
        <v>702</v>
      </c>
      <c r="B51" s="38"/>
      <c r="C51" s="139">
        <f>IF(nhood!C74&gt;0,nhood!C74,"")</f>
        <v>28</v>
      </c>
      <c r="D51" s="21"/>
      <c r="E51" s="21"/>
      <c r="F51" s="21"/>
    </row>
    <row r="52" spans="1:6" ht="15.75">
      <c r="A52" s="247" t="s">
        <v>654</v>
      </c>
      <c r="B52" s="248"/>
      <c r="C52" s="249"/>
      <c r="D52" s="251"/>
      <c r="E52" s="250" t="str">
        <f>IF(E49&gt;computation!J40,"Yes","No")</f>
        <v>No</v>
      </c>
      <c r="F52" s="106"/>
    </row>
    <row r="53" spans="1:6" ht="15.75">
      <c r="A53" s="130"/>
      <c r="B53" s="106"/>
      <c r="C53" s="21"/>
      <c r="D53" s="227" t="s">
        <v>536</v>
      </c>
      <c r="E53" s="106"/>
      <c r="F53" s="106"/>
    </row>
    <row r="54" spans="1:6" ht="15.75">
      <c r="A54" s="130"/>
      <c r="B54" s="106"/>
      <c r="C54" s="21"/>
      <c r="D54" s="410"/>
      <c r="E54" s="20"/>
      <c r="F54" s="20"/>
    </row>
    <row r="55" spans="1:6" ht="15.75">
      <c r="A55" s="21"/>
      <c r="B55" s="21"/>
      <c r="C55" s="25"/>
      <c r="D55" s="448" t="s">
        <v>655</v>
      </c>
      <c r="E55" s="383" t="s">
        <v>346</v>
      </c>
      <c r="F55" s="21"/>
    </row>
    <row r="56" spans="1:6" ht="15.75">
      <c r="A56" s="32" t="s">
        <v>382</v>
      </c>
      <c r="B56" s="46"/>
      <c r="C56" s="21"/>
      <c r="D56" s="449"/>
      <c r="E56" s="31"/>
      <c r="F56" s="31"/>
    </row>
    <row r="57" spans="1:6" ht="15.75">
      <c r="A57" s="47" t="s">
        <v>457</v>
      </c>
      <c r="B57" s="24"/>
      <c r="C57" s="106"/>
      <c r="D57" s="106"/>
      <c r="E57" s="384" t="s">
        <v>347</v>
      </c>
      <c r="F57" s="136"/>
    </row>
    <row r="58" spans="1:6" ht="15.75">
      <c r="A58" s="47" t="s">
        <v>458</v>
      </c>
      <c r="B58" s="24" t="s">
        <v>381</v>
      </c>
      <c r="C58" s="12"/>
      <c r="D58" s="12"/>
      <c r="E58" s="140"/>
      <c r="F58" s="140"/>
    </row>
    <row r="59" spans="1:6" ht="15.75">
      <c r="A59" s="48" t="s">
        <v>459</v>
      </c>
      <c r="B59" s="246"/>
      <c r="C59" s="245" t="s">
        <v>162</v>
      </c>
      <c r="D59" s="245"/>
      <c r="E59" s="385" t="s">
        <v>348</v>
      </c>
      <c r="F59" s="136"/>
    </row>
    <row r="60" spans="1:6" ht="15.75">
      <c r="A60" s="106"/>
      <c r="B60" s="297" t="s">
        <v>554</v>
      </c>
      <c r="C60" s="16" t="s">
        <v>163</v>
      </c>
      <c r="D60" s="16"/>
      <c r="E60" s="140"/>
      <c r="F60" s="140"/>
    </row>
    <row r="61" spans="1:6" ht="15.75">
      <c r="A61" s="25" t="s">
        <v>684</v>
      </c>
      <c r="B61" s="92">
        <f>F1-1</f>
        <v>2011</v>
      </c>
      <c r="C61" s="16" t="s">
        <v>164</v>
      </c>
      <c r="D61" s="16"/>
      <c r="E61" s="385" t="s">
        <v>210</v>
      </c>
      <c r="F61" s="21"/>
    </row>
    <row r="62" spans="1:6" ht="15.75">
      <c r="A62" s="31"/>
      <c r="B62" s="21"/>
      <c r="C62" s="21"/>
      <c r="D62" s="21"/>
      <c r="E62" s="20"/>
      <c r="F62" s="20"/>
    </row>
    <row r="63" spans="1:6" ht="15.75">
      <c r="A63" s="49" t="s">
        <v>383</v>
      </c>
      <c r="B63" s="21"/>
      <c r="C63" s="21"/>
      <c r="D63" s="21"/>
      <c r="E63" s="385" t="s">
        <v>349</v>
      </c>
      <c r="F63" s="385"/>
    </row>
    <row r="64" ht="15.75">
      <c r="A64" s="2"/>
    </row>
    <row r="74" spans="1:6" ht="15">
      <c r="A74"/>
      <c r="B74"/>
      <c r="C74"/>
      <c r="D74"/>
      <c r="E74"/>
      <c r="F74"/>
    </row>
    <row r="75" spans="1:6" ht="15">
      <c r="A75"/>
      <c r="B75"/>
      <c r="C75"/>
      <c r="D75"/>
      <c r="E75"/>
      <c r="F75"/>
    </row>
    <row r="76" spans="1:6" ht="15">
      <c r="A76"/>
      <c r="B76"/>
      <c r="C76"/>
      <c r="D76"/>
      <c r="E76"/>
      <c r="F76"/>
    </row>
    <row r="77" spans="1:6" ht="15">
      <c r="A77"/>
      <c r="B77"/>
      <c r="C77"/>
      <c r="D77"/>
      <c r="E77"/>
      <c r="F77"/>
    </row>
    <row r="78" spans="1:6" ht="15">
      <c r="A78"/>
      <c r="B78"/>
      <c r="C78"/>
      <c r="D78"/>
      <c r="E78"/>
      <c r="F78"/>
    </row>
    <row r="79" spans="1:6" ht="15">
      <c r="A79"/>
      <c r="B79"/>
      <c r="C79"/>
      <c r="D79"/>
      <c r="E79"/>
      <c r="F79"/>
    </row>
    <row r="80" spans="1:6" ht="15">
      <c r="A80"/>
      <c r="B80"/>
      <c r="C80"/>
      <c r="D80"/>
      <c r="E80"/>
      <c r="F80"/>
    </row>
    <row r="81" spans="1:6" ht="15">
      <c r="A81"/>
      <c r="B81"/>
      <c r="C81"/>
      <c r="D81"/>
      <c r="E81"/>
      <c r="F81"/>
    </row>
    <row r="82" spans="1:6" ht="15">
      <c r="A82"/>
      <c r="B82"/>
      <c r="C82"/>
      <c r="D82"/>
      <c r="E82"/>
      <c r="F82"/>
    </row>
    <row r="83" spans="1:6" ht="15">
      <c r="A83"/>
      <c r="B83"/>
      <c r="C83"/>
      <c r="D83"/>
      <c r="E83"/>
      <c r="F83"/>
    </row>
    <row r="84" spans="1:6" ht="15">
      <c r="A84"/>
      <c r="B84"/>
      <c r="C84"/>
      <c r="D84"/>
      <c r="E84"/>
      <c r="F84"/>
    </row>
    <row r="85" spans="1:6" ht="15">
      <c r="A85"/>
      <c r="B85"/>
      <c r="C85"/>
      <c r="D85"/>
      <c r="E85"/>
      <c r="F85"/>
    </row>
    <row r="86" spans="1:6" ht="15">
      <c r="A86"/>
      <c r="B86"/>
      <c r="C86"/>
      <c r="D86"/>
      <c r="E86"/>
      <c r="F86"/>
    </row>
    <row r="87" spans="1:6" ht="15">
      <c r="A87"/>
      <c r="B87"/>
      <c r="C87"/>
      <c r="D87"/>
      <c r="E87"/>
      <c r="F87"/>
    </row>
    <row r="88" spans="1:6" ht="15">
      <c r="A88"/>
      <c r="B88"/>
      <c r="C88"/>
      <c r="D88"/>
      <c r="E88"/>
      <c r="F88"/>
    </row>
    <row r="89" spans="1:6" ht="15">
      <c r="A89"/>
      <c r="B89"/>
      <c r="C89"/>
      <c r="D89"/>
      <c r="E89"/>
      <c r="F89"/>
    </row>
    <row r="92" spans="1:6" ht="15.75">
      <c r="A92" s="2"/>
      <c r="B92" s="2"/>
      <c r="C92" s="2"/>
      <c r="D92" s="2"/>
      <c r="E92" s="2"/>
      <c r="F92" s="2"/>
    </row>
  </sheetData>
  <sheetProtection/>
  <mergeCells count="3">
    <mergeCell ref="A4:F4"/>
    <mergeCell ref="A2:F2"/>
    <mergeCell ref="D55:D56"/>
  </mergeCells>
  <printOptions/>
  <pageMargins left="0.5" right="0.5" top="1" bottom="0.5" header="0.5" footer="0.25"/>
  <pageSetup blackAndWhite="1" fitToHeight="1" fitToWidth="1" horizontalDpi="120" verticalDpi="120" orientation="portrait" scale="69" r:id="rId1"/>
  <headerFooter alignWithMargins="0">
    <oddHeader>&amp;RState of Kansas
Coffeyville
</oddHeader>
    <oddFooter>&amp;Lrevised 8/06/07&amp;C   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4" sqref="J4"/>
    </sheetView>
  </sheetViews>
  <sheetFormatPr defaultColWidth="8.796875" defaultRowHeight="15"/>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G13" sqref="G13"/>
    </sheetView>
  </sheetViews>
  <sheetFormatPr defaultColWidth="8.796875" defaultRowHeight="15"/>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44"/>
  <sheetViews>
    <sheetView view="pageBreakPreview" zoomScaleNormal="85" zoomScaleSheetLayoutView="100" zoomScalePageLayoutView="0" workbookViewId="0" topLeftCell="A1">
      <selection activeCell="A1" sqref="A1:H1"/>
    </sheetView>
  </sheetViews>
  <sheetFormatPr defaultColWidth="8.796875" defaultRowHeight="15.75" customHeight="1"/>
  <cols>
    <col min="1" max="2" width="3.296875" style="2" customWidth="1"/>
    <col min="3" max="3" width="31.296875" style="2" customWidth="1"/>
    <col min="4" max="4" width="2.296875" style="2" customWidth="1"/>
    <col min="5" max="5" width="15.796875" style="2" customWidth="1"/>
    <col min="6" max="6" width="2" style="2" customWidth="1"/>
    <col min="7" max="7" width="15.796875" style="2" customWidth="1"/>
    <col min="8" max="8" width="1.8984375" style="2" customWidth="1"/>
    <col min="9" max="9" width="1.796875" style="2" customWidth="1"/>
    <col min="10" max="10" width="15.796875" style="2" customWidth="1"/>
    <col min="11" max="16384" width="8.8984375" style="2" customWidth="1"/>
  </cols>
  <sheetData>
    <row r="1" spans="1:10" ht="15.75" customHeight="1">
      <c r="A1" s="50"/>
      <c r="B1" s="50"/>
      <c r="C1" s="51" t="str">
        <f>inputPrYr!D2</f>
        <v>City of Coffeyville</v>
      </c>
      <c r="D1" s="50"/>
      <c r="E1" s="50"/>
      <c r="F1" s="50"/>
      <c r="G1" s="50"/>
      <c r="H1" s="50"/>
      <c r="I1" s="50"/>
      <c r="J1" s="50">
        <f>inputPrYr!C5</f>
        <v>2012</v>
      </c>
    </row>
    <row r="2" spans="1:10" ht="15.75" customHeight="1">
      <c r="A2" s="50"/>
      <c r="B2" s="50"/>
      <c r="C2" s="50"/>
      <c r="D2" s="50"/>
      <c r="E2" s="50"/>
      <c r="F2" s="50"/>
      <c r="G2" s="50"/>
      <c r="H2" s="50"/>
      <c r="I2" s="50"/>
      <c r="J2" s="50"/>
    </row>
    <row r="3" spans="1:10" ht="15.75">
      <c r="A3" s="451" t="str">
        <f>CONCATENATE("Computation to Determine Limit for ",J1,"")</f>
        <v>Computation to Determine Limit for 2012</v>
      </c>
      <c r="B3" s="452"/>
      <c r="C3" s="452"/>
      <c r="D3" s="452"/>
      <c r="E3" s="452"/>
      <c r="F3" s="452"/>
      <c r="G3" s="452"/>
      <c r="H3" s="452"/>
      <c r="I3" s="452"/>
      <c r="J3" s="452"/>
    </row>
    <row r="4" spans="1:10" ht="15.75">
      <c r="A4" s="50"/>
      <c r="B4" s="50"/>
      <c r="C4" s="50"/>
      <c r="D4" s="50"/>
      <c r="E4" s="452"/>
      <c r="F4" s="452"/>
      <c r="G4" s="452"/>
      <c r="H4" s="52"/>
      <c r="I4" s="50"/>
      <c r="J4" s="53" t="s">
        <v>475</v>
      </c>
    </row>
    <row r="5" spans="1:10" ht="15.75">
      <c r="A5" s="54" t="s">
        <v>476</v>
      </c>
      <c r="B5" s="50" t="str">
        <f>CONCATENATE("Total Tax Levy Amount in ",J1-1," Budget")</f>
        <v>Total Tax Levy Amount in 2011 Budget</v>
      </c>
      <c r="C5" s="50"/>
      <c r="D5" s="50"/>
      <c r="E5" s="55"/>
      <c r="F5" s="55"/>
      <c r="G5" s="55"/>
      <c r="H5" s="56" t="s">
        <v>477</v>
      </c>
      <c r="I5" s="55" t="s">
        <v>478</v>
      </c>
      <c r="J5" s="57">
        <f>inputPrYr!D29</f>
        <v>4236286</v>
      </c>
    </row>
    <row r="6" spans="1:10" ht="15.75">
      <c r="A6" s="54" t="s">
        <v>479</v>
      </c>
      <c r="B6" s="50" t="str">
        <f>CONCATENATE("Debt Service Levy in ",J1-1," Budget")</f>
        <v>Debt Service Levy in 2011 Budget</v>
      </c>
      <c r="C6" s="50"/>
      <c r="D6" s="50"/>
      <c r="E6" s="55"/>
      <c r="F6" s="55"/>
      <c r="G6" s="55"/>
      <c r="H6" s="56" t="s">
        <v>480</v>
      </c>
      <c r="I6" s="55" t="s">
        <v>478</v>
      </c>
      <c r="J6" s="206">
        <f>inputPrYr!D17</f>
        <v>0</v>
      </c>
    </row>
    <row r="7" spans="1:10" ht="15.75">
      <c r="A7" s="54" t="s">
        <v>512</v>
      </c>
      <c r="B7" s="58" t="s">
        <v>509</v>
      </c>
      <c r="C7" s="50"/>
      <c r="D7" s="50"/>
      <c r="E7" s="55"/>
      <c r="F7" s="55"/>
      <c r="G7" s="55"/>
      <c r="H7" s="55"/>
      <c r="I7" s="55" t="s">
        <v>478</v>
      </c>
      <c r="J7" s="59">
        <f>J5-J6</f>
        <v>4236286</v>
      </c>
    </row>
    <row r="8" spans="1:10" ht="15.75">
      <c r="A8" s="50"/>
      <c r="B8" s="50"/>
      <c r="C8" s="50"/>
      <c r="D8" s="50"/>
      <c r="E8" s="55"/>
      <c r="F8" s="55"/>
      <c r="G8" s="55"/>
      <c r="H8" s="55"/>
      <c r="I8" s="55"/>
      <c r="J8" s="55"/>
    </row>
    <row r="9" spans="1:10" ht="15.75">
      <c r="A9" s="50"/>
      <c r="B9" s="58" t="str">
        <f>CONCATENATE("",J1-1," Valuation Information for Valuation Adjustments:")</f>
        <v>2011 Valuation Information for Valuation Adjustments:</v>
      </c>
      <c r="C9" s="50"/>
      <c r="D9" s="50"/>
      <c r="E9" s="55"/>
      <c r="F9" s="55"/>
      <c r="G9" s="55"/>
      <c r="H9" s="55"/>
      <c r="I9" s="55"/>
      <c r="J9" s="55"/>
    </row>
    <row r="10" spans="1:10" ht="15.75">
      <c r="A10" s="50"/>
      <c r="B10" s="50"/>
      <c r="C10" s="58"/>
      <c r="D10" s="50"/>
      <c r="E10" s="55"/>
      <c r="F10" s="55"/>
      <c r="G10" s="55"/>
      <c r="H10" s="55"/>
      <c r="I10" s="55"/>
      <c r="J10" s="55"/>
    </row>
    <row r="11" spans="1:10" ht="15.75">
      <c r="A11" s="54" t="s">
        <v>481</v>
      </c>
      <c r="B11" s="58" t="str">
        <f>CONCATENATE("New Improvements for ",J1-1,":")</f>
        <v>New Improvements for 2011:</v>
      </c>
      <c r="C11" s="50"/>
      <c r="D11" s="50"/>
      <c r="E11" s="56"/>
      <c r="F11" s="56" t="s">
        <v>477</v>
      </c>
      <c r="G11" s="60">
        <f>inputOth!E7</f>
        <v>535302</v>
      </c>
      <c r="H11" s="61"/>
      <c r="I11" s="55"/>
      <c r="J11" s="55"/>
    </row>
    <row r="12" spans="1:10" ht="15.75">
      <c r="A12" s="54"/>
      <c r="B12" s="62"/>
      <c r="C12" s="50"/>
      <c r="D12" s="50"/>
      <c r="E12" s="56"/>
      <c r="F12" s="56"/>
      <c r="G12" s="61"/>
      <c r="H12" s="61"/>
      <c r="I12" s="55"/>
      <c r="J12" s="55"/>
    </row>
    <row r="13" spans="1:10" ht="15.75">
      <c r="A13" s="54" t="s">
        <v>482</v>
      </c>
      <c r="B13" s="58" t="str">
        <f>CONCATENATE("Increase in Personal Property for ",J1-1,":")</f>
        <v>Increase in Personal Property for 2011:</v>
      </c>
      <c r="C13" s="50"/>
      <c r="D13" s="50"/>
      <c r="E13" s="56"/>
      <c r="F13" s="56"/>
      <c r="G13" s="61"/>
      <c r="H13" s="61"/>
      <c r="I13" s="55"/>
      <c r="J13" s="55"/>
    </row>
    <row r="14" spans="1:10" ht="15.75">
      <c r="A14" s="63"/>
      <c r="B14" s="50" t="s">
        <v>483</v>
      </c>
      <c r="C14" s="50" t="str">
        <f>CONCATENATE("Personal Property ",J1-1,"")</f>
        <v>Personal Property 2011</v>
      </c>
      <c r="D14" s="62" t="s">
        <v>477</v>
      </c>
      <c r="E14" s="60">
        <f>inputOth!E8</f>
        <v>2201386</v>
      </c>
      <c r="F14" s="56"/>
      <c r="G14" s="55"/>
      <c r="H14" s="55"/>
      <c r="I14" s="61"/>
      <c r="J14" s="55"/>
    </row>
    <row r="15" spans="1:10" ht="15.75">
      <c r="A15" s="62"/>
      <c r="B15" s="50" t="s">
        <v>489</v>
      </c>
      <c r="C15" s="50" t="str">
        <f>CONCATENATE("Personal Property ",J1-2,"")</f>
        <v>Personal Property 2010</v>
      </c>
      <c r="D15" s="62" t="s">
        <v>480</v>
      </c>
      <c r="E15" s="64">
        <f>inputOth!E14</f>
        <v>3077192</v>
      </c>
      <c r="F15" s="56"/>
      <c r="G15" s="61"/>
      <c r="H15" s="61"/>
      <c r="I15" s="55"/>
      <c r="J15" s="55"/>
    </row>
    <row r="16" spans="1:10" ht="15.75">
      <c r="A16" s="62"/>
      <c r="B16" s="50" t="s">
        <v>490</v>
      </c>
      <c r="C16" s="50" t="s">
        <v>511</v>
      </c>
      <c r="D16" s="50"/>
      <c r="E16" s="55"/>
      <c r="F16" s="55" t="s">
        <v>477</v>
      </c>
      <c r="G16" s="57">
        <f>IF(E14&gt;E15,E14-E15,0)</f>
        <v>0</v>
      </c>
      <c r="H16" s="61"/>
      <c r="I16" s="55"/>
      <c r="J16" s="55"/>
    </row>
    <row r="17" spans="1:10" ht="15.75">
      <c r="A17" s="62"/>
      <c r="B17" s="62"/>
      <c r="C17" s="50"/>
      <c r="D17" s="50"/>
      <c r="E17" s="55"/>
      <c r="F17" s="55"/>
      <c r="G17" s="61" t="s">
        <v>503</v>
      </c>
      <c r="H17" s="61"/>
      <c r="I17" s="55"/>
      <c r="J17" s="55"/>
    </row>
    <row r="18" spans="1:10" ht="15.75">
      <c r="A18" s="62" t="s">
        <v>491</v>
      </c>
      <c r="B18" s="58" t="str">
        <f>CONCATENATE("Valuation of annexed territory for ",J1-1,"")</f>
        <v>Valuation of annexed territory for 2011</v>
      </c>
      <c r="C18" s="50"/>
      <c r="D18" s="50"/>
      <c r="E18" s="61"/>
      <c r="F18" s="55"/>
      <c r="G18" s="55"/>
      <c r="H18" s="55"/>
      <c r="I18" s="55"/>
      <c r="J18" s="55"/>
    </row>
    <row r="19" spans="1:10" ht="15.75">
      <c r="A19" s="62"/>
      <c r="B19" s="50" t="s">
        <v>492</v>
      </c>
      <c r="C19" s="50" t="s">
        <v>513</v>
      </c>
      <c r="D19" s="62" t="s">
        <v>477</v>
      </c>
      <c r="E19" s="60">
        <f>inputOth!E10</f>
        <v>0</v>
      </c>
      <c r="F19" s="55"/>
      <c r="G19" s="55"/>
      <c r="H19" s="55"/>
      <c r="I19" s="55"/>
      <c r="J19" s="55"/>
    </row>
    <row r="20" spans="1:10" ht="15.75">
      <c r="A20" s="62"/>
      <c r="B20" s="50" t="s">
        <v>493</v>
      </c>
      <c r="C20" s="50" t="s">
        <v>514</v>
      </c>
      <c r="D20" s="62" t="s">
        <v>477</v>
      </c>
      <c r="E20" s="60">
        <f>inputOth!E11</f>
        <v>0</v>
      </c>
      <c r="F20" s="55"/>
      <c r="G20" s="61"/>
      <c r="H20" s="61"/>
      <c r="I20" s="55"/>
      <c r="J20" s="55"/>
    </row>
    <row r="21" spans="1:10" ht="15.75">
      <c r="A21" s="62"/>
      <c r="B21" s="50" t="s">
        <v>494</v>
      </c>
      <c r="C21" s="50" t="s">
        <v>510</v>
      </c>
      <c r="D21" s="62" t="s">
        <v>480</v>
      </c>
      <c r="E21" s="60">
        <f>inputOth!E12</f>
        <v>0</v>
      </c>
      <c r="F21" s="55"/>
      <c r="G21" s="61"/>
      <c r="H21" s="61"/>
      <c r="I21" s="55"/>
      <c r="J21" s="55"/>
    </row>
    <row r="22" spans="1:10" ht="15.75">
      <c r="A22" s="62"/>
      <c r="B22" s="50" t="s">
        <v>495</v>
      </c>
      <c r="C22" s="50" t="s">
        <v>515</v>
      </c>
      <c r="D22" s="62"/>
      <c r="E22" s="61"/>
      <c r="F22" s="55" t="s">
        <v>477</v>
      </c>
      <c r="G22" s="57">
        <f>E19+E20-E21</f>
        <v>0</v>
      </c>
      <c r="H22" s="61"/>
      <c r="I22" s="55"/>
      <c r="J22" s="55"/>
    </row>
    <row r="23" spans="1:10" ht="15.75">
      <c r="A23" s="62"/>
      <c r="B23" s="62"/>
      <c r="C23" s="50"/>
      <c r="D23" s="62"/>
      <c r="E23" s="61"/>
      <c r="F23" s="55"/>
      <c r="G23" s="61"/>
      <c r="H23" s="61"/>
      <c r="I23" s="55"/>
      <c r="J23" s="55"/>
    </row>
    <row r="24" spans="1:10" ht="15.75">
      <c r="A24" s="62" t="s">
        <v>496</v>
      </c>
      <c r="B24" s="58" t="str">
        <f>CONCATENATE("Valuation of Property that has Changed in Use during ",J1-1,"")</f>
        <v>Valuation of Property that has Changed in Use during 2011</v>
      </c>
      <c r="C24" s="50"/>
      <c r="D24" s="50"/>
      <c r="E24" s="55"/>
      <c r="F24" s="55"/>
      <c r="G24" s="65">
        <f>inputOth!E13</f>
        <v>0</v>
      </c>
      <c r="H24" s="55"/>
      <c r="I24" s="55"/>
      <c r="J24" s="55"/>
    </row>
    <row r="25" spans="1:10" ht="15.75">
      <c r="A25" s="50" t="s">
        <v>368</v>
      </c>
      <c r="B25" s="50"/>
      <c r="C25" s="50"/>
      <c r="D25" s="62"/>
      <c r="E25" s="61"/>
      <c r="F25" s="55"/>
      <c r="G25" s="66"/>
      <c r="H25" s="61"/>
      <c r="I25" s="55"/>
      <c r="J25" s="55"/>
    </row>
    <row r="26" spans="1:10" ht="15.75">
      <c r="A26" s="62" t="s">
        <v>497</v>
      </c>
      <c r="B26" s="58" t="s">
        <v>516</v>
      </c>
      <c r="C26" s="50"/>
      <c r="D26" s="50"/>
      <c r="E26" s="55"/>
      <c r="F26" s="55"/>
      <c r="G26" s="57">
        <f>G11+G16+G22+G24</f>
        <v>535302</v>
      </c>
      <c r="H26" s="61"/>
      <c r="I26" s="55"/>
      <c r="J26" s="55"/>
    </row>
    <row r="27" spans="1:10" ht="15.75">
      <c r="A27" s="62"/>
      <c r="B27" s="62"/>
      <c r="C27" s="58"/>
      <c r="D27" s="50"/>
      <c r="E27" s="55"/>
      <c r="F27" s="55"/>
      <c r="G27" s="61"/>
      <c r="H27" s="61"/>
      <c r="I27" s="55"/>
      <c r="J27" s="55"/>
    </row>
    <row r="28" spans="1:10" ht="15.75">
      <c r="A28" s="62" t="s">
        <v>498</v>
      </c>
      <c r="B28" s="50" t="str">
        <f>CONCATENATE("Total Estimated Valuation July 1,",J1-1,"")</f>
        <v>Total Estimated Valuation July 1,2011</v>
      </c>
      <c r="C28" s="50"/>
      <c r="D28" s="50"/>
      <c r="E28" s="57">
        <f>inputOth!E6</f>
        <v>106134873</v>
      </c>
      <c r="F28" s="55"/>
      <c r="G28" s="55"/>
      <c r="H28" s="55"/>
      <c r="I28" s="56"/>
      <c r="J28" s="55"/>
    </row>
    <row r="29" spans="1:10" ht="15.75">
      <c r="A29" s="62"/>
      <c r="B29" s="62"/>
      <c r="C29" s="50"/>
      <c r="D29" s="50"/>
      <c r="E29" s="61"/>
      <c r="F29" s="55"/>
      <c r="G29" s="55"/>
      <c r="H29" s="55"/>
      <c r="I29" s="56"/>
      <c r="J29" s="55"/>
    </row>
    <row r="30" spans="1:10" ht="15.75">
      <c r="A30" s="62" t="s">
        <v>499</v>
      </c>
      <c r="B30" s="58" t="s">
        <v>517</v>
      </c>
      <c r="C30" s="50"/>
      <c r="D30" s="50"/>
      <c r="E30" s="55"/>
      <c r="F30" s="55"/>
      <c r="G30" s="57">
        <f>E28-G26</f>
        <v>105599571</v>
      </c>
      <c r="H30" s="61"/>
      <c r="I30" s="56"/>
      <c r="J30" s="55"/>
    </row>
    <row r="31" spans="1:10" ht="15.75">
      <c r="A31" s="62"/>
      <c r="B31" s="62"/>
      <c r="C31" s="58"/>
      <c r="D31" s="50"/>
      <c r="E31" s="50"/>
      <c r="F31" s="50"/>
      <c r="G31" s="67"/>
      <c r="H31" s="68"/>
      <c r="I31" s="62"/>
      <c r="J31" s="50"/>
    </row>
    <row r="32" spans="1:10" ht="15.75">
      <c r="A32" s="62" t="s">
        <v>500</v>
      </c>
      <c r="B32" s="50" t="s">
        <v>518</v>
      </c>
      <c r="C32" s="50"/>
      <c r="D32" s="50"/>
      <c r="E32" s="50"/>
      <c r="F32" s="50"/>
      <c r="G32" s="69">
        <f>IF(G30&gt;0,G26/G30,0)</f>
        <v>0.00506916832076903</v>
      </c>
      <c r="H32" s="68"/>
      <c r="I32" s="50"/>
      <c r="J32" s="50"/>
    </row>
    <row r="33" spans="1:10" ht="15.75">
      <c r="A33" s="62"/>
      <c r="B33" s="62"/>
      <c r="C33" s="50"/>
      <c r="D33" s="50"/>
      <c r="E33" s="50"/>
      <c r="F33" s="50"/>
      <c r="G33" s="68"/>
      <c r="H33" s="68"/>
      <c r="I33" s="50"/>
      <c r="J33" s="50"/>
    </row>
    <row r="34" spans="1:10" ht="15.75">
      <c r="A34" s="62" t="s">
        <v>501</v>
      </c>
      <c r="B34" s="50" t="s">
        <v>519</v>
      </c>
      <c r="C34" s="50"/>
      <c r="D34" s="50"/>
      <c r="E34" s="50"/>
      <c r="F34" s="50"/>
      <c r="G34" s="68"/>
      <c r="H34" s="70" t="s">
        <v>477</v>
      </c>
      <c r="I34" s="50" t="s">
        <v>478</v>
      </c>
      <c r="J34" s="57">
        <f>ROUND(G32*J7,0)</f>
        <v>21474</v>
      </c>
    </row>
    <row r="35" spans="1:10" ht="15.75">
      <c r="A35" s="62"/>
      <c r="B35" s="62"/>
      <c r="C35" s="50"/>
      <c r="D35" s="50"/>
      <c r="E35" s="50"/>
      <c r="F35" s="50"/>
      <c r="G35" s="68"/>
      <c r="H35" s="70"/>
      <c r="I35" s="50"/>
      <c r="J35" s="61"/>
    </row>
    <row r="36" spans="1:10" ht="16.5" thickBot="1">
      <c r="A36" s="62" t="s">
        <v>502</v>
      </c>
      <c r="B36" s="58" t="s">
        <v>525</v>
      </c>
      <c r="C36" s="50"/>
      <c r="D36" s="50"/>
      <c r="E36" s="50"/>
      <c r="F36" s="50"/>
      <c r="G36" s="50"/>
      <c r="H36" s="50"/>
      <c r="I36" s="50" t="s">
        <v>478</v>
      </c>
      <c r="J36" s="71">
        <f>J7+J34</f>
        <v>4257760</v>
      </c>
    </row>
    <row r="37" spans="1:10" ht="16.5" thickTop="1">
      <c r="A37" s="50"/>
      <c r="B37" s="50"/>
      <c r="C37" s="50"/>
      <c r="D37" s="50"/>
      <c r="E37" s="50"/>
      <c r="F37" s="50"/>
      <c r="G37" s="50"/>
      <c r="H37" s="50"/>
      <c r="I37" s="50"/>
      <c r="J37" s="50"/>
    </row>
    <row r="38" spans="1:10" ht="15.75">
      <c r="A38" s="62" t="s">
        <v>523</v>
      </c>
      <c r="B38" s="58" t="str">
        <f>CONCATENATE("Debt Service in this ",J1," Budget")</f>
        <v>Debt Service in this 2012 Budget</v>
      </c>
      <c r="C38" s="50"/>
      <c r="D38" s="50"/>
      <c r="E38" s="50"/>
      <c r="F38" s="50"/>
      <c r="G38" s="50"/>
      <c r="H38" s="50"/>
      <c r="I38" s="50"/>
      <c r="J38" s="207">
        <f>'090'!E72</f>
        <v>0</v>
      </c>
    </row>
    <row r="39" spans="1:10" ht="15.75">
      <c r="A39" s="62"/>
      <c r="B39" s="58"/>
      <c r="C39" s="50"/>
      <c r="D39" s="50"/>
      <c r="E39" s="50"/>
      <c r="F39" s="50"/>
      <c r="G39" s="50"/>
      <c r="H39" s="50"/>
      <c r="I39" s="50"/>
      <c r="J39" s="68"/>
    </row>
    <row r="40" spans="1:10" ht="16.5" thickBot="1">
      <c r="A40" s="62" t="s">
        <v>524</v>
      </c>
      <c r="B40" s="58" t="s">
        <v>526</v>
      </c>
      <c r="C40" s="50"/>
      <c r="D40" s="50"/>
      <c r="E40" s="50"/>
      <c r="F40" s="50"/>
      <c r="G40" s="50"/>
      <c r="H40" s="50"/>
      <c r="I40" s="50"/>
      <c r="J40" s="71">
        <f>J36+J38</f>
        <v>4257760</v>
      </c>
    </row>
    <row r="41" spans="1:10" ht="16.5" thickTop="1">
      <c r="A41" s="50"/>
      <c r="B41" s="50"/>
      <c r="C41" s="50"/>
      <c r="D41" s="50"/>
      <c r="E41" s="50"/>
      <c r="F41" s="50"/>
      <c r="G41" s="50"/>
      <c r="H41" s="50"/>
      <c r="I41" s="50"/>
      <c r="J41" s="50"/>
    </row>
    <row r="42" spans="1:10" s="19" customFormat="1" ht="18.75">
      <c r="A42" s="450" t="str">
        <f>CONCATENATE("If the ",J1," budget includes tax levies exceeding the total on line 15, you must")</f>
        <v>If the 2012 budget includes tax levies exceeding the total on line 15, you must</v>
      </c>
      <c r="B42" s="450"/>
      <c r="C42" s="450"/>
      <c r="D42" s="450"/>
      <c r="E42" s="450"/>
      <c r="F42" s="450"/>
      <c r="G42" s="450"/>
      <c r="H42" s="450"/>
      <c r="I42" s="450"/>
      <c r="J42" s="450"/>
    </row>
    <row r="43" spans="1:10" s="19" customFormat="1" ht="18.75">
      <c r="A43" s="450" t="s">
        <v>607</v>
      </c>
      <c r="B43" s="450"/>
      <c r="C43" s="450"/>
      <c r="D43" s="450"/>
      <c r="E43" s="450"/>
      <c r="F43" s="450"/>
      <c r="G43" s="450"/>
      <c r="H43" s="450"/>
      <c r="I43" s="450"/>
      <c r="J43" s="450"/>
    </row>
    <row r="44" spans="1:10" s="19" customFormat="1" ht="18.75">
      <c r="A44" s="450" t="s">
        <v>608</v>
      </c>
      <c r="B44" s="450"/>
      <c r="C44" s="450"/>
      <c r="D44" s="450"/>
      <c r="E44" s="450"/>
      <c r="F44" s="450"/>
      <c r="G44" s="450"/>
      <c r="H44" s="450"/>
      <c r="I44" s="450"/>
      <c r="J44" s="450"/>
    </row>
  </sheetData>
  <sheetProtection sheet="1" objects="1" scenarios="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Coffeyville
</oddHeader>
    <oddFooter>&amp;Lrevised 8/06/07&amp;CPage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view="pageBreakPreview" zoomScaleSheetLayoutView="100" zoomScalePageLayoutView="0" workbookViewId="0" topLeftCell="A1">
      <selection activeCell="C7" sqref="C7"/>
    </sheetView>
  </sheetViews>
  <sheetFormatPr defaultColWidth="8.796875" defaultRowHeight="15"/>
  <cols>
    <col min="1" max="1" width="17.8984375" style="7" customWidth="1"/>
    <col min="2" max="2" width="16.09765625" style="7" customWidth="1"/>
    <col min="3" max="5" width="12.796875" style="7" customWidth="1"/>
    <col min="6" max="6" width="10.19921875" style="7" customWidth="1"/>
    <col min="7" max="16384" width="8.8984375" style="7" customWidth="1"/>
  </cols>
  <sheetData>
    <row r="1" spans="1:6" ht="15.75">
      <c r="A1" s="72" t="str">
        <f>inputPrYr!D2</f>
        <v>City of Coffeyville</v>
      </c>
      <c r="B1" s="72"/>
      <c r="C1" s="21"/>
      <c r="D1" s="21"/>
      <c r="E1" s="21"/>
      <c r="F1" s="21">
        <f>inputPrYr!C5</f>
        <v>2012</v>
      </c>
    </row>
    <row r="2" spans="1:6" ht="15.75">
      <c r="A2" s="21"/>
      <c r="B2" s="21"/>
      <c r="C2" s="21"/>
      <c r="D2" s="21"/>
      <c r="E2" s="21"/>
      <c r="F2" s="21"/>
    </row>
    <row r="3" spans="1:6" ht="15.75">
      <c r="A3" s="453" t="s">
        <v>690</v>
      </c>
      <c r="B3" s="453"/>
      <c r="C3" s="453"/>
      <c r="D3" s="453"/>
      <c r="E3" s="453"/>
      <c r="F3" s="21"/>
    </row>
    <row r="4" spans="1:6" ht="15.75">
      <c r="A4" s="21"/>
      <c r="B4" s="129"/>
      <c r="C4" s="129"/>
      <c r="D4" s="129"/>
      <c r="E4" s="21"/>
      <c r="F4" s="21"/>
    </row>
    <row r="5" spans="1:6" ht="21" customHeight="1">
      <c r="A5" s="76" t="s">
        <v>606</v>
      </c>
      <c r="B5" s="205" t="s">
        <v>605</v>
      </c>
      <c r="C5" s="454" t="str">
        <f>CONCATENATE("Allocation for Year ",F1,"")</f>
        <v>Allocation for Year 2012</v>
      </c>
      <c r="D5" s="455"/>
      <c r="E5" s="455"/>
      <c r="F5" s="456"/>
    </row>
    <row r="6" spans="1:6" ht="15.75">
      <c r="A6" s="80" t="str">
        <f>CONCATENATE("for ",F1-1,"")</f>
        <v>for 2011</v>
      </c>
      <c r="B6" s="80" t="str">
        <f>CONCATENATE("for ",F1-1,"")</f>
        <v>for 2011</v>
      </c>
      <c r="C6" s="36" t="s">
        <v>470</v>
      </c>
      <c r="D6" s="36" t="s">
        <v>471</v>
      </c>
      <c r="E6" s="36" t="s">
        <v>469</v>
      </c>
      <c r="F6" s="82" t="s">
        <v>575</v>
      </c>
    </row>
    <row r="7" spans="1:6" ht="15.75">
      <c r="A7" s="40" t="str">
        <f>(inputPrYr!B16)</f>
        <v>General</v>
      </c>
      <c r="B7" s="139">
        <f>(inputPrYr!D16)</f>
        <v>3905882</v>
      </c>
      <c r="C7" s="139">
        <f>IF(inputPrYr!D16=0,0,C21-SUM(C8:C18))</f>
        <v>196598.93</v>
      </c>
      <c r="D7" s="139">
        <f>IF(inputPrYr!D16=0,0,D22-SUM(D8:D18))</f>
        <v>1843.89</v>
      </c>
      <c r="E7" s="139">
        <f>IF(inputPrYr!D16=0,0,E23-SUM(E8:E18))</f>
        <v>2133.86</v>
      </c>
      <c r="F7" s="139">
        <f>IF(inputPrYr!D16=0,0,F24-SUM(F8:F18))</f>
        <v>0</v>
      </c>
    </row>
    <row r="8" spans="1:6" ht="15.75">
      <c r="A8" s="40" t="str">
        <f>IF(inputPrYr!$B17&gt;"  ",(inputPrYr!$B17),"  ")</f>
        <v>Bond &amp; Interest</v>
      </c>
      <c r="B8" s="139" t="str">
        <f>IF(inputPrYr!$D17&gt;0,(inputPrYr!$D17),"  ")</f>
        <v>  </v>
      </c>
      <c r="C8" s="139" t="str">
        <f>IF(inputPrYr!D17&gt;0,ROUND(B8*$C$25,0),"  ")</f>
        <v>  </v>
      </c>
      <c r="D8" s="139" t="str">
        <f>IF(inputPrYr!D17&gt;0,ROUND(+B8*D$26,0)," ")</f>
        <v> </v>
      </c>
      <c r="E8" s="139" t="str">
        <f>IF(inputPrYr!D17&gt;0,ROUND(B8*E$27,0)," ")</f>
        <v> </v>
      </c>
      <c r="F8" s="139" t="str">
        <f>IF(inputPrYr!D17&gt;0,ROUND(B8*F$28,0)," ")</f>
        <v> </v>
      </c>
    </row>
    <row r="9" spans="1:6" ht="15.75">
      <c r="A9" s="40" t="str">
        <f>IF(inputPrYr!$B19&gt;"  ",(inputPrYr!$B19),"  ")</f>
        <v>Library</v>
      </c>
      <c r="B9" s="139">
        <f>IF(inputPrYr!$D19&gt;0,(inputPrYr!$D19),"  ")</f>
        <v>330404</v>
      </c>
      <c r="C9" s="139">
        <f>IF(inputPrYr!D19&gt;0,ROUND(B9*$C$25,0),"  ")</f>
        <v>16631</v>
      </c>
      <c r="D9" s="139">
        <f>IF(inputPrYr!D19&gt;0,ROUND(+B9*D$26,0)," ")</f>
        <v>156</v>
      </c>
      <c r="E9" s="139">
        <f>IF(inputPrYr!D19&gt;0,ROUND(+B9*E$27,0)," ")</f>
        <v>181</v>
      </c>
      <c r="F9" s="139">
        <f>IF(inputPrYr!D19&gt;0,ROUND(+B9*F$28,0)," ")</f>
        <v>0</v>
      </c>
    </row>
    <row r="10" spans="1:6" ht="15.75">
      <c r="A10" s="40" t="str">
        <f>IF(inputPrYr!$B20&gt;"  ",(inputPrYr!$B20),"  ")</f>
        <v>Employee Benefits</v>
      </c>
      <c r="B10" s="139" t="str">
        <f>IF(inputPrYr!$D20&gt;0,(inputPrYr!$D20),"  ")</f>
        <v>  </v>
      </c>
      <c r="C10" s="139" t="str">
        <f>IF(inputPrYr!D20&gt;0,ROUND(B10*$C$25,0),"  ")</f>
        <v>  </v>
      </c>
      <c r="D10" s="139" t="str">
        <f>IF(inputPrYr!D20&gt;0,ROUND(+B10*D$26,0)," ")</f>
        <v> </v>
      </c>
      <c r="E10" s="139" t="str">
        <f>IF(inputPrYr!D20&gt;0,ROUND(+B10*E$27,0)," ")</f>
        <v> </v>
      </c>
      <c r="F10" s="139" t="str">
        <f>IF(inputPrYr!D20&gt;0,ROUND(+B10*F$28,0)," ")</f>
        <v> </v>
      </c>
    </row>
    <row r="11" spans="1:6" ht="15.75">
      <c r="A11" s="40" t="str">
        <f>IF(inputPrYr!$B21&gt;"  ",(inputPrYr!$B21),"  ")</f>
        <v>  </v>
      </c>
      <c r="B11" s="139" t="str">
        <f>IF(inputPrYr!$D21&gt;0,(inputPrYr!$D21),"  ")</f>
        <v>  </v>
      </c>
      <c r="C11" s="139" t="str">
        <f>IF(inputPrYr!D21&gt;0,ROUND(B11*$C$25,0),"  ")</f>
        <v>  </v>
      </c>
      <c r="D11" s="139" t="str">
        <f>IF(inputPrYr!D21&gt;0,ROUND(+B11*D$26,0)," ")</f>
        <v> </v>
      </c>
      <c r="E11" s="139" t="str">
        <f>IF(inputPrYr!D21&gt;0,ROUND(+B11*E$27,0)," ")</f>
        <v> </v>
      </c>
      <c r="F11" s="139" t="str">
        <f>IF(inputPrYr!D21&gt;0,ROUND(+B11*F$28,0)," ")</f>
        <v> </v>
      </c>
    </row>
    <row r="12" spans="1:6" ht="15.75">
      <c r="A12" s="40" t="str">
        <f>IF(inputPrYr!$B22&gt;"  ",(inputPrYr!$B22),"  ")</f>
        <v>  </v>
      </c>
      <c r="B12" s="139" t="str">
        <f>IF(inputPrYr!$D22&gt;0,(inputPrYr!$D22),"  ")</f>
        <v>  </v>
      </c>
      <c r="C12" s="139" t="str">
        <f>IF(inputPrYr!D22&gt;0,ROUND(B12*$C$25,0),"  ")</f>
        <v>  </v>
      </c>
      <c r="D12" s="139" t="str">
        <f>IF(inputPrYr!D22&gt;0,ROUND(+B12*D$26,0)," ")</f>
        <v> </v>
      </c>
      <c r="E12" s="139" t="str">
        <f>IF(inputPrYr!D22&gt;0,ROUND(+B12*E$27,0)," ")</f>
        <v> </v>
      </c>
      <c r="F12" s="139" t="str">
        <f>IF(inputPrYr!D22&gt;0,ROUND(+B12*F$28,0)," ")</f>
        <v> </v>
      </c>
    </row>
    <row r="13" spans="1:6" ht="15.75">
      <c r="A13" s="40" t="str">
        <f>IF(inputPrYr!$B23&gt;"  ",(inputPrYr!$B23),"  ")</f>
        <v>  </v>
      </c>
      <c r="B13" s="139" t="str">
        <f>IF(inputPrYr!$D23&gt;0,(inputPrYr!$D23),"  ")</f>
        <v>  </v>
      </c>
      <c r="C13" s="139" t="str">
        <f>IF(inputPrYr!D23&gt;0,ROUND(B13*$C$25,0),"  ")</f>
        <v>  </v>
      </c>
      <c r="D13" s="139" t="str">
        <f>IF(inputPrYr!D23&gt;0,ROUND(+B13*D$26,0)," ")</f>
        <v> </v>
      </c>
      <c r="E13" s="139" t="str">
        <f>IF(inputPrYr!D23&gt;0,ROUND(+B13*E$27,0)," ")</f>
        <v> </v>
      </c>
      <c r="F13" s="139" t="str">
        <f>IF(inputPrYr!D23&gt;0,ROUND(+B13*F$28,0)," ")</f>
        <v> </v>
      </c>
    </row>
    <row r="14" spans="1:6" ht="15.75">
      <c r="A14" s="40" t="str">
        <f>IF(inputPrYr!$B24&gt;"  ",(inputPrYr!$B24),"  ")</f>
        <v>  </v>
      </c>
      <c r="B14" s="139" t="str">
        <f>IF(inputPrYr!$D24&gt;0,(inputPrYr!$D24),"  ")</f>
        <v>  </v>
      </c>
      <c r="C14" s="139" t="str">
        <f>IF(inputPrYr!D24&gt;0,ROUND(B14*$C$25,0),"  ")</f>
        <v>  </v>
      </c>
      <c r="D14" s="139" t="str">
        <f>IF(inputPrYr!D24&gt;0,ROUND(+B14*D$26,0)," ")</f>
        <v> </v>
      </c>
      <c r="E14" s="139" t="str">
        <f>IF(inputPrYr!D24&gt;0,ROUND(+B14*E$27,0)," ")</f>
        <v> </v>
      </c>
      <c r="F14" s="139" t="str">
        <f>IF(inputPrYr!D24&gt;0,ROUND(+B14*F$28,0)," ")</f>
        <v> </v>
      </c>
    </row>
    <row r="15" spans="1:6" ht="15.75">
      <c r="A15" s="40" t="str">
        <f>IF(inputPrYr!$B25&gt;"  ",(inputPrYr!$B25),"  ")</f>
        <v>  </v>
      </c>
      <c r="B15" s="139" t="str">
        <f>IF(inputPrYr!$D25&gt;0,(inputPrYr!$D25),"  ")</f>
        <v>  </v>
      </c>
      <c r="C15" s="139" t="str">
        <f>IF(inputPrYr!D25&gt;0,ROUND(B15*$C$25,0),"  ")</f>
        <v>  </v>
      </c>
      <c r="D15" s="139" t="str">
        <f>IF(inputPrYr!D25&gt;0,ROUND(+B15*D$26,0)," ")</f>
        <v> </v>
      </c>
      <c r="E15" s="139" t="str">
        <f>IF(inputPrYr!D25&gt;0,ROUND(+B15*E$27,0)," ")</f>
        <v> </v>
      </c>
      <c r="F15" s="139" t="str">
        <f>IF(inputPrYr!D25&gt;0,ROUND(+B15*F$28,0)," ")</f>
        <v> </v>
      </c>
    </row>
    <row r="16" spans="1:6" ht="15.75">
      <c r="A16" s="40" t="str">
        <f>IF(inputPrYr!$B26&gt;"  ",(inputPrYr!$B26),"  ")</f>
        <v>  </v>
      </c>
      <c r="B16" s="139" t="str">
        <f>IF(inputPrYr!$D26&gt;0,(inputPrYr!$D26),"  ")</f>
        <v>  </v>
      </c>
      <c r="C16" s="139" t="str">
        <f>IF(inputPrYr!D26&gt;0,ROUND(B16*$C$25,0),"  ")</f>
        <v>  </v>
      </c>
      <c r="D16" s="139" t="str">
        <f>IF(inputPrYr!D26&gt;0,ROUND(+B16*D$26,0)," ")</f>
        <v> </v>
      </c>
      <c r="E16" s="139" t="str">
        <f>IF(inputPrYr!D26&gt;0,ROUND(+B16*E$27,0)," ")</f>
        <v> </v>
      </c>
      <c r="F16" s="139" t="str">
        <f>IF(inputPrYr!D26&gt;0,ROUND(+B16*F$28,0)," ")</f>
        <v> </v>
      </c>
    </row>
    <row r="17" spans="1:6" ht="15.75">
      <c r="A17" s="40" t="str">
        <f>IF(inputPrYr!$B27&gt;"  ",(inputPrYr!$B27),"  ")</f>
        <v>  </v>
      </c>
      <c r="B17" s="139" t="str">
        <f>IF(inputPrYr!$D27&gt;0,(inputPrYr!$D27),"  ")</f>
        <v>  </v>
      </c>
      <c r="C17" s="139" t="str">
        <f>IF(inputPrYr!D27&gt;0,ROUND(B17*$C$25,0),"  ")</f>
        <v>  </v>
      </c>
      <c r="D17" s="139" t="str">
        <f>IF(inputPrYr!D27&gt;0,ROUND(+B17*D$26,0)," ")</f>
        <v> </v>
      </c>
      <c r="E17" s="139" t="str">
        <f>IF(inputPrYr!D27&gt;0,ROUND(+B17*E$27,0)," ")</f>
        <v> </v>
      </c>
      <c r="F17" s="139" t="str">
        <f>IF(inputPrYr!D27&gt;0,ROUND(+B17*F$28,0)," ")</f>
        <v> </v>
      </c>
    </row>
    <row r="18" spans="1:6" ht="15.75">
      <c r="A18" s="40" t="str">
        <f>IF(inputPrYr!$B28&gt;"  ",(inputPrYr!$B28),"  ")</f>
        <v>  </v>
      </c>
      <c r="B18" s="139" t="str">
        <f>IF(inputPrYr!$D28&gt;0,(inputPrYr!$D28),"  ")</f>
        <v>  </v>
      </c>
      <c r="C18" s="139" t="str">
        <f>IF(inputPrYr!D28&gt;0,ROUND(B18*$C$25,0),"  ")</f>
        <v>  </v>
      </c>
      <c r="D18" s="139" t="str">
        <f>IF(inputPrYr!D28&gt;0,ROUND(+B18*D$26,0)," ")</f>
        <v> </v>
      </c>
      <c r="E18" s="139" t="str">
        <f>IF(inputPrYr!D28&gt;0,ROUND(+B18*E$27,0)," ")</f>
        <v> </v>
      </c>
      <c r="F18" s="139" t="str">
        <f>IF(inputPrYr!D28&gt;0,ROUND(+B18*F$28,0)," ")</f>
        <v> </v>
      </c>
    </row>
    <row r="19" spans="1:6" ht="16.5" thickBot="1">
      <c r="A19" s="21" t="s">
        <v>386</v>
      </c>
      <c r="B19" s="271">
        <f>SUM(B7:B18)</f>
        <v>4236286</v>
      </c>
      <c r="C19" s="271">
        <f>SUM(C7:C18)</f>
        <v>213229.93</v>
      </c>
      <c r="D19" s="271">
        <f>SUM(D7:D18)</f>
        <v>1999.89</v>
      </c>
      <c r="E19" s="271">
        <f>SUM(E7:E18)</f>
        <v>2314.86</v>
      </c>
      <c r="F19" s="362">
        <f>SUM(F7:F18)</f>
        <v>0</v>
      </c>
    </row>
    <row r="20" spans="1:6" ht="16.5" thickTop="1">
      <c r="A20" s="21"/>
      <c r="B20" s="137"/>
      <c r="C20" s="137"/>
      <c r="D20" s="137"/>
      <c r="E20" s="137"/>
      <c r="F20" s="21"/>
    </row>
    <row r="21" spans="1:6" ht="15.75">
      <c r="A21" s="25" t="s">
        <v>387</v>
      </c>
      <c r="B21" s="94"/>
      <c r="C21" s="74">
        <f>(inputOth!E37)</f>
        <v>213229.93</v>
      </c>
      <c r="D21" s="94"/>
      <c r="E21" s="21"/>
      <c r="F21" s="21"/>
    </row>
    <row r="22" spans="1:6" ht="15.75">
      <c r="A22" s="25" t="s">
        <v>388</v>
      </c>
      <c r="B22" s="21"/>
      <c r="C22" s="21"/>
      <c r="D22" s="74">
        <f>(inputOth!E38)</f>
        <v>1999.89</v>
      </c>
      <c r="E22" s="21"/>
      <c r="F22" s="21"/>
    </row>
    <row r="23" spans="1:6" ht="15.75">
      <c r="A23" s="25" t="s">
        <v>472</v>
      </c>
      <c r="B23" s="21"/>
      <c r="C23" s="21"/>
      <c r="D23" s="21"/>
      <c r="E23" s="74">
        <f>inputOth!E39</f>
        <v>2314.86</v>
      </c>
      <c r="F23" s="21"/>
    </row>
    <row r="24" spans="1:6" ht="15.75">
      <c r="A24" s="25" t="s">
        <v>686</v>
      </c>
      <c r="B24" s="21"/>
      <c r="C24" s="21"/>
      <c r="D24" s="21"/>
      <c r="E24" s="137"/>
      <c r="F24" s="60">
        <f>inputOth!E42</f>
        <v>0</v>
      </c>
    </row>
    <row r="25" spans="1:6" ht="15.75">
      <c r="A25" s="25" t="s">
        <v>389</v>
      </c>
      <c r="B25" s="21"/>
      <c r="C25" s="272">
        <f>IF(B19=0,0,C21/B19)</f>
        <v>0.050334167712000555</v>
      </c>
      <c r="D25" s="21"/>
      <c r="E25" s="21"/>
      <c r="F25" s="21"/>
    </row>
    <row r="26" spans="1:6" ht="15.75">
      <c r="A26" s="21"/>
      <c r="B26" s="25" t="s">
        <v>390</v>
      </c>
      <c r="C26" s="21"/>
      <c r="D26" s="272">
        <f>IF(B19=0,0,D22/B19)</f>
        <v>0.00047208569015406423</v>
      </c>
      <c r="E26" s="21"/>
      <c r="F26" s="21"/>
    </row>
    <row r="27" spans="1:6" ht="15.75">
      <c r="A27" s="21"/>
      <c r="B27" s="21"/>
      <c r="C27" s="25" t="s">
        <v>473</v>
      </c>
      <c r="D27" s="21"/>
      <c r="E27" s="272">
        <f>IF(B19=0,0,E23/B19)</f>
        <v>0.0005464361943457076</v>
      </c>
      <c r="F27" s="21"/>
    </row>
    <row r="28" spans="1:6" ht="15.75">
      <c r="A28" s="21"/>
      <c r="B28" s="21"/>
      <c r="C28" s="21"/>
      <c r="D28" s="21" t="s">
        <v>687</v>
      </c>
      <c r="E28" s="21"/>
      <c r="F28" s="272">
        <f>IF(B19=0,0,F24/B19)</f>
        <v>0</v>
      </c>
    </row>
    <row r="29" spans="1:6" ht="15.75">
      <c r="A29" s="168"/>
      <c r="B29" s="168"/>
      <c r="C29" s="168"/>
      <c r="D29" s="168"/>
      <c r="E29" s="168"/>
      <c r="F29" s="168"/>
    </row>
  </sheetData>
  <sheetProtection/>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Coffeyville
</oddHeader>
    <oddFooter>&amp;Lrevised 8/06/07&amp;CPage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2011-08-19T18:10:05Z</cp:lastPrinted>
  <dcterms:created xsi:type="dcterms:W3CDTF">1999-08-03T13:11:47Z</dcterms:created>
  <dcterms:modified xsi:type="dcterms:W3CDTF">2014-02-03T21:23:26Z</dcterms:modified>
  <cp:category/>
  <cp:version/>
  <cp:contentType/>
  <cp:contentStatus/>
</cp:coreProperties>
</file>