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60" windowHeight="864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LIB-PARK" sheetId="13" r:id="rId13"/>
    <sheet name="SP HWY-WATER" sheetId="14" r:id="rId14"/>
    <sheet name="AMB-SEWER" sheetId="15" r:id="rId15"/>
    <sheet name="SPEC FIRE EQUIP" sheetId="16" r:id="rId16"/>
    <sheet name="NonBudA" sheetId="17" r:id="rId17"/>
    <sheet name="NonBudB" sheetId="18" r:id="rId18"/>
    <sheet name="NonBudFunds"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'general'!$B$1:$E$57</definedName>
    <definedName name="_xlnm.Print_Area" localSheetId="1">'inputPrYr'!$A$1:$E$118</definedName>
    <definedName name="_xlnm.Print_Area" localSheetId="0">'Instructions'!$A$1:$A$96</definedName>
    <definedName name="_xlnm.Print_Area" localSheetId="10">'lpform'!$A$1:$H$38</definedName>
    <definedName name="_xlnm.Print_Area" localSheetId="27">'Mill Rate Computation'!$B$4:$K$149</definedName>
    <definedName name="_xlnm.Print_Area" localSheetId="19">'summ'!$A$2:$H$44</definedName>
  </definedNames>
  <calcPr fullCalcOnLoad="1"/>
</workbook>
</file>

<file path=xl/sharedStrings.xml><?xml version="1.0" encoding="utf-8"?>
<sst xmlns="http://schemas.openxmlformats.org/spreadsheetml/2006/main" count="1426" uniqueCount="930">
  <si>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</si>
  <si>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</si>
  <si>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</si>
  <si>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</si>
  <si>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</si>
  <si>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</si>
  <si>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</si>
  <si>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</si>
  <si>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</si>
  <si>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</si>
  <si>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</si>
  <si>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</si>
  <si>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</si>
  <si>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</si>
  <si>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</si>
  <si>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</si>
  <si>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</si>
  <si>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</si>
  <si>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</si>
  <si>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</si>
  <si>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</si>
  <si>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</si>
  <si>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</si>
  <si>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</si>
  <si>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</si>
  <si>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</si>
  <si>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</si>
  <si>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</si>
  <si>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</si>
  <si>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</si>
  <si>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</si>
  <si>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</si>
  <si>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</si>
  <si>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</si>
  <si>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</si>
  <si>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</si>
  <si>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</si>
  <si>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</si>
  <si>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</si>
  <si>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</si>
  <si>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</si>
  <si>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</si>
  <si>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</si>
  <si>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</si>
  <si>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</si>
  <si>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</si>
  <si>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</si>
  <si>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</si>
  <si>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</si>
  <si>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</si>
  <si>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</si>
  <si>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</si>
  <si>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</si>
  <si>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</si>
  <si>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</si>
  <si>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</si>
  <si>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</si>
  <si>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</si>
  <si>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</si>
  <si>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</si>
  <si>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</si>
  <si>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</si>
  <si>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</si>
  <si>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</si>
  <si>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</si>
  <si>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</si>
  <si>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</si>
  <si>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</si>
  <si>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</si>
  <si>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</si>
  <si>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</si>
  <si>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</si>
  <si>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</si>
  <si>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</si>
  <si>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</si>
  <si>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</si>
  <si>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</si>
  <si>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</si>
  <si>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</si>
  <si>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</si>
  <si>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</si>
  <si>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</si>
  <si>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</si>
  <si>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</si>
  <si>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</si>
  <si>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</si>
  <si>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</si>
  <si>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</si>
  <si>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</si>
  <si>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</si>
  <si>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</si>
  <si>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</si>
  <si>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</si>
  <si>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</si>
  <si>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</si>
  <si>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</si>
  <si>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</si>
  <si>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</si>
  <si>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</si>
  <si>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</si>
  <si>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</si>
  <si>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</si>
  <si>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</si>
  <si>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</si>
  <si>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</si>
  <si>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</si>
  <si>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</si>
  <si>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</si>
  <si>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</si>
  <si>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</si>
  <si>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</si>
  <si>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</si>
  <si>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</si>
  <si>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</si>
  <si>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</si>
  <si>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</si>
  <si>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</si>
  <si>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</si>
  <si>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</si>
  <si>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</si>
  <si>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</si>
  <si>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</si>
  <si>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</si>
  <si>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</si>
  <si>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</si>
  <si>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</si>
  <si>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</si>
  <si>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</si>
  <si>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</si>
  <si>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</si>
  <si>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</si>
  <si>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</si>
  <si>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</si>
  <si>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</si>
  <si>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</si>
  <si>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</si>
  <si>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</si>
  <si>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</si>
  <si>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</si>
  <si>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</si>
  <si>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</si>
  <si>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</si>
  <si>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</si>
  <si>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</si>
  <si>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</si>
  <si>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</si>
  <si>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</si>
  <si>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</si>
  <si>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</si>
  <si>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</si>
  <si>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</si>
  <si>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</si>
  <si>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</si>
  <si>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</si>
  <si>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</si>
  <si>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</si>
  <si>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</si>
  <si>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</si>
  <si>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</si>
  <si>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</si>
  <si>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</si>
  <si>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</si>
  <si>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</si>
  <si>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</si>
  <si>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</si>
  <si>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ORDINANCE # 427</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</si>
  <si>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</si>
  <si>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</si>
  <si>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</si>
  <si>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</si>
  <si>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</si>
  <si>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</si>
  <si>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</si>
  <si>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</si>
  <si>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</si>
  <si>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</si>
  <si>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</si>
  <si>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</si>
  <si>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</si>
  <si>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</si>
  <si>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</si>
  <si>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</si>
  <si>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</si>
  <si>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</si>
  <si>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</si>
  <si>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r>
      <t>3a. Made the total expenditures block for the actual and current year to turn '</t>
    </r>
    <r>
      <rPr>
        <sz val="12"/>
        <color indexed="10"/>
        <rFont val="Times New Roman"/>
        <family val="1"/>
      </rPr>
      <t>Red</t>
    </r>
    <r>
      <rPr>
        <sz val="12"/>
        <rFont val="Times New Roman"/>
        <family val="1"/>
      </rPr>
      <t>' if violation occurs.</t>
    </r>
  </si>
  <si>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</si>
  <si>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</si>
  <si>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</si>
  <si>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</si>
  <si>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</si>
  <si>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</si>
  <si>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</si>
  <si>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</si>
  <si>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</si>
  <si>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</si>
  <si>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</si>
  <si>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</si>
  <si>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</si>
  <si>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</si>
  <si>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</si>
  <si>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</si>
  <si>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</si>
  <si>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</si>
  <si>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</si>
  <si>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</si>
  <si>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</si>
  <si>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</si>
  <si>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</si>
  <si>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</si>
  <si>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</si>
  <si>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</si>
  <si>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</si>
  <si>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</si>
  <si>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</si>
  <si>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</si>
  <si>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</si>
  <si>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</si>
  <si>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</si>
  <si>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</si>
  <si>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</si>
  <si>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</si>
  <si>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</si>
  <si>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</si>
  <si>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</si>
  <si>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</si>
  <si>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</si>
  <si>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</si>
  <si>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</si>
  <si>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</si>
  <si>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</si>
  <si>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</si>
  <si>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</si>
  <si>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</si>
  <si>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</si>
  <si>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</si>
  <si>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</si>
  <si>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</si>
  <si>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</si>
  <si>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</si>
  <si>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</si>
  <si>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</si>
  <si>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</si>
  <si>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</si>
  <si>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</si>
  <si>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</si>
  <si>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</si>
  <si>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</si>
  <si>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</si>
  <si>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</si>
  <si>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</si>
  <si>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</si>
  <si>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</si>
  <si>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</si>
  <si>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</si>
  <si>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</si>
  <si>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</si>
  <si>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</si>
  <si>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</si>
  <si>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</si>
  <si>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</si>
  <si>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</si>
  <si>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</si>
  <si>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</si>
  <si>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</si>
  <si>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</si>
  <si>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</si>
  <si>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</si>
  <si>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</si>
  <si>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</si>
  <si>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</si>
  <si>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</si>
  <si>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Total Expenditures</t>
  </si>
  <si>
    <t>Tax Required</t>
  </si>
  <si>
    <t>%</t>
  </si>
  <si>
    <t>Page No.</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</si>
  <si>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</si>
  <si>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</si>
  <si>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</si>
  <si>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</si>
  <si>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</si>
  <si>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</si>
  <si>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</si>
  <si>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</si>
  <si>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</si>
  <si>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</si>
  <si>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</si>
  <si>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</si>
  <si>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</si>
  <si>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</si>
  <si>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</si>
  <si>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</si>
  <si>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</si>
  <si>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</si>
  <si>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</si>
  <si>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</si>
  <si>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</si>
  <si>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</si>
  <si>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</si>
  <si>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</si>
  <si>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</si>
  <si>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</si>
  <si>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</si>
  <si>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</si>
  <si>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</si>
  <si>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</si>
  <si>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</si>
  <si>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</si>
  <si>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</si>
  <si>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</si>
  <si>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</si>
  <si>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</si>
  <si>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</si>
  <si>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</si>
  <si>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</si>
  <si>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</si>
  <si>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</si>
  <si>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</si>
  <si>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</si>
  <si>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</si>
  <si>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</si>
  <si>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</si>
  <si>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</si>
  <si>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</si>
  <si>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</si>
  <si>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</si>
  <si>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</si>
  <si>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</si>
  <si>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</si>
  <si>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</si>
  <si>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</si>
  <si>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</si>
  <si>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</si>
  <si>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</si>
  <si>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</si>
  <si>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</si>
  <si>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</si>
  <si>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</si>
  <si>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</si>
  <si>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</si>
  <si>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</si>
  <si>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</si>
  <si>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</si>
  <si>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</si>
  <si>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</si>
  <si>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</si>
  <si>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</si>
  <si>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</si>
  <si>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</si>
  <si>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</si>
  <si>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</si>
  <si>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</si>
  <si>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</si>
  <si>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</si>
  <si>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</si>
  <si>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</si>
  <si>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</si>
  <si>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</si>
  <si>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</si>
  <si>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</si>
  <si>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</si>
  <si>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</si>
  <si>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</si>
  <si>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</si>
  <si>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</si>
  <si>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</si>
  <si>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</si>
  <si>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</si>
  <si>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</si>
  <si>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</si>
  <si>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</si>
  <si>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</si>
  <si>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</si>
  <si>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</si>
  <si>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</si>
  <si>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</si>
  <si>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</si>
  <si>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</si>
  <si>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</si>
  <si>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</si>
  <si>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</si>
  <si>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</si>
  <si>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</si>
  <si>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</si>
  <si>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</si>
  <si>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</si>
  <si>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</si>
  <si>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</si>
  <si>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</si>
  <si>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</si>
  <si>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</si>
  <si>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</si>
  <si>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</si>
  <si>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</si>
  <si>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</si>
  <si>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</si>
  <si>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7a</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</si>
  <si>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</si>
  <si>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</si>
  <si>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</si>
  <si>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</si>
  <si>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</si>
  <si>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</si>
  <si>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</si>
  <si>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</si>
  <si>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</si>
  <si>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</si>
  <si>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</si>
  <si>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</si>
  <si>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</si>
  <si>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</si>
  <si>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</si>
  <si>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</si>
  <si>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</si>
  <si>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</si>
  <si>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</si>
  <si>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</si>
  <si>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</si>
  <si>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</si>
  <si>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</si>
  <si>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</si>
  <si>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</si>
  <si>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</si>
  <si>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</si>
  <si>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</si>
  <si>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</si>
  <si>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</si>
  <si>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</si>
  <si>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</si>
  <si>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</si>
  <si>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</si>
  <si>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</si>
  <si>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</si>
  <si>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</si>
  <si>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</si>
  <si>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</si>
  <si>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</si>
  <si>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</si>
  <si>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</si>
  <si>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</si>
  <si>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</si>
  <si>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</si>
  <si>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</si>
  <si>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</si>
  <si>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</si>
  <si>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</si>
  <si>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</si>
  <si>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</si>
  <si>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</si>
  <si>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</si>
  <si>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</si>
  <si>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</si>
  <si>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</si>
  <si>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</si>
  <si>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</si>
  <si>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</si>
  <si>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</si>
  <si>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</si>
  <si>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</si>
  <si>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</si>
  <si>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</si>
  <si>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</si>
  <si>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</si>
  <si>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</si>
  <si>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</si>
  <si>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</si>
  <si>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</si>
  <si>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</si>
  <si>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</si>
  <si>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</si>
  <si>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</si>
  <si>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</si>
  <si>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</si>
  <si>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</si>
  <si>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</si>
  <si>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</si>
  <si>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</si>
  <si>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</si>
  <si>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</si>
  <si>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</si>
  <si>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</si>
  <si>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</si>
  <si>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</si>
  <si>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</si>
  <si>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</si>
  <si>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</si>
  <si>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</si>
  <si>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</si>
  <si>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</si>
  <si>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</si>
  <si>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</si>
  <si>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</si>
  <si>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</si>
  <si>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</si>
  <si>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</si>
  <si>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</si>
  <si>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</si>
  <si>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</si>
  <si>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</si>
  <si>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</si>
  <si>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</si>
  <si>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</si>
  <si>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</si>
  <si>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</si>
  <si>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</si>
  <si>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</si>
  <si>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</si>
  <si>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</si>
  <si>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</si>
  <si>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</si>
  <si>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</si>
  <si>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</si>
  <si>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</si>
  <si>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</si>
  <si>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</si>
  <si>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</si>
  <si>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</si>
  <si>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</si>
  <si>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</si>
  <si>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</si>
  <si>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</si>
  <si>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</si>
  <si>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</si>
  <si>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</si>
  <si>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</si>
  <si>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</si>
  <si>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</si>
  <si>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</si>
  <si>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</si>
  <si>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</si>
  <si>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</si>
  <si>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</si>
  <si>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</si>
  <si>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</si>
  <si>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</si>
  <si>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</si>
  <si>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</si>
  <si>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</si>
  <si>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</si>
  <si>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</si>
  <si>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</si>
  <si>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</si>
  <si>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</si>
  <si>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</si>
  <si>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</si>
  <si>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</si>
  <si>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</si>
  <si>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</si>
  <si>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</si>
  <si>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</si>
  <si>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</si>
  <si>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</si>
  <si>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</si>
  <si>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</si>
  <si>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</si>
  <si>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</si>
  <si>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</si>
  <si>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</si>
  <si>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</si>
  <si>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</si>
  <si>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</si>
  <si>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</si>
  <si>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</si>
  <si>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</si>
  <si>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</si>
  <si>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</si>
  <si>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</si>
  <si>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</si>
  <si>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</si>
  <si>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</si>
  <si>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</si>
  <si>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</si>
  <si>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</si>
  <si>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</si>
  <si>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</si>
  <si>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</si>
  <si>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</si>
  <si>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</si>
  <si>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</si>
  <si>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</si>
  <si>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</si>
  <si>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</si>
  <si>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</si>
  <si>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</si>
  <si>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</si>
  <si>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</si>
  <si>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</si>
  <si>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</si>
  <si>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</si>
  <si>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</si>
  <si>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</si>
  <si>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</si>
  <si>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</si>
  <si>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</si>
  <si>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</si>
  <si>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</si>
  <si>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</si>
  <si>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</si>
  <si>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</si>
  <si>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</si>
  <si>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</si>
  <si>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</si>
  <si>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</si>
  <si>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</si>
  <si>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</si>
  <si>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</si>
  <si>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</si>
  <si>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</si>
  <si>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</si>
  <si>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</si>
  <si>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</si>
  <si>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</si>
  <si>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</si>
  <si>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Change in Ad Valorem Tax Revenue:</t>
  </si>
  <si>
    <t>What Mill Rate Would Be Desired?</t>
  </si>
  <si>
    <t>2012 Ad Valorem Tax:</t>
  </si>
  <si>
    <t>Local Sales Tax</t>
  </si>
  <si>
    <t>Franchise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</si>
  <si>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</si>
  <si>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</si>
  <si>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</si>
  <si>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</si>
  <si>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</si>
  <si>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</si>
  <si>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</si>
  <si>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</si>
  <si>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</si>
  <si>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</si>
  <si>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</si>
  <si>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</si>
  <si>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</si>
  <si>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</si>
  <si>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</si>
  <si>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</si>
  <si>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</si>
  <si>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</si>
  <si>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</si>
  <si>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</si>
  <si>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</si>
  <si>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</si>
  <si>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</si>
  <si>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</si>
  <si>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</si>
  <si>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</si>
  <si>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</si>
  <si>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</si>
  <si>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</si>
  <si>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</si>
  <si>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</si>
  <si>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</si>
  <si>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</si>
  <si>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</si>
  <si>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</si>
  <si>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</si>
  <si>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</si>
  <si>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</si>
  <si>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</si>
  <si>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</si>
  <si>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</si>
  <si>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</si>
  <si>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</si>
  <si>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</si>
  <si>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</si>
  <si>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</si>
  <si>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</si>
  <si>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</si>
  <si>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</si>
  <si>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</si>
  <si>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</si>
  <si>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CITY OF CLIFTON</t>
  </si>
  <si>
    <t>CLAY/WASHINGTON</t>
  </si>
  <si>
    <t>Spec. Park &amp; Rec</t>
  </si>
  <si>
    <t>Library</t>
  </si>
  <si>
    <t>Water</t>
  </si>
  <si>
    <t>Ambulance</t>
  </si>
  <si>
    <t>Sewer Service</t>
  </si>
  <si>
    <t>Special Fire Equipment</t>
  </si>
  <si>
    <t>Capital Reserve</t>
  </si>
  <si>
    <t>Ambulance Reserve</t>
  </si>
  <si>
    <t>Park Trust/Pool Memorial</t>
  </si>
  <si>
    <t>Sewer Replacement</t>
  </si>
  <si>
    <t>Playground Fund</t>
  </si>
  <si>
    <t>Spec Highway</t>
  </si>
  <si>
    <t>Spec Fire Equip</t>
  </si>
  <si>
    <t>Capital Outlay</t>
  </si>
  <si>
    <t>Sewer</t>
  </si>
  <si>
    <t>Equipment Reserve</t>
  </si>
  <si>
    <t>12-1,118</t>
  </si>
  <si>
    <t>12-825d</t>
  </si>
  <si>
    <t>NONE</t>
  </si>
  <si>
    <t>ME Tax Reduction</t>
  </si>
  <si>
    <t>Trash Service</t>
  </si>
  <si>
    <t>Rent, Dog Tags, Court Fines, CMB License</t>
  </si>
  <si>
    <t>FEMA Payments</t>
  </si>
  <si>
    <t>Pool Income</t>
  </si>
  <si>
    <t>Insurance Dividend &amp; Overpayments</t>
  </si>
  <si>
    <t>Twin Valley Donation</t>
  </si>
  <si>
    <t>Reimburseable Inc-Fireworks &amp; Sprinkler</t>
  </si>
  <si>
    <t>Brick Donation</t>
  </si>
  <si>
    <t>Misc</t>
  </si>
  <si>
    <t>12-1,117</t>
  </si>
  <si>
    <t>POOL - Payroll</t>
  </si>
  <si>
    <t>STREET &amp; ALLEY - Payroll</t>
  </si>
  <si>
    <t>FIRE - Supplies, Maintenance, Repairs, Fuel</t>
  </si>
  <si>
    <t>EMPLOYEE BENEFITS</t>
  </si>
  <si>
    <t>STREET LIGHTING</t>
  </si>
  <si>
    <t>TRASH SERVICE</t>
  </si>
  <si>
    <t>REIMBURSEABLE EXPENSE</t>
  </si>
  <si>
    <t>TRANSFER TO CAPITAL OUTLAY</t>
  </si>
  <si>
    <t>GENERAL - Payroll</t>
  </si>
  <si>
    <t xml:space="preserve">     - Repairs, Office Supplies,. Legal, Insurance</t>
  </si>
  <si>
    <t xml:space="preserve">     - Utilities</t>
  </si>
  <si>
    <t xml:space="preserve">     - Utilities, Maintenance, Repairs</t>
  </si>
  <si>
    <t xml:space="preserve">     - Repairs, Maintenance, Fuel, Insurance</t>
  </si>
  <si>
    <t xml:space="preserve">     - New Equipment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</si>
  <si>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</si>
  <si>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</si>
  <si>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</si>
  <si>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</si>
  <si>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</si>
  <si>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</si>
  <si>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</si>
  <si>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</si>
  <si>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</si>
  <si>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</si>
  <si>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</si>
  <si>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</si>
  <si>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August 29, 2011</t>
  </si>
  <si>
    <t>7:00 p.m.</t>
  </si>
  <si>
    <t>Clifton City Hall</t>
  </si>
  <si>
    <t>yes</t>
  </si>
  <si>
    <t>12-1220</t>
  </si>
  <si>
    <t>LIBRARY</t>
  </si>
  <si>
    <t>SPEC. PARKS &amp; REC</t>
  </si>
  <si>
    <t>Library Board Appropriations</t>
  </si>
  <si>
    <t xml:space="preserve">Neighborhood Revitalization </t>
  </si>
  <si>
    <t>Park Rent</t>
  </si>
  <si>
    <t>Payroll</t>
  </si>
  <si>
    <t>Repairs &amp; Insurance &amp; Fuel</t>
  </si>
  <si>
    <t>Utilities</t>
  </si>
  <si>
    <t>SPEC HIGHWAY &amp; LINK</t>
  </si>
  <si>
    <t>LINK</t>
  </si>
  <si>
    <t>Maintenance, Repairs</t>
  </si>
  <si>
    <t>Sealing Streets</t>
  </si>
  <si>
    <t>Fuel</t>
  </si>
  <si>
    <t>LINK - Material</t>
  </si>
  <si>
    <t>Charges to Customers</t>
  </si>
  <si>
    <t>Repairs, Maintenance, Fuel, Testing</t>
  </si>
  <si>
    <t>Schooling</t>
  </si>
  <si>
    <t>Sales Tax/W-P Tax</t>
  </si>
  <si>
    <t>Transfer to Capital Outlay</t>
  </si>
  <si>
    <t>Transfer to Equipment Reserve</t>
  </si>
  <si>
    <t>Insurance</t>
  </si>
  <si>
    <t>Coin Operated Water Salesman</t>
  </si>
  <si>
    <t>Insurance Payments</t>
  </si>
  <si>
    <t>Washington County payments</t>
  </si>
  <si>
    <t>Clay County payments</t>
  </si>
  <si>
    <t>Volunteer Hours</t>
  </si>
  <si>
    <t>Maintenance, Repairs, Fuel</t>
  </si>
  <si>
    <t>Schooling &amp; Recertification</t>
  </si>
  <si>
    <t>Lease Payment</t>
  </si>
  <si>
    <t>Contract Ambulance Billing</t>
  </si>
  <si>
    <t>Housing Expense - Utilities</t>
  </si>
  <si>
    <t>Transfer to Sewer Replacement Fund</t>
  </si>
  <si>
    <t>Rural Fire Contracts</t>
  </si>
  <si>
    <t>Repairs</t>
  </si>
  <si>
    <t>POOL MEMORIAL</t>
  </si>
  <si>
    <t>EQUIPMENT RESERVE</t>
  </si>
  <si>
    <t>ENERGY MGMT GRANT</t>
  </si>
  <si>
    <t>from Sewer</t>
  </si>
  <si>
    <t>from Water</t>
  </si>
  <si>
    <t>from Ambulance</t>
  </si>
  <si>
    <t>KS Energy Office</t>
  </si>
  <si>
    <t>GRANT</t>
  </si>
  <si>
    <t>Salary &amp; Expenses</t>
  </si>
  <si>
    <t>Tractor</t>
  </si>
  <si>
    <t>Donations &amp; Mem</t>
  </si>
  <si>
    <t>Park Trust</t>
  </si>
  <si>
    <t>Sales of Books</t>
  </si>
  <si>
    <t>Donation for Sprinkler</t>
  </si>
  <si>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</si>
  <si>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</si>
  <si>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</si>
  <si>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</si>
  <si>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</si>
  <si>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</si>
  <si>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</si>
  <si>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</si>
  <si>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</si>
  <si>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</si>
  <si>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</si>
  <si>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</si>
  <si>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</si>
  <si>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</si>
  <si>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</si>
  <si>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</si>
  <si>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</si>
  <si>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</si>
  <si>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</si>
  <si>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</si>
  <si>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</si>
  <si>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</si>
  <si>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</si>
  <si>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</si>
  <si>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</si>
  <si>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</si>
  <si>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</si>
  <si>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</si>
  <si>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</si>
  <si>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</si>
  <si>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We, the undersigned, officers of</t>
  </si>
  <si>
    <t>Non-Appropriated Balance</t>
  </si>
  <si>
    <t>Total Expenditure/Non-Appr Balance</t>
  </si>
  <si>
    <t>Delinquent Comp Rate:</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</si>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</sst>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7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44">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1" fontId="5" fillId="34" borderId="13" xfId="0" applyNumberFormat="1" applyFont="1" applyFill="1" applyBorder="1" applyAlignment="1" applyProtection="1">
      <alignment horizontal="center" vertical="center"/>
      <protection/>
    </xf>
    <xf numFmtId="0" fontId="5" fillId="33" borderId="0" xfId="0"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3"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4" fillId="34" borderId="21" xfId="0" applyFont="1" applyFill="1" applyBorder="1" applyAlignment="1">
      <alignment vertical="center"/>
    </xf>
    <xf numFmtId="3" fontId="14" fillId="33" borderId="12" xfId="0" applyNumberFormat="1" applyFont="1" applyFill="1" applyBorder="1" applyAlignment="1" applyProtection="1">
      <alignment horizontal="center" vertical="center"/>
      <protection locked="0"/>
    </xf>
    <xf numFmtId="0" fontId="14" fillId="34" borderId="10" xfId="0" applyFont="1" applyFill="1" applyBorder="1" applyAlignment="1">
      <alignment vertical="center"/>
    </xf>
    <xf numFmtId="3" fontId="14" fillId="39" borderId="12"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2"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4" xfId="0" applyFont="1" applyFill="1" applyBorder="1" applyAlignment="1" applyProtection="1">
      <alignment vertical="center"/>
      <protection locked="0"/>
    </xf>
    <xf numFmtId="3" fontId="14" fillId="33" borderId="26" xfId="0" applyNumberFormat="1" applyFont="1" applyFill="1" applyBorder="1" applyAlignment="1" applyProtection="1">
      <alignment horizontal="center" vertical="center"/>
      <protection locked="0"/>
    </xf>
    <xf numFmtId="0" fontId="14" fillId="33" borderId="26" xfId="0" applyFont="1" applyFill="1" applyBorder="1" applyAlignment="1" applyProtection="1">
      <alignment vertical="center"/>
      <protection locked="0"/>
    </xf>
    <xf numFmtId="0" fontId="14" fillId="39" borderId="12" xfId="0" applyFont="1" applyFill="1" applyBorder="1" applyAlignment="1">
      <alignment horizontal="center" vertical="center"/>
    </xf>
    <xf numFmtId="0" fontId="14" fillId="39" borderId="14" xfId="0" applyFont="1" applyFill="1" applyBorder="1" applyAlignment="1">
      <alignment horizontal="center" vertical="center"/>
    </xf>
    <xf numFmtId="3" fontId="14" fillId="33" borderId="14"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40" borderId="12"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29" fillId="0" borderId="0" xfId="344">
      <alignment/>
      <protection/>
    </xf>
    <xf numFmtId="0" fontId="5" fillId="0" borderId="0" xfId="344" applyFont="1" applyAlignment="1">
      <alignment horizontal="left" vertical="center"/>
      <protection/>
    </xf>
    <xf numFmtId="0" fontId="29" fillId="0" borderId="0" xfId="344" applyNumberFormat="1" applyFont="1" applyAlignment="1">
      <alignment horizontal="left" vertical="center"/>
      <protection/>
    </xf>
    <xf numFmtId="49" fontId="5" fillId="33" borderId="0" xfId="344" applyNumberFormat="1" applyFont="1" applyFill="1" applyAlignment="1" applyProtection="1">
      <alignment horizontal="left" vertical="center"/>
      <protection locked="0"/>
    </xf>
    <xf numFmtId="187" fontId="14"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4" fillId="0" borderId="0" xfId="344" applyFont="1" applyAlignment="1">
      <alignment horizontal="left" vertical="center"/>
      <protection/>
    </xf>
    <xf numFmtId="188" fontId="14" fillId="0" borderId="0" xfId="344" applyNumberFormat="1" applyFont="1" applyAlignment="1">
      <alignment horizontal="left" vertical="center"/>
      <protection/>
    </xf>
    <xf numFmtId="0" fontId="5" fillId="33" borderId="0" xfId="344" applyFont="1" applyFill="1" applyAlignment="1" applyProtection="1">
      <alignment horizontal="left" vertical="center"/>
      <protection locked="0"/>
    </xf>
    <xf numFmtId="0" fontId="29" fillId="33" borderId="0" xfId="344" applyFill="1" applyAlignment="1" applyProtection="1">
      <alignment horizontal="lef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40"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4" xfId="0" applyNumberFormat="1" applyFont="1" applyFill="1" applyBorder="1" applyAlignment="1" applyProtection="1">
      <alignment vertical="center"/>
      <protection/>
    </xf>
    <xf numFmtId="37" fontId="17"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2"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7" fillId="34" borderId="0" xfId="0" applyFont="1" applyFill="1" applyBorder="1" applyAlignment="1" applyProtection="1">
      <alignment horizontal="center" vertical="center"/>
      <protection/>
    </xf>
    <xf numFmtId="177" fontId="5" fillId="34" borderId="10" xfId="42" applyNumberFormat="1" applyFont="1" applyFill="1" applyBorder="1" applyAlignment="1" applyProtection="1">
      <alignment vertical="center"/>
      <protection locked="0"/>
    </xf>
    <xf numFmtId="3" fontId="5" fillId="39"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4"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49" fontId="5" fillId="34" borderId="0" xfId="0" applyNumberFormat="1" applyFont="1" applyFill="1" applyAlignment="1" applyProtection="1">
      <alignment horizontal="left" vertical="center"/>
      <protection/>
    </xf>
    <xf numFmtId="0" fontId="0" fillId="34"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34" borderId="0" xfId="79" applyFont="1" applyFill="1" applyBorder="1" applyAlignment="1" applyProtection="1">
      <alignment vertical="center"/>
      <protection locked="0"/>
    </xf>
    <xf numFmtId="0" fontId="5" fillId="34" borderId="0" xfId="79" applyFont="1" applyFill="1" applyBorder="1" applyAlignment="1" applyProtection="1">
      <alignment vertical="center"/>
      <protection/>
    </xf>
    <xf numFmtId="0" fontId="32" fillId="34" borderId="0" xfId="79" applyFont="1" applyFill="1" applyBorder="1" applyAlignment="1" applyProtection="1">
      <alignment vertical="center"/>
      <protection locked="0"/>
    </xf>
    <xf numFmtId="0" fontId="32" fillId="40" borderId="10" xfId="79" applyFont="1" applyFill="1" applyBorder="1" applyAlignment="1" applyProtection="1">
      <alignment vertical="center"/>
      <protection locked="0"/>
    </xf>
    <xf numFmtId="0" fontId="5" fillId="40" borderId="10" xfId="79" applyFont="1" applyFill="1" applyBorder="1" applyAlignment="1" applyProtection="1">
      <alignment vertical="center"/>
      <protection locked="0"/>
    </xf>
    <xf numFmtId="0" fontId="34" fillId="40" borderId="21" xfId="79" applyFont="1" applyFill="1" applyBorder="1" applyAlignment="1" applyProtection="1">
      <alignment vertical="center"/>
      <protection locked="0"/>
    </xf>
    <xf numFmtId="194" fontId="32" fillId="33" borderId="12" xfId="79" applyNumberFormat="1" applyFont="1" applyFill="1" applyBorder="1" applyAlignment="1" applyProtection="1">
      <alignment horizontal="center" vertical="center"/>
      <protection locked="0"/>
    </xf>
    <xf numFmtId="0" fontId="5" fillId="34" borderId="15" xfId="79" applyFont="1" applyFill="1" applyBorder="1" applyAlignment="1" applyProtection="1">
      <alignment vertical="center"/>
      <protection/>
    </xf>
    <xf numFmtId="0" fontId="5" fillId="34" borderId="26" xfId="79" applyFont="1" applyFill="1" applyBorder="1" applyAlignment="1" applyProtection="1">
      <alignment vertical="center"/>
      <protection/>
    </xf>
    <xf numFmtId="194" fontId="32" fillId="34" borderId="15" xfId="79" applyNumberFormat="1" applyFont="1" applyFill="1" applyBorder="1" applyAlignment="1" applyProtection="1">
      <alignment horizontal="center" vertical="center"/>
      <protection/>
    </xf>
    <xf numFmtId="0" fontId="32" fillId="34" borderId="0" xfId="79" applyFont="1" applyFill="1" applyBorder="1" applyAlignment="1" applyProtection="1">
      <alignment horizontal="left" vertical="center"/>
      <protection/>
    </xf>
    <xf numFmtId="0" fontId="32" fillId="34" borderId="26" xfId="79" applyFont="1" applyFill="1" applyBorder="1" applyAlignment="1" applyProtection="1">
      <alignment vertical="center"/>
      <protection/>
    </xf>
    <xf numFmtId="0" fontId="32" fillId="34" borderId="0" xfId="79" applyFont="1" applyFill="1" applyBorder="1" applyAlignment="1" applyProtection="1">
      <alignment vertical="center"/>
      <protection/>
    </xf>
    <xf numFmtId="194" fontId="32" fillId="34" borderId="21" xfId="79" applyNumberFormat="1" applyFont="1" applyFill="1" applyBorder="1" applyAlignment="1" applyProtection="1">
      <alignment horizontal="center" vertical="center"/>
      <protection/>
    </xf>
    <xf numFmtId="194" fontId="32" fillId="34" borderId="15" xfId="79" applyNumberFormat="1" applyFont="1" applyFill="1" applyBorder="1" applyAlignment="1" applyProtection="1">
      <alignment vertical="center"/>
      <protection/>
    </xf>
    <xf numFmtId="0" fontId="34" fillId="40" borderId="10" xfId="79" applyFont="1" applyFill="1" applyBorder="1" applyAlignment="1" applyProtection="1">
      <alignment vertical="center"/>
      <protection/>
    </xf>
    <xf numFmtId="0" fontId="32" fillId="40" borderId="16" xfId="79" applyFont="1" applyFill="1" applyBorder="1" applyAlignment="1" applyProtection="1">
      <alignment vertical="center"/>
      <protection/>
    </xf>
    <xf numFmtId="0" fontId="5" fillId="40" borderId="16" xfId="79" applyFont="1" applyFill="1" applyBorder="1" applyAlignment="1" applyProtection="1">
      <alignment vertical="center"/>
      <protection/>
    </xf>
    <xf numFmtId="0" fontId="32" fillId="34" borderId="15" xfId="79" applyFont="1" applyFill="1" applyBorder="1" applyAlignment="1" applyProtection="1">
      <alignment horizontal="left" vertical="center"/>
      <protection/>
    </xf>
    <xf numFmtId="194" fontId="34" fillId="40" borderId="21" xfId="79" applyNumberFormat="1" applyFont="1" applyFill="1" applyBorder="1" applyAlignment="1" applyProtection="1">
      <alignment horizontal="center" vertical="center"/>
      <protection/>
    </xf>
    <xf numFmtId="194" fontId="34" fillId="40" borderId="16" xfId="79" applyNumberFormat="1" applyFont="1" applyFill="1" applyBorder="1" applyAlignment="1" applyProtection="1">
      <alignment horizontal="center" vertical="center"/>
      <protection locked="0"/>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5" fillId="34" borderId="12"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0" fontId="37" fillId="35" borderId="0" xfId="0" applyFont="1" applyFill="1" applyAlignment="1">
      <alignment/>
    </xf>
    <xf numFmtId="0" fontId="37" fillId="34" borderId="0" xfId="0" applyFont="1" applyFill="1" applyAlignment="1">
      <alignment/>
    </xf>
    <xf numFmtId="0" fontId="36" fillId="35" borderId="0" xfId="0" applyFont="1" applyFill="1" applyAlignment="1">
      <alignment horizontal="center" wrapText="1"/>
    </xf>
    <xf numFmtId="0" fontId="36" fillId="34" borderId="0" xfId="0" applyFont="1" applyFill="1" applyAlignment="1">
      <alignment/>
    </xf>
    <xf numFmtId="0" fontId="37" fillId="34" borderId="0" xfId="0" applyFont="1" applyFill="1" applyAlignment="1">
      <alignment horizontal="center"/>
    </xf>
    <xf numFmtId="0" fontId="36" fillId="34" borderId="27" xfId="0" applyFont="1" applyFill="1" applyBorder="1" applyAlignment="1">
      <alignment/>
    </xf>
    <xf numFmtId="0" fontId="37" fillId="34" borderId="28" xfId="0" applyFont="1" applyFill="1" applyBorder="1" applyAlignment="1">
      <alignment/>
    </xf>
    <xf numFmtId="0" fontId="37" fillId="34" borderId="29" xfId="0" applyFont="1" applyFill="1" applyBorder="1" applyAlignment="1">
      <alignment/>
    </xf>
    <xf numFmtId="194" fontId="37" fillId="34" borderId="30" xfId="0" applyNumberFormat="1" applyFont="1" applyFill="1" applyBorder="1" applyAlignment="1">
      <alignment/>
    </xf>
    <xf numFmtId="0" fontId="37" fillId="34" borderId="0" xfId="0" applyFont="1" applyFill="1" applyBorder="1" applyAlignment="1">
      <alignment/>
    </xf>
    <xf numFmtId="194" fontId="37" fillId="34" borderId="10" xfId="0" applyNumberFormat="1" applyFont="1" applyFill="1" applyBorder="1" applyAlignment="1">
      <alignment horizontal="center"/>
    </xf>
    <xf numFmtId="0" fontId="37" fillId="34" borderId="31" xfId="0" applyFont="1" applyFill="1" applyBorder="1" applyAlignment="1">
      <alignment/>
    </xf>
    <xf numFmtId="0" fontId="37" fillId="34" borderId="32" xfId="0" applyFont="1" applyFill="1" applyBorder="1" applyAlignment="1">
      <alignment/>
    </xf>
    <xf numFmtId="0" fontId="37" fillId="34" borderId="33" xfId="0" applyFont="1" applyFill="1" applyBorder="1" applyAlignment="1">
      <alignment/>
    </xf>
    <xf numFmtId="0" fontId="37" fillId="34" borderId="34" xfId="0" applyFont="1" applyFill="1" applyBorder="1" applyAlignment="1">
      <alignment/>
    </xf>
    <xf numFmtId="194" fontId="37" fillId="34" borderId="0" xfId="0" applyNumberFormat="1" applyFont="1" applyFill="1" applyAlignment="1">
      <alignment/>
    </xf>
    <xf numFmtId="0" fontId="37" fillId="34" borderId="27" xfId="0" applyFont="1" applyFill="1" applyBorder="1" applyAlignment="1">
      <alignment/>
    </xf>
    <xf numFmtId="0" fontId="37" fillId="34" borderId="35" xfId="0" applyFont="1" applyFill="1" applyBorder="1" applyAlignment="1">
      <alignment/>
    </xf>
    <xf numFmtId="194" fontId="37" fillId="33" borderId="30" xfId="0" applyNumberFormat="1" applyFont="1" applyFill="1" applyBorder="1" applyAlignment="1" applyProtection="1">
      <alignment horizontal="center"/>
      <protection locked="0"/>
    </xf>
    <xf numFmtId="182" fontId="37" fillId="34" borderId="0" xfId="0" applyNumberFormat="1" applyFont="1" applyFill="1" applyBorder="1" applyAlignment="1">
      <alignment horizontal="center"/>
    </xf>
    <xf numFmtId="0" fontId="41" fillId="0" borderId="0" xfId="0" applyFont="1" applyBorder="1" applyAlignment="1">
      <alignment/>
    </xf>
    <xf numFmtId="0" fontId="37" fillId="0" borderId="0" xfId="0" applyFont="1" applyBorder="1" applyAlignment="1">
      <alignment/>
    </xf>
    <xf numFmtId="0" fontId="36" fillId="0" borderId="0" xfId="0" applyFont="1" applyBorder="1" applyAlignment="1">
      <alignment horizontal="centerContinuous"/>
    </xf>
    <xf numFmtId="0" fontId="37" fillId="0" borderId="0" xfId="0" applyFont="1" applyBorder="1" applyAlignment="1">
      <alignment horizontal="centerContinuous"/>
    </xf>
    <xf numFmtId="0" fontId="37" fillId="35" borderId="0" xfId="0" applyFont="1" applyFill="1" applyBorder="1" applyAlignment="1">
      <alignment/>
    </xf>
    <xf numFmtId="0" fontId="37" fillId="34" borderId="36" xfId="0" applyFont="1" applyFill="1" applyBorder="1" applyAlignment="1">
      <alignment/>
    </xf>
    <xf numFmtId="0" fontId="37" fillId="34" borderId="18" xfId="0" applyFont="1" applyFill="1" applyBorder="1" applyAlignment="1">
      <alignment/>
    </xf>
    <xf numFmtId="0" fontId="37" fillId="34" borderId="37" xfId="0" applyFont="1" applyFill="1" applyBorder="1" applyAlignment="1">
      <alignment/>
    </xf>
    <xf numFmtId="195" fontId="37" fillId="34" borderId="0" xfId="0" applyNumberFormat="1" applyFont="1" applyFill="1" applyBorder="1" applyAlignment="1">
      <alignment horizontal="center"/>
    </xf>
    <xf numFmtId="5" fontId="37" fillId="34" borderId="33" xfId="0" applyNumberFormat="1" applyFont="1" applyFill="1" applyBorder="1" applyAlignment="1">
      <alignment horizontal="center"/>
    </xf>
    <xf numFmtId="0" fontId="37" fillId="34" borderId="33" xfId="0" applyFont="1" applyFill="1" applyBorder="1" applyAlignment="1">
      <alignment horizontal="center"/>
    </xf>
    <xf numFmtId="182" fontId="37" fillId="34" borderId="33" xfId="0" applyNumberFormat="1" applyFont="1" applyFill="1" applyBorder="1" applyAlignment="1">
      <alignment horizontal="center"/>
    </xf>
    <xf numFmtId="195" fontId="37" fillId="34" borderId="33" xfId="0" applyNumberFormat="1" applyFont="1" applyFill="1" applyBorder="1" applyAlignment="1">
      <alignment horizontal="center"/>
    </xf>
    <xf numFmtId="0" fontId="37" fillId="34" borderId="0" xfId="0" applyFont="1" applyFill="1" applyAlignment="1">
      <alignment horizontal="center" wrapText="1"/>
    </xf>
    <xf numFmtId="0" fontId="36" fillId="34" borderId="27" xfId="0" applyFont="1" applyFill="1" applyBorder="1" applyAlignment="1">
      <alignment/>
    </xf>
    <xf numFmtId="0" fontId="37" fillId="34" borderId="28" xfId="0" applyFont="1" applyFill="1" applyBorder="1" applyAlignment="1">
      <alignment/>
    </xf>
    <xf numFmtId="0" fontId="37" fillId="34" borderId="29" xfId="0" applyFont="1" applyFill="1" applyBorder="1" applyAlignment="1">
      <alignment/>
    </xf>
    <xf numFmtId="0" fontId="37" fillId="34" borderId="35" xfId="0" applyFont="1" applyFill="1" applyBorder="1" applyAlignment="1">
      <alignment/>
    </xf>
    <xf numFmtId="0" fontId="37" fillId="34" borderId="31" xfId="0" applyFont="1" applyFill="1" applyBorder="1" applyAlignment="1">
      <alignment/>
    </xf>
    <xf numFmtId="0" fontId="37" fillId="34" borderId="36" xfId="0" applyFont="1" applyFill="1" applyBorder="1" applyAlignment="1">
      <alignment/>
    </xf>
    <xf numFmtId="0" fontId="37" fillId="34" borderId="18" xfId="0" applyFont="1" applyFill="1" applyBorder="1" applyAlignment="1">
      <alignment/>
    </xf>
    <xf numFmtId="0" fontId="37" fillId="34" borderId="37" xfId="0" applyFont="1" applyFill="1" applyBorder="1" applyAlignment="1">
      <alignment/>
    </xf>
    <xf numFmtId="178" fontId="37" fillId="34" borderId="0" xfId="0" applyNumberFormat="1" applyFont="1" applyFill="1" applyBorder="1" applyAlignment="1">
      <alignment horizontal="center"/>
    </xf>
    <xf numFmtId="0" fontId="37" fillId="34" borderId="32" xfId="0" applyFont="1" applyFill="1" applyBorder="1" applyAlignment="1">
      <alignment/>
    </xf>
    <xf numFmtId="5" fontId="37" fillId="34" borderId="0" xfId="0" applyNumberFormat="1" applyFont="1" applyFill="1" applyBorder="1" applyAlignment="1">
      <alignment horizontal="center"/>
    </xf>
    <xf numFmtId="0" fontId="37" fillId="35" borderId="0" xfId="0" applyFont="1" applyFill="1" applyAlignment="1">
      <alignment/>
    </xf>
    <xf numFmtId="182" fontId="37" fillId="33" borderId="10" xfId="0" applyNumberFormat="1" applyFont="1" applyFill="1" applyBorder="1" applyAlignment="1" applyProtection="1">
      <alignment horizontal="center"/>
      <protection locked="0"/>
    </xf>
    <xf numFmtId="195" fontId="37" fillId="34" borderId="0" xfId="0" applyNumberFormat="1" applyFont="1" applyFill="1" applyBorder="1" applyAlignment="1">
      <alignment/>
    </xf>
    <xf numFmtId="0" fontId="37" fillId="42"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2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13" fillId="34" borderId="19"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32" fillId="34" borderId="11" xfId="79" applyFont="1" applyFill="1" applyBorder="1" applyAlignment="1" applyProtection="1">
      <alignment horizontal="left" vertical="center"/>
      <protection/>
    </xf>
    <xf numFmtId="182" fontId="32" fillId="34" borderId="17" xfId="79" applyNumberFormat="1" applyFont="1" applyFill="1" applyBorder="1" applyAlignment="1" applyProtection="1">
      <alignment horizontal="center" vertical="center"/>
      <protection locked="0"/>
    </xf>
    <xf numFmtId="0" fontId="32" fillId="34" borderId="15" xfId="79" applyFont="1" applyFill="1" applyBorder="1" applyAlignment="1" applyProtection="1">
      <alignment vertical="center"/>
      <protection/>
    </xf>
    <xf numFmtId="0" fontId="37" fillId="0" borderId="0" xfId="0" applyFont="1" applyAlignment="1">
      <alignment/>
    </xf>
    <xf numFmtId="0" fontId="38" fillId="0" borderId="0" xfId="79" applyFont="1" applyAlignment="1">
      <alignment horizontal="center"/>
      <protection/>
    </xf>
    <xf numFmtId="0" fontId="5" fillId="0" borderId="0" xfId="79" applyFont="1" applyAlignment="1">
      <alignment wrapText="1"/>
      <protection/>
    </xf>
    <xf numFmtId="0" fontId="39"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42" fillId="0" borderId="0" xfId="0" applyFont="1" applyAlignment="1">
      <alignment vertical="center"/>
    </xf>
    <xf numFmtId="182" fontId="5" fillId="33" borderId="26" xfId="80" applyNumberFormat="1" applyFont="1" applyFill="1" applyBorder="1" applyAlignment="1" applyProtection="1">
      <alignment horizontal="center"/>
      <protection locked="0"/>
    </xf>
    <xf numFmtId="0" fontId="32" fillId="34" borderId="15" xfId="80" applyFont="1" applyFill="1" applyBorder="1" applyProtection="1">
      <alignment/>
      <protection/>
    </xf>
    <xf numFmtId="0" fontId="5" fillId="34" borderId="0" xfId="80" applyFont="1" applyFill="1" applyBorder="1" applyProtection="1">
      <alignment/>
      <protection/>
    </xf>
    <xf numFmtId="194" fontId="5" fillId="34" borderId="26" xfId="80" applyNumberFormat="1" applyFont="1" applyFill="1" applyBorder="1" applyAlignment="1" applyProtection="1">
      <alignment horizontal="center"/>
      <protection/>
    </xf>
    <xf numFmtId="194" fontId="5" fillId="40"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34" borderId="15" xfId="80" applyFont="1" applyFill="1" applyBorder="1" applyProtection="1">
      <alignment/>
      <protection/>
    </xf>
    <xf numFmtId="0" fontId="5" fillId="34" borderId="26" xfId="80" applyFont="1" applyFill="1" applyBorder="1" applyProtection="1">
      <alignment/>
      <protection/>
    </xf>
    <xf numFmtId="178" fontId="5" fillId="34" borderId="26" xfId="80" applyNumberFormat="1" applyFont="1" applyFill="1" applyBorder="1" applyAlignment="1" applyProtection="1">
      <alignment horizontal="center"/>
      <protection/>
    </xf>
    <xf numFmtId="0" fontId="5" fillId="40" borderId="21" xfId="80" applyFont="1" applyFill="1" applyBorder="1" applyProtection="1">
      <alignment/>
      <protection/>
    </xf>
    <xf numFmtId="0" fontId="5" fillId="40" borderId="10" xfId="80" applyFont="1" applyFill="1" applyBorder="1" applyProtection="1">
      <alignment/>
      <protection/>
    </xf>
    <xf numFmtId="0" fontId="5" fillId="0" borderId="0" xfId="80" applyFont="1" applyProtection="1">
      <alignment/>
      <protection/>
    </xf>
    <xf numFmtId="194" fontId="5" fillId="34"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39" borderId="24" xfId="0" applyNumberFormat="1"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3" fontId="5" fillId="39" borderId="38"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37" fillId="33" borderId="10" xfId="0" applyNumberFormat="1" applyFont="1" applyFill="1" applyBorder="1" applyAlignment="1" applyProtection="1">
      <alignment horizontal="center"/>
      <protection locked="0"/>
    </xf>
    <xf numFmtId="0" fontId="36" fillId="34" borderId="0" xfId="0" applyFont="1" applyFill="1" applyAlignment="1">
      <alignment horizontal="center" wrapText="1"/>
    </xf>
    <xf numFmtId="0" fontId="36" fillId="34" borderId="0" xfId="0" applyFont="1" applyFill="1" applyAlignment="1">
      <alignment horizontal="center"/>
    </xf>
    <xf numFmtId="194" fontId="37" fillId="34" borderId="0" xfId="0" applyNumberFormat="1" applyFont="1" applyFill="1" applyAlignment="1">
      <alignment horizontal="center"/>
    </xf>
    <xf numFmtId="0" fontId="37" fillId="34" borderId="0" xfId="0" applyFont="1" applyFill="1" applyBorder="1" applyAlignment="1">
      <alignment/>
    </xf>
    <xf numFmtId="0" fontId="37" fillId="34" borderId="34" xfId="0" applyFont="1" applyFill="1" applyBorder="1" applyAlignment="1">
      <alignment/>
    </xf>
    <xf numFmtId="194" fontId="37" fillId="34" borderId="0" xfId="0" applyNumberFormat="1" applyFont="1" applyFill="1" applyBorder="1" applyAlignment="1">
      <alignment horizontal="center"/>
    </xf>
    <xf numFmtId="0" fontId="37" fillId="34" borderId="18" xfId="0" applyFont="1" applyFill="1" applyBorder="1" applyAlignment="1">
      <alignment horizontal="center"/>
    </xf>
    <xf numFmtId="0" fontId="37" fillId="34"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196" fontId="5" fillId="34" borderId="12" xfId="0" applyNumberFormat="1" applyFont="1" applyFill="1" applyBorder="1" applyAlignment="1" applyProtection="1">
      <alignment horizontal="center" vertical="center"/>
      <protection/>
    </xf>
    <xf numFmtId="0" fontId="36" fillId="34" borderId="35" xfId="0" applyFont="1" applyFill="1" applyBorder="1" applyAlignment="1">
      <alignment horizontal="centerContinuous" vertical="center"/>
    </xf>
    <xf numFmtId="194" fontId="36" fillId="34" borderId="0" xfId="0" applyNumberFormat="1" applyFont="1" applyFill="1" applyBorder="1" applyAlignment="1">
      <alignment horizontal="centerContinuous" vertical="center"/>
    </xf>
    <xf numFmtId="0" fontId="36" fillId="34" borderId="0" xfId="0" applyFont="1" applyFill="1" applyBorder="1" applyAlignment="1">
      <alignment horizontal="centerContinuous" vertical="center"/>
    </xf>
    <xf numFmtId="182" fontId="36" fillId="34" borderId="0" xfId="0" applyNumberFormat="1" applyFont="1" applyFill="1" applyBorder="1" applyAlignment="1" applyProtection="1">
      <alignment horizontal="centerContinuous" vertical="center"/>
      <protection locked="0"/>
    </xf>
    <xf numFmtId="195" fontId="36" fillId="34" borderId="0" xfId="0" applyNumberFormat="1" applyFont="1" applyFill="1" applyBorder="1" applyAlignment="1">
      <alignment horizontal="centerContinuous" vertical="center"/>
    </xf>
    <xf numFmtId="0" fontId="36" fillId="34" borderId="31" xfId="0" applyFont="1" applyFill="1" applyBorder="1" applyAlignment="1">
      <alignment horizontal="centerContinuous" vertical="center"/>
    </xf>
    <xf numFmtId="0" fontId="36" fillId="34" borderId="35" xfId="0" applyFont="1" applyFill="1" applyBorder="1" applyAlignment="1">
      <alignment horizontal="centerContinuous"/>
    </xf>
    <xf numFmtId="194" fontId="36" fillId="34" borderId="0" xfId="0" applyNumberFormat="1" applyFont="1" applyFill="1" applyBorder="1" applyAlignment="1">
      <alignment horizontal="centerContinuous"/>
    </xf>
    <xf numFmtId="0" fontId="36" fillId="34" borderId="0" xfId="0" applyFont="1" applyFill="1" applyBorder="1" applyAlignment="1">
      <alignment horizontal="centerContinuous"/>
    </xf>
    <xf numFmtId="182" fontId="36" fillId="34" borderId="0" xfId="0" applyNumberFormat="1" applyFont="1" applyFill="1" applyBorder="1" applyAlignment="1" applyProtection="1">
      <alignment horizontal="centerContinuous"/>
      <protection locked="0"/>
    </xf>
    <xf numFmtId="195" fontId="36" fillId="34" borderId="0" xfId="0" applyNumberFormat="1" applyFont="1" applyFill="1" applyBorder="1" applyAlignment="1">
      <alignment horizontal="centerContinuous"/>
    </xf>
    <xf numFmtId="0" fontId="36" fillId="34" borderId="31" xfId="0" applyFont="1" applyFill="1" applyBorder="1" applyAlignment="1">
      <alignment horizontal="centerContinuous"/>
    </xf>
    <xf numFmtId="194" fontId="37" fillId="0" borderId="0" xfId="0" applyNumberFormat="1" applyFont="1" applyAlignment="1">
      <alignment/>
    </xf>
    <xf numFmtId="194" fontId="37" fillId="34" borderId="33" xfId="0" applyNumberFormat="1" applyFont="1" applyFill="1" applyBorder="1" applyAlignment="1">
      <alignment horizontal="center"/>
    </xf>
    <xf numFmtId="182" fontId="37" fillId="34" borderId="33" xfId="0" applyNumberFormat="1" applyFont="1" applyFill="1" applyBorder="1" applyAlignment="1" applyProtection="1">
      <alignment horizontal="center"/>
      <protection locked="0"/>
    </xf>
    <xf numFmtId="195" fontId="37" fillId="34" borderId="33" xfId="0" applyNumberFormat="1" applyFont="1" applyFill="1" applyBorder="1" applyAlignment="1">
      <alignment/>
    </xf>
    <xf numFmtId="182" fontId="37" fillId="34" borderId="0" xfId="0" applyNumberFormat="1" applyFont="1" applyFill="1" applyBorder="1" applyAlignment="1" applyProtection="1">
      <alignment horizontal="center"/>
      <protection locked="0"/>
    </xf>
    <xf numFmtId="194" fontId="37" fillId="34" borderId="28" xfId="0" applyNumberFormat="1" applyFont="1" applyFill="1" applyBorder="1" applyAlignment="1">
      <alignment horizontal="center"/>
    </xf>
    <xf numFmtId="0" fontId="37" fillId="34" borderId="28" xfId="0" applyFont="1" applyFill="1" applyBorder="1" applyAlignment="1">
      <alignment horizontal="center"/>
    </xf>
    <xf numFmtId="182" fontId="37" fillId="34" borderId="28" xfId="0" applyNumberFormat="1" applyFont="1" applyFill="1" applyBorder="1" applyAlignment="1" applyProtection="1">
      <alignment horizontal="center"/>
      <protection locked="0"/>
    </xf>
    <xf numFmtId="195" fontId="37" fillId="34" borderId="28" xfId="0" applyNumberFormat="1" applyFont="1" applyFill="1" applyBorder="1" applyAlignment="1">
      <alignment/>
    </xf>
    <xf numFmtId="194" fontId="37" fillId="34" borderId="0" xfId="0" applyNumberFormat="1" applyFont="1" applyFill="1" applyBorder="1" applyAlignment="1" applyProtection="1">
      <alignment horizontal="center"/>
      <protection locked="0"/>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182" fontId="5" fillId="39" borderId="39"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34" borderId="17" xfId="0" applyNumberFormat="1" applyFont="1" applyFill="1" applyBorder="1" applyAlignment="1">
      <alignment vertical="center"/>
    </xf>
    <xf numFmtId="164" fontId="5" fillId="34" borderId="17" xfId="0" applyNumberFormat="1" applyFont="1" applyFill="1" applyBorder="1" applyAlignment="1">
      <alignment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29" fillId="0" borderId="0" xfId="344" applyAlignment="1">
      <alignment horizontal="left" vertical="center" wrapText="1"/>
      <protection/>
    </xf>
    <xf numFmtId="0" fontId="13" fillId="0" borderId="0" xfId="344"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34" borderId="0" xfId="0" applyFont="1" applyFill="1" applyBorder="1" applyAlignment="1" applyProtection="1">
      <alignment horizontal="center" vertical="center" wrapText="1" shrinkToFit="1"/>
      <protection/>
    </xf>
    <xf numFmtId="0" fontId="0" fillId="34"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3" fillId="34" borderId="25" xfId="79" applyFont="1" applyFill="1" applyBorder="1" applyAlignment="1" applyProtection="1">
      <alignment horizontal="center" vertical="center"/>
      <protection/>
    </xf>
    <xf numFmtId="0" fontId="33" fillId="34" borderId="18" xfId="79" applyFont="1" applyFill="1" applyBorder="1" applyAlignment="1" applyProtection="1">
      <alignment horizontal="center" vertical="center"/>
      <protection/>
    </xf>
    <xf numFmtId="0" fontId="0" fillId="0" borderId="23" xfId="79" applyBorder="1" applyAlignment="1" applyProtection="1">
      <alignment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4" fillId="34" borderId="10" xfId="0" applyNumberFormat="1" applyFont="1" applyFill="1" applyBorder="1" applyAlignment="1" applyProtection="1">
      <alignment horizontal="center" vertical="center"/>
      <protection locked="0"/>
    </xf>
    <xf numFmtId="0" fontId="13" fillId="3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3" fillId="34" borderId="18" xfId="80" applyFont="1" applyFill="1" applyBorder="1" applyAlignment="1" applyProtection="1">
      <alignment horizontal="center"/>
      <protection/>
    </xf>
    <xf numFmtId="0" fontId="13" fillId="34" borderId="23" xfId="80" applyFont="1" applyFill="1" applyBorder="1" applyAlignment="1" applyProtection="1">
      <alignment horizontal="center"/>
      <protection/>
    </xf>
    <xf numFmtId="37" fontId="5" fillId="34" borderId="0" xfId="101"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37" fillId="34" borderId="35" xfId="0" applyFont="1" applyFill="1" applyBorder="1" applyAlignment="1">
      <alignment vertical="top" wrapText="1"/>
    </xf>
    <xf numFmtId="0" fontId="37" fillId="0" borderId="0" xfId="0" applyFont="1" applyAlignment="1">
      <alignment vertical="top" wrapText="1"/>
    </xf>
    <xf numFmtId="0" fontId="37" fillId="0" borderId="31" xfId="0" applyFont="1" applyBorder="1" applyAlignment="1">
      <alignment vertical="top" wrapText="1"/>
    </xf>
    <xf numFmtId="194" fontId="37" fillId="34" borderId="0" xfId="0" applyNumberFormat="1" applyFont="1" applyFill="1" applyBorder="1" applyAlignment="1">
      <alignment horizontal="center"/>
    </xf>
    <xf numFmtId="195" fontId="37" fillId="34" borderId="0" xfId="0" applyNumberFormat="1" applyFont="1" applyFill="1" applyBorder="1" applyAlignment="1">
      <alignment horizontal="center"/>
    </xf>
    <xf numFmtId="0" fontId="37" fillId="0" borderId="31" xfId="0" applyFont="1" applyBorder="1" applyAlignment="1">
      <alignment horizontal="center"/>
    </xf>
    <xf numFmtId="178" fontId="37" fillId="33" borderId="10" xfId="0" applyNumberFormat="1" applyFont="1" applyFill="1" applyBorder="1" applyAlignment="1" applyProtection="1">
      <alignment horizontal="center"/>
      <protection locked="0"/>
    </xf>
    <xf numFmtId="194" fontId="37" fillId="0" borderId="31" xfId="0" applyNumberFormat="1" applyFont="1" applyBorder="1" applyAlignment="1">
      <alignment horizontal="center"/>
    </xf>
    <xf numFmtId="5" fontId="37" fillId="34" borderId="10" xfId="0" applyNumberFormat="1" applyFont="1" applyFill="1" applyBorder="1" applyAlignment="1">
      <alignment horizontal="center"/>
    </xf>
    <xf numFmtId="0" fontId="37" fillId="34" borderId="0" xfId="0" applyFont="1" applyFill="1" applyBorder="1" applyAlignment="1">
      <alignment horizontal="center"/>
    </xf>
    <xf numFmtId="194" fontId="37" fillId="33" borderId="10" xfId="0" applyNumberFormat="1" applyFont="1" applyFill="1" applyBorder="1" applyAlignment="1" applyProtection="1">
      <alignment horizontal="center"/>
      <protection locked="0"/>
    </xf>
    <xf numFmtId="0" fontId="36" fillId="34" borderId="28" xfId="0" applyFont="1" applyFill="1" applyBorder="1" applyAlignment="1">
      <alignment horizontal="center" vertical="center"/>
    </xf>
    <xf numFmtId="0" fontId="37" fillId="0" borderId="28" xfId="0" applyFont="1" applyBorder="1" applyAlignment="1">
      <alignment horizontal="center" vertical="center"/>
    </xf>
    <xf numFmtId="0" fontId="37" fillId="34" borderId="0" xfId="0" applyFont="1" applyFill="1" applyBorder="1" applyAlignment="1">
      <alignment wrapText="1"/>
    </xf>
    <xf numFmtId="0" fontId="37" fillId="0" borderId="0" xfId="0" applyFont="1" applyAlignment="1">
      <alignment wrapText="1"/>
    </xf>
    <xf numFmtId="0" fontId="36" fillId="34" borderId="0" xfId="0" applyFont="1" applyFill="1" applyBorder="1" applyAlignment="1">
      <alignment horizontal="center" wrapText="1"/>
    </xf>
    <xf numFmtId="0" fontId="37" fillId="0" borderId="0" xfId="0" applyFont="1" applyAlignment="1">
      <alignment horizontal="center" wrapText="1"/>
    </xf>
    <xf numFmtId="0" fontId="36" fillId="0" borderId="0" xfId="0" applyFont="1" applyAlignment="1">
      <alignment horizontal="center" wrapText="1"/>
    </xf>
    <xf numFmtId="0" fontId="37" fillId="34" borderId="18" xfId="0"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wrapText="1"/>
    </xf>
    <xf numFmtId="0" fontId="36" fillId="34" borderId="0" xfId="0"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194" fontId="37" fillId="34" borderId="0" xfId="0" applyNumberFormat="1" applyFont="1" applyFill="1" applyAlignment="1">
      <alignment horizontal="center"/>
    </xf>
    <xf numFmtId="194" fontId="37" fillId="34" borderId="0" xfId="0" applyNumberFormat="1" applyFont="1" applyFill="1" applyAlignment="1">
      <alignment/>
    </xf>
    <xf numFmtId="0" fontId="36" fillId="34" borderId="0" xfId="0" applyFont="1" applyFill="1" applyAlignment="1">
      <alignment horizontal="center" vertical="center"/>
    </xf>
    <xf numFmtId="0" fontId="36" fillId="0" borderId="0" xfId="0" applyFont="1" applyAlignment="1">
      <alignment horizontal="center" vertical="center"/>
    </xf>
    <xf numFmtId="0" fontId="37" fillId="34" borderId="33" xfId="0" applyFont="1" applyFill="1" applyBorder="1" applyAlignment="1">
      <alignment/>
    </xf>
    <xf numFmtId="0" fontId="37" fillId="34" borderId="34" xfId="0" applyFont="1" applyFill="1" applyBorder="1" applyAlignment="1">
      <alignment/>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8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0">
      <selection activeCell="D32" sqref="D32"/>
    </sheetView>
  </sheetViews>
  <sheetFormatPr defaultColWidth="8.796875" defaultRowHeight="15"/>
  <cols>
    <col min="1" max="1" width="75.796875" style="8" customWidth="1"/>
    <col min="2" max="16384" width="8.8984375" style="8" customWidth="1"/>
  </cols>
  <sheetData>
    <row r="1" ht="15.75">
      <c r="A1" s="7" t="s">
        <v>485</v>
      </c>
    </row>
    <row r="3" ht="34.5" customHeight="1">
      <c r="A3" s="9" t="s">
        <v>472</v>
      </c>
    </row>
    <row r="4" ht="15.75">
      <c r="A4" s="10"/>
    </row>
    <row r="5" ht="85.5" customHeight="1">
      <c r="A5" s="11" t="s">
        <v>511</v>
      </c>
    </row>
    <row r="6" ht="15.75">
      <c r="A6" s="11"/>
    </row>
    <row r="7" ht="55.5" customHeight="1">
      <c r="A7" s="11" t="s">
        <v>618</v>
      </c>
    </row>
    <row r="8" ht="15.75">
      <c r="A8" s="11"/>
    </row>
    <row r="9" ht="15.75">
      <c r="A9" s="7" t="s">
        <v>514</v>
      </c>
    </row>
    <row r="10" ht="15.75">
      <c r="A10" s="7"/>
    </row>
    <row r="11" ht="15.75">
      <c r="A11" s="10" t="s">
        <v>924</v>
      </c>
    </row>
    <row r="13" ht="38.25" customHeight="1">
      <c r="A13" s="12" t="s">
        <v>823</v>
      </c>
    </row>
    <row r="14" ht="14.25" customHeight="1">
      <c r="A14" s="12"/>
    </row>
    <row r="16" ht="15.75">
      <c r="A16" s="7" t="s">
        <v>210</v>
      </c>
    </row>
    <row r="18" ht="34.5" customHeight="1">
      <c r="A18" s="11" t="s">
        <v>923</v>
      </c>
    </row>
    <row r="19" ht="12" customHeight="1">
      <c r="A19" s="11"/>
    </row>
    <row r="20" ht="16.5" customHeight="1">
      <c r="A20" s="13" t="s">
        <v>470</v>
      </c>
    </row>
    <row r="21" ht="9.75" customHeight="1">
      <c r="A21" s="14"/>
    </row>
    <row r="22" ht="15.75">
      <c r="A22" s="15" t="s">
        <v>484</v>
      </c>
    </row>
    <row r="23" ht="15.75">
      <c r="A23" s="16"/>
    </row>
    <row r="24" ht="85.5" customHeight="1">
      <c r="A24" s="17" t="s">
        <v>495</v>
      </c>
    </row>
    <row r="25" ht="19.5" customHeight="1">
      <c r="A25" s="11"/>
    </row>
    <row r="26" ht="19.5" customHeight="1">
      <c r="A26" s="18" t="s">
        <v>471</v>
      </c>
    </row>
    <row r="28" ht="15.75">
      <c r="A28" s="19" t="s">
        <v>512</v>
      </c>
    </row>
    <row r="30" ht="20.25" customHeight="1">
      <c r="A30" s="11" t="s">
        <v>513</v>
      </c>
    </row>
    <row r="32" ht="15.75">
      <c r="A32" s="7" t="s">
        <v>318</v>
      </c>
    </row>
    <row r="34" ht="69" customHeight="1">
      <c r="A34" s="11" t="s">
        <v>790</v>
      </c>
    </row>
    <row r="35" ht="38.25" customHeight="1">
      <c r="A35" s="11" t="s">
        <v>496</v>
      </c>
    </row>
    <row r="36" ht="51" customHeight="1">
      <c r="A36" s="20" t="s">
        <v>473</v>
      </c>
    </row>
    <row r="37" ht="11.25" customHeight="1"/>
    <row r="38" ht="80.25" customHeight="1">
      <c r="A38" s="11" t="s">
        <v>791</v>
      </c>
    </row>
    <row r="39" ht="67.5" customHeight="1">
      <c r="A39" s="11" t="s">
        <v>186</v>
      </c>
    </row>
    <row r="40" ht="103.5" customHeight="1">
      <c r="A40" s="11" t="s">
        <v>187</v>
      </c>
    </row>
    <row r="41" ht="12.75" customHeight="1"/>
    <row r="42" ht="73.5" customHeight="1">
      <c r="A42" s="342" t="s">
        <v>792</v>
      </c>
    </row>
    <row r="43" ht="69.75" customHeight="1">
      <c r="A43" s="343" t="s">
        <v>576</v>
      </c>
    </row>
    <row r="44" ht="12.75" customHeight="1"/>
    <row r="45" ht="67.5" customHeight="1">
      <c r="A45" s="11" t="s">
        <v>577</v>
      </c>
    </row>
    <row r="46" ht="37.5" customHeight="1">
      <c r="A46" s="11" t="s">
        <v>578</v>
      </c>
    </row>
    <row r="47" ht="72.75" customHeight="1">
      <c r="A47" s="11" t="s">
        <v>579</v>
      </c>
    </row>
    <row r="48" ht="13.5" customHeight="1">
      <c r="A48" s="11"/>
    </row>
    <row r="49" ht="70.5" customHeight="1">
      <c r="A49" s="11" t="s">
        <v>580</v>
      </c>
    </row>
    <row r="50" ht="126" customHeight="1">
      <c r="A50" s="11" t="s">
        <v>581</v>
      </c>
    </row>
    <row r="51" ht="35.25" customHeight="1">
      <c r="A51" s="11" t="s">
        <v>582</v>
      </c>
    </row>
    <row r="52" ht="15.75" customHeight="1">
      <c r="A52" s="11"/>
    </row>
    <row r="53" ht="83.25" customHeight="1">
      <c r="A53" s="11" t="s">
        <v>583</v>
      </c>
    </row>
    <row r="54" ht="12.75" customHeight="1"/>
    <row r="55" ht="71.25" customHeight="1">
      <c r="A55" s="11" t="s">
        <v>584</v>
      </c>
    </row>
    <row r="56" ht="45" customHeight="1">
      <c r="A56" s="11" t="s">
        <v>597</v>
      </c>
    </row>
    <row r="57" ht="97.5" customHeight="1">
      <c r="A57" s="11" t="s">
        <v>824</v>
      </c>
    </row>
    <row r="58" ht="42.75" customHeight="1">
      <c r="A58" s="314" t="s">
        <v>598</v>
      </c>
    </row>
    <row r="59" ht="14.25" customHeight="1"/>
    <row r="60" s="11" customFormat="1" ht="58.5" customHeight="1">
      <c r="A60" s="11" t="s">
        <v>585</v>
      </c>
    </row>
    <row r="62" ht="69" customHeight="1">
      <c r="A62" s="11" t="s">
        <v>586</v>
      </c>
    </row>
    <row r="63" ht="11.25" customHeight="1"/>
    <row r="64" ht="96.75" customHeight="1">
      <c r="A64" s="11" t="s">
        <v>619</v>
      </c>
    </row>
    <row r="65" ht="83.25" customHeight="1">
      <c r="A65" s="406" t="s">
        <v>793</v>
      </c>
    </row>
    <row r="66" ht="72" customHeight="1">
      <c r="A66" s="406" t="s">
        <v>794</v>
      </c>
    </row>
    <row r="67" ht="131.25" customHeight="1">
      <c r="A67" s="11" t="s">
        <v>795</v>
      </c>
    </row>
    <row r="68" ht="77.25" customHeight="1">
      <c r="A68" s="11" t="s">
        <v>796</v>
      </c>
    </row>
    <row r="69" ht="112.5" customHeight="1">
      <c r="A69" s="11" t="s">
        <v>797</v>
      </c>
    </row>
    <row r="70" ht="138" customHeight="1">
      <c r="A70" s="11" t="s">
        <v>651</v>
      </c>
    </row>
    <row r="71" ht="57.75" customHeight="1">
      <c r="A71" s="11" t="s">
        <v>798</v>
      </c>
    </row>
    <row r="72" ht="120.75" customHeight="1">
      <c r="A72" s="315" t="s">
        <v>799</v>
      </c>
    </row>
    <row r="73" ht="57" customHeight="1">
      <c r="A73" s="11" t="s">
        <v>800</v>
      </c>
    </row>
    <row r="74" ht="90.75" customHeight="1">
      <c r="A74" s="11" t="s">
        <v>801</v>
      </c>
    </row>
    <row r="75" ht="122.25" customHeight="1">
      <c r="A75" s="479" t="s">
        <v>802</v>
      </c>
    </row>
    <row r="76" ht="111.75" customHeight="1">
      <c r="A76" s="480" t="s">
        <v>803</v>
      </c>
    </row>
    <row r="77" ht="64.5" customHeight="1">
      <c r="A77" s="481" t="s">
        <v>243</v>
      </c>
    </row>
    <row r="78" ht="15" customHeight="1"/>
    <row r="79" ht="131.25" customHeight="1">
      <c r="A79" s="11" t="s">
        <v>587</v>
      </c>
    </row>
    <row r="80" ht="129.75" customHeight="1">
      <c r="A80" s="11" t="s">
        <v>588</v>
      </c>
    </row>
    <row r="81" ht="53.25" customHeight="1">
      <c r="A81" s="11" t="s">
        <v>589</v>
      </c>
    </row>
    <row r="82" ht="20.25" customHeight="1">
      <c r="A82" s="11" t="s">
        <v>590</v>
      </c>
    </row>
    <row r="83" ht="14.25" customHeight="1">
      <c r="A83" s="11"/>
    </row>
    <row r="84" ht="54" customHeight="1">
      <c r="A84" s="11" t="s">
        <v>591</v>
      </c>
    </row>
    <row r="85" ht="41.25" customHeight="1">
      <c r="A85" s="344" t="s">
        <v>593</v>
      </c>
    </row>
    <row r="86" ht="30.75" customHeight="1">
      <c r="A86" s="406" t="s">
        <v>620</v>
      </c>
    </row>
    <row r="87" ht="105" customHeight="1">
      <c r="A87" s="406" t="s">
        <v>621</v>
      </c>
    </row>
    <row r="88" ht="105" customHeight="1">
      <c r="A88" s="406" t="s">
        <v>622</v>
      </c>
    </row>
    <row r="89" ht="45" customHeight="1">
      <c r="A89" s="344" t="s">
        <v>623</v>
      </c>
    </row>
    <row r="90" ht="66" customHeight="1">
      <c r="A90" s="344" t="s">
        <v>624</v>
      </c>
    </row>
    <row r="91" ht="15" customHeight="1">
      <c r="A91" s="11"/>
    </row>
    <row r="92" ht="72" customHeight="1">
      <c r="A92" s="11" t="s">
        <v>592</v>
      </c>
    </row>
    <row r="94" ht="50.25" customHeight="1">
      <c r="A94" s="406" t="s">
        <v>610</v>
      </c>
    </row>
    <row r="95" ht="101.25" customHeight="1">
      <c r="A95" s="406" t="s">
        <v>611</v>
      </c>
    </row>
    <row r="96" ht="120.75" customHeight="1">
      <c r="A96" s="406" t="s">
        <v>612</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D32" sqref="D32"/>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5" t="str">
        <f>inputPrYr!$D$2</f>
        <v>CITY OF CLIFTON</v>
      </c>
      <c r="B1" s="22"/>
      <c r="C1" s="22"/>
      <c r="D1" s="22"/>
      <c r="E1" s="22"/>
      <c r="F1" s="22"/>
      <c r="G1" s="22"/>
      <c r="H1" s="22"/>
      <c r="I1" s="22"/>
      <c r="J1" s="22"/>
      <c r="K1" s="22"/>
      <c r="L1" s="190">
        <f>inputPrYr!$C$5</f>
        <v>2012</v>
      </c>
    </row>
    <row r="2" spans="1:12" ht="15.75">
      <c r="A2" s="155"/>
      <c r="B2" s="22"/>
      <c r="C2" s="22"/>
      <c r="D2" s="22"/>
      <c r="E2" s="22"/>
      <c r="F2" s="22"/>
      <c r="G2" s="22"/>
      <c r="H2" s="22"/>
      <c r="I2" s="22"/>
      <c r="J2" s="22"/>
      <c r="K2" s="22"/>
      <c r="L2" s="150"/>
    </row>
    <row r="3" spans="1:12" ht="15.75">
      <c r="A3" s="191" t="s">
        <v>325</v>
      </c>
      <c r="B3" s="33"/>
      <c r="C3" s="33"/>
      <c r="D3" s="33"/>
      <c r="E3" s="33"/>
      <c r="F3" s="33"/>
      <c r="G3" s="33"/>
      <c r="H3" s="33"/>
      <c r="I3" s="33"/>
      <c r="J3" s="33"/>
      <c r="K3" s="33"/>
      <c r="L3" s="33"/>
    </row>
    <row r="4" spans="1:12" ht="15.75">
      <c r="A4" s="22"/>
      <c r="B4" s="192"/>
      <c r="C4" s="192"/>
      <c r="D4" s="192"/>
      <c r="E4" s="192"/>
      <c r="F4" s="192"/>
      <c r="G4" s="192"/>
      <c r="H4" s="192"/>
      <c r="I4" s="192"/>
      <c r="J4" s="192"/>
      <c r="K4" s="192"/>
      <c r="L4" s="192"/>
    </row>
    <row r="5" spans="1:12" ht="15.75">
      <c r="A5" s="22"/>
      <c r="B5" s="170" t="s">
        <v>293</v>
      </c>
      <c r="C5" s="170" t="s">
        <v>293</v>
      </c>
      <c r="D5" s="170" t="s">
        <v>308</v>
      </c>
      <c r="E5" s="170"/>
      <c r="F5" s="170" t="s">
        <v>431</v>
      </c>
      <c r="G5" s="22"/>
      <c r="H5" s="22"/>
      <c r="I5" s="193" t="s">
        <v>294</v>
      </c>
      <c r="J5" s="194"/>
      <c r="K5" s="193" t="s">
        <v>294</v>
      </c>
      <c r="L5" s="194"/>
    </row>
    <row r="6" spans="1:12" ht="15.75">
      <c r="A6" s="22"/>
      <c r="B6" s="130" t="s">
        <v>295</v>
      </c>
      <c r="C6" s="130" t="s">
        <v>432</v>
      </c>
      <c r="D6" s="130" t="s">
        <v>296</v>
      </c>
      <c r="E6" s="130" t="s">
        <v>255</v>
      </c>
      <c r="F6" s="130" t="s">
        <v>433</v>
      </c>
      <c r="G6" s="582" t="s">
        <v>297</v>
      </c>
      <c r="H6" s="583"/>
      <c r="I6" s="584">
        <f>L1-1</f>
        <v>2011</v>
      </c>
      <c r="J6" s="585"/>
      <c r="K6" s="584">
        <f>L1</f>
        <v>2012</v>
      </c>
      <c r="L6" s="585"/>
    </row>
    <row r="7" spans="1:12" ht="15.75">
      <c r="A7" s="196" t="s">
        <v>298</v>
      </c>
      <c r="B7" s="133" t="s">
        <v>299</v>
      </c>
      <c r="C7" s="133" t="s">
        <v>434</v>
      </c>
      <c r="D7" s="133" t="s">
        <v>274</v>
      </c>
      <c r="E7" s="133" t="s">
        <v>300</v>
      </c>
      <c r="F7" s="195" t="str">
        <f>CONCATENATE("Jan 1,",L1-1,"")</f>
        <v>Jan 1,2011</v>
      </c>
      <c r="G7" s="140" t="s">
        <v>308</v>
      </c>
      <c r="H7" s="140" t="s">
        <v>310</v>
      </c>
      <c r="I7" s="140" t="s">
        <v>308</v>
      </c>
      <c r="J7" s="140" t="s">
        <v>310</v>
      </c>
      <c r="K7" s="140" t="s">
        <v>308</v>
      </c>
      <c r="L7" s="140" t="s">
        <v>310</v>
      </c>
    </row>
    <row r="8" spans="1:12" ht="15.75">
      <c r="A8" s="196" t="s">
        <v>301</v>
      </c>
      <c r="B8" s="48"/>
      <c r="C8" s="48"/>
      <c r="D8" s="197"/>
      <c r="E8" s="198"/>
      <c r="F8" s="198"/>
      <c r="G8" s="48"/>
      <c r="H8" s="48"/>
      <c r="I8" s="198"/>
      <c r="J8" s="198"/>
      <c r="K8" s="198"/>
      <c r="L8" s="198"/>
    </row>
    <row r="9" spans="1:12" ht="15.75">
      <c r="A9" s="54"/>
      <c r="B9" s="350"/>
      <c r="C9" s="350"/>
      <c r="D9" s="199"/>
      <c r="E9" s="200"/>
      <c r="F9" s="201"/>
      <c r="G9" s="202"/>
      <c r="H9" s="202"/>
      <c r="I9" s="201"/>
      <c r="J9" s="201"/>
      <c r="K9" s="201"/>
      <c r="L9" s="201"/>
    </row>
    <row r="10" spans="1:12" ht="15.75">
      <c r="A10" s="54"/>
      <c r="B10" s="350"/>
      <c r="C10" s="350"/>
      <c r="D10" s="199"/>
      <c r="E10" s="200"/>
      <c r="F10" s="201"/>
      <c r="G10" s="202"/>
      <c r="H10" s="202"/>
      <c r="I10" s="201"/>
      <c r="J10" s="201"/>
      <c r="K10" s="201"/>
      <c r="L10" s="201"/>
    </row>
    <row r="11" spans="1:12" ht="15.75">
      <c r="A11" s="54" t="s">
        <v>689</v>
      </c>
      <c r="B11" s="350"/>
      <c r="C11" s="350"/>
      <c r="D11" s="199"/>
      <c r="E11" s="200"/>
      <c r="F11" s="201"/>
      <c r="G11" s="202"/>
      <c r="H11" s="202"/>
      <c r="I11" s="201"/>
      <c r="J11" s="201"/>
      <c r="K11" s="201"/>
      <c r="L11" s="201"/>
    </row>
    <row r="12" spans="1:12" ht="15.75">
      <c r="A12" s="54"/>
      <c r="B12" s="350"/>
      <c r="C12" s="350"/>
      <c r="D12" s="199"/>
      <c r="E12" s="200"/>
      <c r="F12" s="201"/>
      <c r="G12" s="202"/>
      <c r="H12" s="202"/>
      <c r="I12" s="201"/>
      <c r="J12" s="201"/>
      <c r="K12" s="201"/>
      <c r="L12" s="201"/>
    </row>
    <row r="13" spans="1:12" ht="15.75">
      <c r="A13" s="54"/>
      <c r="B13" s="350"/>
      <c r="C13" s="350"/>
      <c r="D13" s="199"/>
      <c r="E13" s="200"/>
      <c r="F13" s="201"/>
      <c r="G13" s="202"/>
      <c r="H13" s="202"/>
      <c r="I13" s="201"/>
      <c r="J13" s="201"/>
      <c r="K13" s="201"/>
      <c r="L13" s="201"/>
    </row>
    <row r="14" spans="1:12" ht="15.75">
      <c r="A14" s="54"/>
      <c r="B14" s="350"/>
      <c r="C14" s="350"/>
      <c r="D14" s="199"/>
      <c r="E14" s="200"/>
      <c r="F14" s="201"/>
      <c r="G14" s="202"/>
      <c r="H14" s="202"/>
      <c r="I14" s="201"/>
      <c r="J14" s="201"/>
      <c r="K14" s="201"/>
      <c r="L14" s="201"/>
    </row>
    <row r="15" spans="1:12" ht="15.75">
      <c r="A15" s="54"/>
      <c r="B15" s="350"/>
      <c r="C15" s="350"/>
      <c r="D15" s="199"/>
      <c r="E15" s="200"/>
      <c r="F15" s="201"/>
      <c r="G15" s="202"/>
      <c r="H15" s="202"/>
      <c r="I15" s="201"/>
      <c r="J15" s="201"/>
      <c r="K15" s="201"/>
      <c r="L15" s="201"/>
    </row>
    <row r="16" spans="1:12" ht="15.75">
      <c r="A16" s="54"/>
      <c r="B16" s="350"/>
      <c r="C16" s="350"/>
      <c r="D16" s="199"/>
      <c r="E16" s="200"/>
      <c r="F16" s="201"/>
      <c r="G16" s="202"/>
      <c r="H16" s="202"/>
      <c r="I16" s="201"/>
      <c r="J16" s="201"/>
      <c r="K16" s="201"/>
      <c r="L16" s="201"/>
    </row>
    <row r="17" spans="1:12" ht="15.75">
      <c r="A17" s="54"/>
      <c r="B17" s="350"/>
      <c r="C17" s="350"/>
      <c r="D17" s="199"/>
      <c r="E17" s="200"/>
      <c r="F17" s="201"/>
      <c r="G17" s="202"/>
      <c r="H17" s="202"/>
      <c r="I17" s="201"/>
      <c r="J17" s="201"/>
      <c r="K17" s="201"/>
      <c r="L17" s="201"/>
    </row>
    <row r="18" spans="1:12" ht="15.75">
      <c r="A18" s="54"/>
      <c r="B18" s="350"/>
      <c r="C18" s="350"/>
      <c r="D18" s="199"/>
      <c r="E18" s="200"/>
      <c r="F18" s="201"/>
      <c r="G18" s="202"/>
      <c r="H18" s="202"/>
      <c r="I18" s="201"/>
      <c r="J18" s="201"/>
      <c r="K18" s="201"/>
      <c r="L18" s="201"/>
    </row>
    <row r="19" spans="1:12" ht="15.75">
      <c r="A19" s="54"/>
      <c r="B19" s="350"/>
      <c r="C19" s="350"/>
      <c r="D19" s="199"/>
      <c r="E19" s="200"/>
      <c r="F19" s="201"/>
      <c r="G19" s="202"/>
      <c r="H19" s="202"/>
      <c r="I19" s="201"/>
      <c r="J19" s="201"/>
      <c r="K19" s="201"/>
      <c r="L19" s="201"/>
    </row>
    <row r="20" spans="1:12" ht="15.75">
      <c r="A20" s="203" t="s">
        <v>302</v>
      </c>
      <c r="B20" s="204"/>
      <c r="C20" s="204"/>
      <c r="D20" s="205"/>
      <c r="E20" s="206"/>
      <c r="F20" s="207">
        <f>SUM(F9:F19)</f>
        <v>0</v>
      </c>
      <c r="G20" s="208"/>
      <c r="H20" s="208"/>
      <c r="I20" s="207">
        <f>SUM(I9:I19)</f>
        <v>0</v>
      </c>
      <c r="J20" s="207">
        <f>SUM(J9:J19)</f>
        <v>0</v>
      </c>
      <c r="K20" s="207">
        <f>SUM(K9:K19)</f>
        <v>0</v>
      </c>
      <c r="L20" s="207">
        <f>SUM(L9:L19)</f>
        <v>0</v>
      </c>
    </row>
    <row r="21" spans="1:12" ht="15.75">
      <c r="A21" s="196" t="s">
        <v>303</v>
      </c>
      <c r="B21" s="209"/>
      <c r="C21" s="209"/>
      <c r="D21" s="210"/>
      <c r="E21" s="188"/>
      <c r="F21" s="188"/>
      <c r="G21" s="211"/>
      <c r="H21" s="211"/>
      <c r="I21" s="188"/>
      <c r="J21" s="188"/>
      <c r="K21" s="188"/>
      <c r="L21" s="188"/>
    </row>
    <row r="22" spans="1:12" ht="15.75">
      <c r="A22" s="54"/>
      <c r="B22" s="350"/>
      <c r="C22" s="350"/>
      <c r="D22" s="199"/>
      <c r="E22" s="200"/>
      <c r="F22" s="201"/>
      <c r="G22" s="202"/>
      <c r="H22" s="202"/>
      <c r="I22" s="201"/>
      <c r="J22" s="201"/>
      <c r="K22" s="201"/>
      <c r="L22" s="201"/>
    </row>
    <row r="23" spans="1:12" ht="15.75">
      <c r="A23" s="54"/>
      <c r="B23" s="350"/>
      <c r="C23" s="350"/>
      <c r="D23" s="199"/>
      <c r="E23" s="200"/>
      <c r="F23" s="201"/>
      <c r="G23" s="202"/>
      <c r="H23" s="202"/>
      <c r="I23" s="201"/>
      <c r="J23" s="201"/>
      <c r="K23" s="201"/>
      <c r="L23" s="201"/>
    </row>
    <row r="24" spans="1:12" ht="15.75">
      <c r="A24" s="54"/>
      <c r="B24" s="350"/>
      <c r="C24" s="350"/>
      <c r="D24" s="199"/>
      <c r="E24" s="200"/>
      <c r="F24" s="201"/>
      <c r="G24" s="202"/>
      <c r="H24" s="202"/>
      <c r="I24" s="201"/>
      <c r="J24" s="201"/>
      <c r="K24" s="201"/>
      <c r="L24" s="201"/>
    </row>
    <row r="25" spans="1:12" ht="15.75">
      <c r="A25" s="54"/>
      <c r="B25" s="350"/>
      <c r="C25" s="350"/>
      <c r="D25" s="199"/>
      <c r="E25" s="200"/>
      <c r="F25" s="201"/>
      <c r="G25" s="202"/>
      <c r="H25" s="202"/>
      <c r="I25" s="201"/>
      <c r="J25" s="201"/>
      <c r="K25" s="201"/>
      <c r="L25" s="201"/>
    </row>
    <row r="26" spans="1:12" ht="15.75">
      <c r="A26" s="54"/>
      <c r="B26" s="350"/>
      <c r="C26" s="350"/>
      <c r="D26" s="199"/>
      <c r="E26" s="200"/>
      <c r="F26" s="201"/>
      <c r="G26" s="202"/>
      <c r="H26" s="202"/>
      <c r="I26" s="201"/>
      <c r="J26" s="201"/>
      <c r="K26" s="201"/>
      <c r="L26" s="201"/>
    </row>
    <row r="27" spans="1:12" ht="15.75">
      <c r="A27" s="54"/>
      <c r="B27" s="350"/>
      <c r="C27" s="350"/>
      <c r="D27" s="199"/>
      <c r="E27" s="200"/>
      <c r="F27" s="201"/>
      <c r="G27" s="202"/>
      <c r="H27" s="202"/>
      <c r="I27" s="201"/>
      <c r="J27" s="201"/>
      <c r="K27" s="201"/>
      <c r="L27" s="201"/>
    </row>
    <row r="28" spans="1:12" ht="15.75">
      <c r="A28" s="54"/>
      <c r="B28" s="350"/>
      <c r="C28" s="350"/>
      <c r="D28" s="199"/>
      <c r="E28" s="200"/>
      <c r="F28" s="201"/>
      <c r="G28" s="202"/>
      <c r="H28" s="202"/>
      <c r="I28" s="201"/>
      <c r="J28" s="201"/>
      <c r="K28" s="201"/>
      <c r="L28" s="201"/>
    </row>
    <row r="29" spans="1:12" ht="15.75">
      <c r="A29" s="54"/>
      <c r="B29" s="350"/>
      <c r="C29" s="350"/>
      <c r="D29" s="199"/>
      <c r="E29" s="200"/>
      <c r="F29" s="201"/>
      <c r="G29" s="202"/>
      <c r="H29" s="202"/>
      <c r="I29" s="201"/>
      <c r="J29" s="201"/>
      <c r="K29" s="201"/>
      <c r="L29" s="201"/>
    </row>
    <row r="30" spans="1:12" ht="15.75">
      <c r="A30" s="54"/>
      <c r="B30" s="350"/>
      <c r="C30" s="350"/>
      <c r="D30" s="199"/>
      <c r="E30" s="200"/>
      <c r="F30" s="201"/>
      <c r="G30" s="202"/>
      <c r="H30" s="202"/>
      <c r="I30" s="201"/>
      <c r="J30" s="201"/>
      <c r="K30" s="201"/>
      <c r="L30" s="201"/>
    </row>
    <row r="31" spans="1:12" ht="15.75">
      <c r="A31" s="54"/>
      <c r="B31" s="350"/>
      <c r="C31" s="350"/>
      <c r="D31" s="199"/>
      <c r="E31" s="200"/>
      <c r="F31" s="201"/>
      <c r="G31" s="202"/>
      <c r="H31" s="202"/>
      <c r="I31" s="201"/>
      <c r="J31" s="201"/>
      <c r="K31" s="201"/>
      <c r="L31" s="201"/>
    </row>
    <row r="32" spans="1:12" ht="15.75">
      <c r="A32" s="203" t="s">
        <v>304</v>
      </c>
      <c r="B32" s="204"/>
      <c r="C32" s="204"/>
      <c r="D32" s="212"/>
      <c r="E32" s="206"/>
      <c r="F32" s="213">
        <f>SUM(F22:F31)</f>
        <v>0</v>
      </c>
      <c r="G32" s="208"/>
      <c r="H32" s="208"/>
      <c r="I32" s="213">
        <f>SUM(I22:I31)</f>
        <v>0</v>
      </c>
      <c r="J32" s="213">
        <f>SUM(J22:J31)</f>
        <v>0</v>
      </c>
      <c r="K32" s="207">
        <f>SUM(K22:K31)</f>
        <v>0</v>
      </c>
      <c r="L32" s="213">
        <f>SUM(L22:L31)</f>
        <v>0</v>
      </c>
    </row>
    <row r="33" spans="1:12" ht="15.75">
      <c r="A33" s="196" t="s">
        <v>305</v>
      </c>
      <c r="B33" s="209"/>
      <c r="C33" s="209"/>
      <c r="D33" s="210"/>
      <c r="E33" s="188"/>
      <c r="F33" s="214"/>
      <c r="G33" s="211"/>
      <c r="H33" s="211"/>
      <c r="I33" s="188"/>
      <c r="J33" s="188"/>
      <c r="K33" s="188"/>
      <c r="L33" s="188"/>
    </row>
    <row r="34" spans="1:12" ht="15.75">
      <c r="A34" s="54"/>
      <c r="B34" s="350"/>
      <c r="C34" s="350"/>
      <c r="D34" s="199"/>
      <c r="E34" s="200"/>
      <c r="F34" s="201"/>
      <c r="G34" s="202"/>
      <c r="H34" s="202"/>
      <c r="I34" s="201"/>
      <c r="J34" s="201"/>
      <c r="K34" s="201"/>
      <c r="L34" s="201"/>
    </row>
    <row r="35" spans="1:12" ht="15.75">
      <c r="A35" s="54"/>
      <c r="B35" s="350"/>
      <c r="C35" s="350"/>
      <c r="D35" s="199"/>
      <c r="E35" s="200"/>
      <c r="F35" s="201"/>
      <c r="G35" s="202"/>
      <c r="H35" s="202"/>
      <c r="I35" s="201"/>
      <c r="J35" s="201"/>
      <c r="K35" s="201"/>
      <c r="L35" s="201"/>
    </row>
    <row r="36" spans="1:12" ht="15.75">
      <c r="A36" s="54"/>
      <c r="B36" s="350"/>
      <c r="C36" s="350"/>
      <c r="D36" s="199"/>
      <c r="E36" s="200"/>
      <c r="F36" s="201"/>
      <c r="G36" s="202"/>
      <c r="H36" s="202"/>
      <c r="I36" s="201"/>
      <c r="J36" s="201"/>
      <c r="K36" s="201"/>
      <c r="L36" s="201"/>
    </row>
    <row r="37" spans="1:12" ht="15.75">
      <c r="A37" s="54"/>
      <c r="B37" s="350"/>
      <c r="C37" s="350"/>
      <c r="D37" s="199"/>
      <c r="E37" s="200"/>
      <c r="F37" s="201"/>
      <c r="G37" s="202"/>
      <c r="H37" s="202"/>
      <c r="I37" s="201"/>
      <c r="J37" s="201"/>
      <c r="K37" s="201"/>
      <c r="L37" s="201"/>
    </row>
    <row r="38" spans="1:12" ht="15.75">
      <c r="A38" s="54"/>
      <c r="B38" s="350"/>
      <c r="C38" s="350"/>
      <c r="D38" s="199"/>
      <c r="E38" s="200"/>
      <c r="F38" s="201"/>
      <c r="G38" s="202"/>
      <c r="H38" s="202"/>
      <c r="I38" s="201"/>
      <c r="J38" s="201"/>
      <c r="K38" s="201"/>
      <c r="L38" s="201"/>
    </row>
    <row r="39" spans="1:12" ht="15.75">
      <c r="A39" s="54"/>
      <c r="B39" s="350"/>
      <c r="C39" s="350"/>
      <c r="D39" s="199"/>
      <c r="E39" s="200"/>
      <c r="F39" s="201"/>
      <c r="G39" s="202"/>
      <c r="H39" s="202"/>
      <c r="I39" s="201"/>
      <c r="J39" s="201"/>
      <c r="K39" s="201"/>
      <c r="L39" s="201"/>
    </row>
    <row r="40" spans="1:12" ht="15.75">
      <c r="A40" s="54"/>
      <c r="B40" s="350"/>
      <c r="C40" s="350"/>
      <c r="D40" s="199"/>
      <c r="E40" s="200"/>
      <c r="F40" s="201"/>
      <c r="G40" s="202"/>
      <c r="H40" s="202"/>
      <c r="I40" s="201"/>
      <c r="J40" s="201"/>
      <c r="K40" s="201"/>
      <c r="L40" s="201"/>
    </row>
    <row r="41" spans="1:28" ht="15.75">
      <c r="A41" s="54"/>
      <c r="B41" s="350"/>
      <c r="C41" s="350"/>
      <c r="D41" s="199"/>
      <c r="E41" s="200"/>
      <c r="F41" s="201"/>
      <c r="G41" s="202"/>
      <c r="H41" s="202"/>
      <c r="I41" s="201"/>
      <c r="J41" s="201"/>
      <c r="K41" s="201"/>
      <c r="L41" s="201"/>
      <c r="M41" s="8"/>
      <c r="N41" s="8"/>
      <c r="O41" s="8"/>
      <c r="P41" s="8"/>
      <c r="Q41" s="8"/>
      <c r="R41" s="8"/>
      <c r="S41" s="8"/>
      <c r="T41" s="8"/>
      <c r="U41" s="8"/>
      <c r="V41" s="8"/>
      <c r="W41" s="8"/>
      <c r="X41" s="8"/>
      <c r="Y41" s="8"/>
      <c r="Z41" s="8"/>
      <c r="AA41" s="8"/>
      <c r="AB41" s="8"/>
    </row>
    <row r="42" spans="1:12" ht="15.75">
      <c r="A42" s="203" t="s">
        <v>435</v>
      </c>
      <c r="B42" s="187"/>
      <c r="C42" s="187"/>
      <c r="D42" s="212"/>
      <c r="E42" s="206"/>
      <c r="F42" s="213">
        <f>SUM(F34:F41)</f>
        <v>0</v>
      </c>
      <c r="G42" s="206"/>
      <c r="H42" s="206"/>
      <c r="I42" s="213">
        <f>SUM(I34:I41)</f>
        <v>0</v>
      </c>
      <c r="J42" s="213">
        <f>SUM(J34:J41)</f>
        <v>0</v>
      </c>
      <c r="K42" s="213">
        <f>SUM(K34:K41)</f>
        <v>0</v>
      </c>
      <c r="L42" s="213">
        <f>SUM(L34:L41)</f>
        <v>0</v>
      </c>
    </row>
    <row r="43" spans="1:12" ht="15.75">
      <c r="A43" s="203" t="s">
        <v>306</v>
      </c>
      <c r="B43" s="187"/>
      <c r="C43" s="187"/>
      <c r="D43" s="187"/>
      <c r="E43" s="206"/>
      <c r="F43" s="213">
        <f>SUM(F20+F32+F42)</f>
        <v>0</v>
      </c>
      <c r="G43" s="206"/>
      <c r="H43" s="206"/>
      <c r="I43" s="213">
        <f>SUM(I20+I32+I42)</f>
        <v>0</v>
      </c>
      <c r="J43" s="213">
        <f>SUM(J20+J32+J42)</f>
        <v>0</v>
      </c>
      <c r="K43" s="213">
        <f>SUM(K20+K32+K42)</f>
        <v>0</v>
      </c>
      <c r="L43" s="213">
        <f>SUM(L20+L32+L42)</f>
        <v>0</v>
      </c>
    </row>
    <row r="44" spans="1:12" ht="15.75">
      <c r="A44" s="8"/>
      <c r="B44" s="8"/>
      <c r="C44" s="8"/>
      <c r="D44" s="8"/>
      <c r="E44" s="8"/>
      <c r="F44" s="8"/>
      <c r="G44" s="8"/>
      <c r="H44" s="8"/>
      <c r="I44" s="8"/>
      <c r="J44" s="8"/>
      <c r="K44" s="8"/>
      <c r="L44" s="8"/>
    </row>
    <row r="45" spans="5:12" ht="15.75">
      <c r="E45" s="215"/>
      <c r="F45" s="215"/>
      <c r="I45" s="215"/>
      <c r="J45" s="215"/>
      <c r="K45" s="215"/>
      <c r="L45" s="215"/>
    </row>
    <row r="46" spans="5:13" ht="15.75">
      <c r="E46" s="8"/>
      <c r="G46" s="216"/>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4">
      <selection activeCell="D32" sqref="D32"/>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5" t="str">
        <f>inputPrYr!$D$2</f>
        <v>CITY OF CLIFTON</v>
      </c>
      <c r="B1" s="22"/>
      <c r="C1" s="22"/>
      <c r="D1" s="22"/>
      <c r="E1" s="22"/>
      <c r="F1" s="22"/>
      <c r="G1" s="22"/>
      <c r="H1" s="217">
        <f>inputPrYr!$C$5</f>
        <v>2012</v>
      </c>
    </row>
    <row r="2" spans="1:8" ht="15.75">
      <c r="A2" s="155"/>
      <c r="B2" s="22"/>
      <c r="C2" s="22"/>
      <c r="D2" s="22"/>
      <c r="E2" s="22"/>
      <c r="F2" s="22"/>
      <c r="G2" s="22"/>
      <c r="H2" s="150"/>
    </row>
    <row r="3" spans="1:8" ht="15.75">
      <c r="A3" s="22"/>
      <c r="B3" s="22"/>
      <c r="C3" s="22"/>
      <c r="D3" s="22"/>
      <c r="E3" s="22"/>
      <c r="F3" s="22"/>
      <c r="G3" s="22"/>
      <c r="H3" s="122"/>
    </row>
    <row r="4" spans="1:8" ht="15.75">
      <c r="A4" s="191" t="s">
        <v>320</v>
      </c>
      <c r="B4" s="33"/>
      <c r="C4" s="33"/>
      <c r="D4" s="33"/>
      <c r="E4" s="33"/>
      <c r="F4" s="33"/>
      <c r="G4" s="33"/>
      <c r="H4" s="33"/>
    </row>
    <row r="5" spans="1:8" ht="15.75">
      <c r="A5" s="56"/>
      <c r="B5" s="192"/>
      <c r="C5" s="192"/>
      <c r="D5" s="192"/>
      <c r="E5" s="192"/>
      <c r="F5" s="192"/>
      <c r="G5" s="192"/>
      <c r="H5" s="192"/>
    </row>
    <row r="6" spans="1:8" ht="15.75">
      <c r="A6" s="22"/>
      <c r="B6" s="136"/>
      <c r="C6" s="136"/>
      <c r="D6" s="136"/>
      <c r="E6" s="170" t="s">
        <v>214</v>
      </c>
      <c r="F6" s="136"/>
      <c r="G6" s="136"/>
      <c r="H6" s="136"/>
    </row>
    <row r="7" spans="1:8" ht="15.75">
      <c r="A7" s="22"/>
      <c r="B7" s="130"/>
      <c r="C7" s="130" t="s">
        <v>307</v>
      </c>
      <c r="D7" s="130" t="s">
        <v>308</v>
      </c>
      <c r="E7" s="130" t="s">
        <v>255</v>
      </c>
      <c r="F7" s="130" t="s">
        <v>310</v>
      </c>
      <c r="G7" s="130" t="s">
        <v>311</v>
      </c>
      <c r="H7" s="130" t="s">
        <v>311</v>
      </c>
    </row>
    <row r="8" spans="1:8" ht="15.75">
      <c r="A8" s="22"/>
      <c r="B8" s="130" t="s">
        <v>312</v>
      </c>
      <c r="C8" s="130" t="s">
        <v>313</v>
      </c>
      <c r="D8" s="130" t="s">
        <v>296</v>
      </c>
      <c r="E8" s="130" t="s">
        <v>314</v>
      </c>
      <c r="F8" s="130" t="s">
        <v>358</v>
      </c>
      <c r="G8" s="130" t="s">
        <v>315</v>
      </c>
      <c r="H8" s="130" t="s">
        <v>315</v>
      </c>
    </row>
    <row r="9" spans="1:8" ht="15.75">
      <c r="A9" s="218" t="s">
        <v>316</v>
      </c>
      <c r="B9" s="133" t="s">
        <v>293</v>
      </c>
      <c r="C9" s="219" t="s">
        <v>317</v>
      </c>
      <c r="D9" s="133" t="s">
        <v>274</v>
      </c>
      <c r="E9" s="219" t="s">
        <v>382</v>
      </c>
      <c r="F9" s="220" t="str">
        <f>CONCATENATE("Jan 1 ",H1-1,"")</f>
        <v>Jan 1 2011</v>
      </c>
      <c r="G9" s="133">
        <f>H1-1</f>
        <v>2011</v>
      </c>
      <c r="H9" s="133">
        <f>H1</f>
        <v>2012</v>
      </c>
    </row>
    <row r="10" spans="1:8" ht="15.75">
      <c r="A10" s="54" t="s">
        <v>689</v>
      </c>
      <c r="B10" s="221"/>
      <c r="C10" s="222"/>
      <c r="D10" s="199"/>
      <c r="E10" s="200"/>
      <c r="F10" s="200"/>
      <c r="G10" s="200"/>
      <c r="H10" s="200"/>
    </row>
    <row r="11" spans="1:8" ht="15.75">
      <c r="A11" s="54"/>
      <c r="B11" s="221"/>
      <c r="C11" s="222"/>
      <c r="D11" s="199"/>
      <c r="E11" s="200"/>
      <c r="F11" s="200"/>
      <c r="G11" s="200"/>
      <c r="H11" s="200"/>
    </row>
    <row r="12" spans="1:8" ht="15.75">
      <c r="A12" s="54"/>
      <c r="B12" s="221"/>
      <c r="C12" s="222"/>
      <c r="D12" s="199"/>
      <c r="E12" s="200"/>
      <c r="F12" s="200"/>
      <c r="G12" s="200"/>
      <c r="H12" s="200"/>
    </row>
    <row r="13" spans="1:8" ht="15.75">
      <c r="A13" s="54"/>
      <c r="B13" s="221"/>
      <c r="C13" s="222"/>
      <c r="D13" s="199"/>
      <c r="E13" s="200"/>
      <c r="F13" s="200"/>
      <c r="G13" s="200"/>
      <c r="H13" s="200"/>
    </row>
    <row r="14" spans="1:8" ht="15.75">
      <c r="A14" s="54"/>
      <c r="B14" s="350"/>
      <c r="C14" s="222"/>
      <c r="D14" s="199"/>
      <c r="E14" s="200"/>
      <c r="F14" s="200"/>
      <c r="G14" s="200"/>
      <c r="H14" s="200"/>
    </row>
    <row r="15" spans="1:8" ht="15.75">
      <c r="A15" s="54"/>
      <c r="B15" s="221"/>
      <c r="C15" s="222"/>
      <c r="D15" s="199"/>
      <c r="E15" s="200"/>
      <c r="F15" s="200"/>
      <c r="G15" s="200"/>
      <c r="H15" s="200"/>
    </row>
    <row r="16" spans="1:8" ht="15.75">
      <c r="A16" s="54"/>
      <c r="B16" s="221"/>
      <c r="C16" s="222"/>
      <c r="D16" s="199"/>
      <c r="E16" s="200"/>
      <c r="F16" s="200"/>
      <c r="G16" s="200"/>
      <c r="H16" s="200"/>
    </row>
    <row r="17" spans="1:8" ht="15.75">
      <c r="A17" s="54"/>
      <c r="B17" s="221"/>
      <c r="C17" s="222"/>
      <c r="D17" s="199"/>
      <c r="E17" s="200"/>
      <c r="F17" s="200"/>
      <c r="G17" s="200"/>
      <c r="H17" s="200"/>
    </row>
    <row r="18" spans="1:8" ht="15.75">
      <c r="A18" s="54"/>
      <c r="B18" s="221"/>
      <c r="C18" s="222"/>
      <c r="D18" s="199"/>
      <c r="E18" s="200"/>
      <c r="F18" s="200"/>
      <c r="G18" s="200"/>
      <c r="H18" s="200"/>
    </row>
    <row r="19" spans="1:8" ht="15.75">
      <c r="A19" s="54"/>
      <c r="B19" s="221"/>
      <c r="C19" s="222"/>
      <c r="D19" s="199"/>
      <c r="E19" s="200"/>
      <c r="F19" s="200"/>
      <c r="G19" s="200"/>
      <c r="H19" s="200"/>
    </row>
    <row r="20" spans="1:8" ht="15.75">
      <c r="A20" s="54"/>
      <c r="B20" s="221"/>
      <c r="C20" s="222"/>
      <c r="D20" s="199"/>
      <c r="E20" s="200"/>
      <c r="F20" s="200"/>
      <c r="G20" s="200"/>
      <c r="H20" s="200"/>
    </row>
    <row r="21" spans="1:8" ht="15.75">
      <c r="A21" s="54"/>
      <c r="B21" s="221"/>
      <c r="C21" s="222"/>
      <c r="D21" s="199"/>
      <c r="E21" s="200"/>
      <c r="F21" s="200"/>
      <c r="G21" s="200"/>
      <c r="H21" s="200"/>
    </row>
    <row r="22" spans="1:8" ht="15.75">
      <c r="A22" s="54"/>
      <c r="B22" s="221"/>
      <c r="C22" s="222"/>
      <c r="D22" s="199"/>
      <c r="E22" s="200"/>
      <c r="F22" s="200"/>
      <c r="G22" s="200"/>
      <c r="H22" s="200"/>
    </row>
    <row r="23" spans="1:8" ht="15.75">
      <c r="A23" s="54"/>
      <c r="B23" s="221"/>
      <c r="C23" s="222"/>
      <c r="D23" s="199"/>
      <c r="E23" s="200"/>
      <c r="F23" s="200"/>
      <c r="G23" s="200"/>
      <c r="H23" s="200"/>
    </row>
    <row r="24" spans="1:8" ht="15.75">
      <c r="A24" s="54"/>
      <c r="B24" s="221"/>
      <c r="C24" s="222"/>
      <c r="D24" s="199"/>
      <c r="E24" s="200"/>
      <c r="F24" s="200"/>
      <c r="G24" s="200"/>
      <c r="H24" s="200"/>
    </row>
    <row r="25" spans="1:8" ht="15.75">
      <c r="A25" s="54"/>
      <c r="B25" s="221"/>
      <c r="C25" s="222"/>
      <c r="D25" s="199"/>
      <c r="E25" s="200"/>
      <c r="F25" s="200"/>
      <c r="G25" s="200"/>
      <c r="H25" s="200"/>
    </row>
    <row r="26" spans="1:8" ht="15.75">
      <c r="A26" s="54"/>
      <c r="B26" s="221"/>
      <c r="C26" s="222"/>
      <c r="D26" s="199"/>
      <c r="E26" s="200"/>
      <c r="F26" s="200"/>
      <c r="G26" s="200"/>
      <c r="H26" s="200"/>
    </row>
    <row r="27" spans="1:8" ht="15.75">
      <c r="A27" s="54"/>
      <c r="B27" s="221"/>
      <c r="C27" s="222"/>
      <c r="D27" s="199"/>
      <c r="E27" s="200"/>
      <c r="F27" s="200"/>
      <c r="G27" s="200"/>
      <c r="H27" s="200"/>
    </row>
    <row r="28" spans="1:8" ht="16.5" thickBot="1">
      <c r="A28" s="223" t="s">
        <v>250</v>
      </c>
      <c r="B28" s="154"/>
      <c r="C28" s="154"/>
      <c r="D28" s="154"/>
      <c r="E28" s="154"/>
      <c r="F28" s="224">
        <f>SUM(F10:F27)</f>
        <v>0</v>
      </c>
      <c r="G28" s="224">
        <f>SUM(G10:G27)</f>
        <v>0</v>
      </c>
      <c r="H28" s="224">
        <f>SUM(H10:H27)</f>
        <v>0</v>
      </c>
    </row>
    <row r="29" spans="1:8" ht="16.5" thickTop="1">
      <c r="A29" s="22"/>
      <c r="B29" s="22"/>
      <c r="C29" s="22"/>
      <c r="D29" s="22"/>
      <c r="E29" s="22"/>
      <c r="F29" s="22"/>
      <c r="G29" s="155"/>
      <c r="H29" s="155"/>
    </row>
    <row r="30" spans="1:8" ht="15.75">
      <c r="A30" s="225" t="s">
        <v>926</v>
      </c>
      <c r="B30" s="226"/>
      <c r="C30" s="226"/>
      <c r="D30" s="226"/>
      <c r="E30" s="226"/>
      <c r="F30" s="226"/>
      <c r="G30" s="155"/>
      <c r="H30" s="155"/>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80"/>
  <sheetViews>
    <sheetView zoomScalePageLayoutView="0" workbookViewId="0" topLeftCell="B1">
      <selection activeCell="E48" sqref="E48"/>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5" t="str">
        <f>inputPrYr!D2</f>
        <v>CITY OF CLIFTON</v>
      </c>
      <c r="C1" s="22"/>
      <c r="D1" s="22"/>
      <c r="E1" s="217">
        <f>inputPrYr!C5</f>
        <v>2012</v>
      </c>
    </row>
    <row r="2" spans="2:5" ht="15.75">
      <c r="B2" s="22"/>
      <c r="C2" s="22"/>
      <c r="D2" s="22"/>
      <c r="E2" s="150"/>
    </row>
    <row r="3" spans="2:5" ht="15.75">
      <c r="B3" s="41"/>
      <c r="C3" s="22"/>
      <c r="D3" s="22"/>
      <c r="E3" s="122"/>
    </row>
    <row r="4" spans="2:5" ht="15.75">
      <c r="B4" s="41" t="s">
        <v>323</v>
      </c>
      <c r="C4" s="227"/>
      <c r="D4" s="227"/>
      <c r="E4" s="227"/>
    </row>
    <row r="5" spans="2:5" ht="15.75">
      <c r="B5" s="153" t="s">
        <v>262</v>
      </c>
      <c r="C5" s="518" t="s">
        <v>277</v>
      </c>
      <c r="D5" s="519" t="s">
        <v>398</v>
      </c>
      <c r="E5" s="520" t="s">
        <v>399</v>
      </c>
    </row>
    <row r="6" spans="2:5" ht="15.75">
      <c r="B6" s="361" t="str">
        <f>inputPrYr!B17</f>
        <v>General</v>
      </c>
      <c r="C6" s="352">
        <f>E1-2</f>
        <v>2010</v>
      </c>
      <c r="D6" s="352">
        <f>E1-1</f>
        <v>2011</v>
      </c>
      <c r="E6" s="228">
        <f>E1</f>
        <v>2012</v>
      </c>
    </row>
    <row r="7" spans="2:5" ht="15.75">
      <c r="B7" s="229" t="s">
        <v>377</v>
      </c>
      <c r="C7" s="230">
        <v>6796</v>
      </c>
      <c r="D7" s="351">
        <f>C49</f>
        <v>1610.679999999993</v>
      </c>
      <c r="E7" s="198">
        <f>D49</f>
        <v>1415.679999999993</v>
      </c>
    </row>
    <row r="8" spans="2:5" ht="15.75">
      <c r="B8" s="232" t="s">
        <v>379</v>
      </c>
      <c r="C8" s="142"/>
      <c r="D8" s="142"/>
      <c r="E8" s="70"/>
    </row>
    <row r="9" spans="2:5" ht="15.75">
      <c r="B9" s="229" t="s">
        <v>263</v>
      </c>
      <c r="C9" s="230">
        <v>46723</v>
      </c>
      <c r="D9" s="351">
        <f>inputPrYr!E17</f>
        <v>51898</v>
      </c>
      <c r="E9" s="234" t="s">
        <v>251</v>
      </c>
    </row>
    <row r="10" spans="2:5" ht="15.75">
      <c r="B10" s="229" t="s">
        <v>264</v>
      </c>
      <c r="C10" s="230">
        <v>978</v>
      </c>
      <c r="D10" s="230"/>
      <c r="E10" s="235"/>
    </row>
    <row r="11" spans="2:5" ht="15.75">
      <c r="B11" s="229" t="s">
        <v>265</v>
      </c>
      <c r="C11" s="230">
        <v>16459</v>
      </c>
      <c r="D11" s="230">
        <v>16339</v>
      </c>
      <c r="E11" s="198">
        <f>mvalloc!C7</f>
        <v>18771</v>
      </c>
    </row>
    <row r="12" spans="2:5" ht="15.75">
      <c r="B12" s="229" t="s">
        <v>266</v>
      </c>
      <c r="C12" s="230">
        <v>298</v>
      </c>
      <c r="D12" s="230">
        <v>274</v>
      </c>
      <c r="E12" s="198">
        <f>mvalloc!D7</f>
        <v>337</v>
      </c>
    </row>
    <row r="13" spans="2:5" ht="15.75">
      <c r="B13" s="229" t="s">
        <v>355</v>
      </c>
      <c r="C13" s="230">
        <v>985</v>
      </c>
      <c r="D13" s="230">
        <v>905</v>
      </c>
      <c r="E13" s="198">
        <f>mvalloc!E7</f>
        <v>1278</v>
      </c>
    </row>
    <row r="14" spans="2:5" ht="15.75">
      <c r="B14" s="229" t="s">
        <v>690</v>
      </c>
      <c r="C14" s="230"/>
      <c r="D14" s="230"/>
      <c r="E14" s="198">
        <f>inputOth!E16</f>
        <v>0</v>
      </c>
    </row>
    <row r="15" spans="2:5" ht="15.75">
      <c r="B15" s="229" t="s">
        <v>401</v>
      </c>
      <c r="C15" s="230">
        <v>-537</v>
      </c>
      <c r="D15" s="230"/>
      <c r="E15" s="198">
        <f>inputOth!E42</f>
        <v>0</v>
      </c>
    </row>
    <row r="16" spans="2:5" ht="15.75">
      <c r="B16" s="142" t="s">
        <v>405</v>
      </c>
      <c r="C16" s="230"/>
      <c r="D16" s="230"/>
      <c r="E16" s="198">
        <f>mvalloc!F7</f>
        <v>0</v>
      </c>
    </row>
    <row r="17" spans="2:5" ht="15.75">
      <c r="B17" s="233" t="s">
        <v>691</v>
      </c>
      <c r="C17" s="230">
        <v>29723</v>
      </c>
      <c r="D17" s="230">
        <v>30000</v>
      </c>
      <c r="E17" s="50">
        <v>32000</v>
      </c>
    </row>
    <row r="18" spans="2:5" ht="15.75">
      <c r="B18" s="233" t="s">
        <v>616</v>
      </c>
      <c r="C18" s="230">
        <v>24783</v>
      </c>
      <c r="D18" s="230">
        <v>25000</v>
      </c>
      <c r="E18" s="50">
        <v>27000</v>
      </c>
    </row>
    <row r="19" spans="2:5" ht="15.75">
      <c r="B19" s="498" t="s">
        <v>617</v>
      </c>
      <c r="C19" s="230">
        <v>20991</v>
      </c>
      <c r="D19" s="230">
        <v>19000</v>
      </c>
      <c r="E19" s="50">
        <v>20000</v>
      </c>
    </row>
    <row r="20" spans="2:5" ht="15.75">
      <c r="B20" s="499" t="s">
        <v>692</v>
      </c>
      <c r="C20" s="230">
        <v>661</v>
      </c>
      <c r="D20" s="230">
        <v>1065</v>
      </c>
      <c r="E20" s="50">
        <v>1000</v>
      </c>
    </row>
    <row r="21" spans="2:5" ht="15.75">
      <c r="B21" s="499" t="s">
        <v>693</v>
      </c>
      <c r="C21" s="230">
        <v>2420</v>
      </c>
      <c r="D21" s="230"/>
      <c r="E21" s="50"/>
    </row>
    <row r="22" spans="2:5" ht="15.75">
      <c r="B22" s="499" t="s">
        <v>694</v>
      </c>
      <c r="C22" s="230">
        <v>7571</v>
      </c>
      <c r="D22" s="230">
        <v>5600</v>
      </c>
      <c r="E22" s="50">
        <v>7200</v>
      </c>
    </row>
    <row r="23" spans="2:5" ht="15.75">
      <c r="B23" s="233" t="s">
        <v>695</v>
      </c>
      <c r="C23" s="230">
        <v>2541</v>
      </c>
      <c r="D23" s="230"/>
      <c r="E23" s="50"/>
    </row>
    <row r="24" spans="2:5" ht="15.75">
      <c r="B24" s="233" t="s">
        <v>696</v>
      </c>
      <c r="C24" s="230"/>
      <c r="D24" s="230">
        <v>2000</v>
      </c>
      <c r="E24" s="50">
        <v>2000</v>
      </c>
    </row>
    <row r="25" spans="2:5" ht="15.75">
      <c r="B25" s="233" t="s">
        <v>697</v>
      </c>
      <c r="C25" s="230">
        <v>13777</v>
      </c>
      <c r="D25" s="230"/>
      <c r="E25" s="50"/>
    </row>
    <row r="26" spans="2:5" ht="15.75">
      <c r="B26" s="233" t="s">
        <v>267</v>
      </c>
      <c r="C26" s="230">
        <v>2165</v>
      </c>
      <c r="D26" s="230">
        <v>4224</v>
      </c>
      <c r="E26" s="50">
        <v>3500</v>
      </c>
    </row>
    <row r="27" spans="2:5" ht="15.75">
      <c r="B27" s="233" t="s">
        <v>698</v>
      </c>
      <c r="C27" s="230">
        <v>1000</v>
      </c>
      <c r="D27" s="230"/>
      <c r="E27" s="50"/>
    </row>
    <row r="28" spans="2:5" ht="15.75">
      <c r="B28" s="229" t="s">
        <v>699</v>
      </c>
      <c r="C28" s="349" t="s">
        <v>805</v>
      </c>
      <c r="D28" s="355" t="s">
        <v>805</v>
      </c>
      <c r="E28" s="237" t="s">
        <v>805</v>
      </c>
    </row>
    <row r="29" spans="2:5" ht="15.75">
      <c r="B29" s="238" t="s">
        <v>268</v>
      </c>
      <c r="C29" s="358">
        <f>SUM(C9:C27)</f>
        <v>170538</v>
      </c>
      <c r="D29" s="358">
        <f>SUM(D9:D27)</f>
        <v>156305</v>
      </c>
      <c r="E29" s="239">
        <f>SUM(E10:E27)</f>
        <v>113086</v>
      </c>
    </row>
    <row r="30" spans="2:5" ht="15.75">
      <c r="B30" s="238" t="s">
        <v>269</v>
      </c>
      <c r="C30" s="358">
        <f>C7+C29</f>
        <v>177334</v>
      </c>
      <c r="D30" s="358">
        <f>D7+D29</f>
        <v>157915.68</v>
      </c>
      <c r="E30" s="239">
        <f>E7+E29</f>
        <v>114501.68</v>
      </c>
    </row>
    <row r="31" spans="2:5" ht="15.75">
      <c r="B31" s="236" t="s">
        <v>271</v>
      </c>
      <c r="C31" s="230" t="s">
        <v>805</v>
      </c>
      <c r="D31" s="230" t="s">
        <v>805</v>
      </c>
      <c r="E31" s="50"/>
    </row>
    <row r="32" spans="2:5" ht="15.75">
      <c r="B32" s="236" t="s">
        <v>709</v>
      </c>
      <c r="C32" s="230">
        <v>9558</v>
      </c>
      <c r="D32" s="230">
        <v>10000</v>
      </c>
      <c r="E32" s="50">
        <v>12000</v>
      </c>
    </row>
    <row r="33" spans="2:5" ht="15.75">
      <c r="B33" s="236" t="s">
        <v>710</v>
      </c>
      <c r="C33" s="230">
        <v>22168</v>
      </c>
      <c r="D33" s="230">
        <v>18000</v>
      </c>
      <c r="E33" s="50">
        <v>20000</v>
      </c>
    </row>
    <row r="34" spans="2:5" ht="15.75">
      <c r="B34" s="236" t="s">
        <v>711</v>
      </c>
      <c r="C34" s="230">
        <v>2307</v>
      </c>
      <c r="D34" s="230">
        <v>2500</v>
      </c>
      <c r="E34" s="50">
        <v>2500</v>
      </c>
    </row>
    <row r="35" spans="2:5" ht="15.75">
      <c r="B35" s="236" t="s">
        <v>701</v>
      </c>
      <c r="C35" s="230">
        <v>11669</v>
      </c>
      <c r="D35" s="230">
        <v>9500</v>
      </c>
      <c r="E35" s="50">
        <v>9200</v>
      </c>
    </row>
    <row r="36" spans="2:5" ht="15.75">
      <c r="B36" s="236" t="s">
        <v>712</v>
      </c>
      <c r="C36" s="230">
        <v>8675</v>
      </c>
      <c r="D36" s="230">
        <v>10000</v>
      </c>
      <c r="E36" s="50">
        <v>10000</v>
      </c>
    </row>
    <row r="37" spans="2:5" ht="15.75">
      <c r="B37" s="240" t="s">
        <v>702</v>
      </c>
      <c r="C37" s="230">
        <v>23298</v>
      </c>
      <c r="D37" s="230">
        <v>24000</v>
      </c>
      <c r="E37" s="50">
        <v>26000</v>
      </c>
    </row>
    <row r="38" spans="2:5" ht="15.75">
      <c r="B38" s="240" t="s">
        <v>713</v>
      </c>
      <c r="C38" s="230">
        <v>19335</v>
      </c>
      <c r="D38" s="230">
        <v>15000</v>
      </c>
      <c r="E38" s="50">
        <v>15000</v>
      </c>
    </row>
    <row r="39" spans="2:5" ht="15.75">
      <c r="B39" s="240" t="s">
        <v>711</v>
      </c>
      <c r="C39" s="230">
        <v>2224</v>
      </c>
      <c r="D39" s="230">
        <v>3000</v>
      </c>
      <c r="E39" s="50">
        <v>3000</v>
      </c>
    </row>
    <row r="40" spans="2:5" ht="15.75">
      <c r="B40" s="240" t="s">
        <v>703</v>
      </c>
      <c r="C40" s="230">
        <v>5302</v>
      </c>
      <c r="D40" s="230">
        <v>5000</v>
      </c>
      <c r="E40" s="50">
        <v>5000</v>
      </c>
    </row>
    <row r="41" spans="2:5" ht="15.75">
      <c r="B41" s="240" t="s">
        <v>714</v>
      </c>
      <c r="C41" s="230">
        <v>0</v>
      </c>
      <c r="D41" s="230"/>
      <c r="E41" s="50"/>
    </row>
    <row r="42" spans="2:5" ht="15.75">
      <c r="B42" s="240" t="s">
        <v>711</v>
      </c>
      <c r="C42" s="230">
        <v>2386.32</v>
      </c>
      <c r="D42" s="230">
        <v>3000</v>
      </c>
      <c r="E42" s="50">
        <v>3000</v>
      </c>
    </row>
    <row r="43" spans="2:5" ht="15.75">
      <c r="B43" s="240" t="s">
        <v>704</v>
      </c>
      <c r="C43" s="230">
        <v>13297</v>
      </c>
      <c r="D43" s="230">
        <v>13000</v>
      </c>
      <c r="E43" s="50">
        <v>16000</v>
      </c>
    </row>
    <row r="44" spans="2:5" ht="15.75">
      <c r="B44" s="240" t="s">
        <v>705</v>
      </c>
      <c r="C44" s="230">
        <v>12004</v>
      </c>
      <c r="D44" s="230">
        <v>13000</v>
      </c>
      <c r="E44" s="50">
        <v>13000</v>
      </c>
    </row>
    <row r="45" spans="2:5" ht="15.75">
      <c r="B45" s="240" t="s">
        <v>706</v>
      </c>
      <c r="C45" s="230">
        <v>29723</v>
      </c>
      <c r="D45" s="230">
        <v>30000</v>
      </c>
      <c r="E45" s="50">
        <v>32000</v>
      </c>
    </row>
    <row r="46" spans="2:5" ht="15.75">
      <c r="B46" s="240" t="s">
        <v>707</v>
      </c>
      <c r="C46" s="230">
        <v>13777</v>
      </c>
      <c r="D46" s="230"/>
      <c r="E46" s="50"/>
    </row>
    <row r="47" spans="2:5" ht="15.75">
      <c r="B47" s="240" t="s">
        <v>708</v>
      </c>
      <c r="C47" s="230"/>
      <c r="D47" s="230">
        <v>500</v>
      </c>
      <c r="E47" s="50">
        <v>500</v>
      </c>
    </row>
    <row r="48" spans="2:10" ht="15.75">
      <c r="B48" s="238" t="s">
        <v>272</v>
      </c>
      <c r="C48" s="358">
        <f>SUM(C31:C47)</f>
        <v>175723.32</v>
      </c>
      <c r="D48" s="358">
        <f>SUM(D31:D47)</f>
        <v>156500</v>
      </c>
      <c r="E48" s="239">
        <f>SUM(E31:E47)</f>
        <v>167200</v>
      </c>
      <c r="G48" s="391"/>
      <c r="H48" s="385"/>
      <c r="I48" s="385"/>
      <c r="J48" s="392"/>
    </row>
    <row r="49" spans="2:10" ht="15.75">
      <c r="B49" s="134" t="s">
        <v>378</v>
      </c>
      <c r="C49" s="359">
        <f>C30-C48</f>
        <v>1610.679999999993</v>
      </c>
      <c r="D49" s="359">
        <f>D30-D48</f>
        <v>1415.679999999993</v>
      </c>
      <c r="E49" s="248" t="s">
        <v>251</v>
      </c>
      <c r="G49" s="393">
        <f>D49</f>
        <v>1415.679999999993</v>
      </c>
      <c r="H49" s="394" t="str">
        <f>CONCATENATE("",E1-1," Ending Cash Balance (est.)")</f>
        <v>2011 Ending Cash Balance (est.)</v>
      </c>
      <c r="I49" s="395"/>
      <c r="J49" s="392"/>
    </row>
    <row r="50" spans="2:10" ht="15.75">
      <c r="B50" s="122" t="str">
        <f>CONCATENATE("",$E$1-2,"/",$E$1-1," Budget Authority Amount:")</f>
        <v>2010/2011 Budget Authority Amount:</v>
      </c>
      <c r="C50" s="188">
        <f>inputOth!B62</f>
        <v>176224</v>
      </c>
      <c r="D50" s="242">
        <f>inputPrYr!D17</f>
        <v>179548</v>
      </c>
      <c r="E50" s="248" t="s">
        <v>251</v>
      </c>
      <c r="F50" s="243"/>
      <c r="G50" s="393">
        <f>E29</f>
        <v>113086</v>
      </c>
      <c r="H50" s="396" t="str">
        <f>CONCATENATE("",E1," Non-AV Receipts (est.)")</f>
        <v>2012 Non-AV Receipts (est.)</v>
      </c>
      <c r="I50" s="395"/>
      <c r="J50" s="392"/>
    </row>
    <row r="51" spans="2:10" ht="15.75">
      <c r="B51" s="122"/>
      <c r="C51" s="589" t="s">
        <v>811</v>
      </c>
      <c r="D51" s="590"/>
      <c r="E51" s="50"/>
      <c r="F51" s="377">
        <f>IF((E48/0.95)-E48&lt;E51,"Exceeds 5% ","")</f>
      </c>
      <c r="G51" s="397">
        <f>E55</f>
        <v>52698.32000000001</v>
      </c>
      <c r="H51" s="396" t="str">
        <f>CONCATENATE("",E1," Ad Valorem Tax (est.)")</f>
        <v>2012 Ad Valorem Tax (est.)</v>
      </c>
      <c r="I51" s="395"/>
      <c r="J51" s="392"/>
    </row>
    <row r="52" spans="2:10" ht="15.75">
      <c r="B52" s="363" t="str">
        <f>CONCATENATE(C79,"     ",D79)</f>
        <v>     </v>
      </c>
      <c r="C52" s="591" t="s">
        <v>812</v>
      </c>
      <c r="D52" s="592"/>
      <c r="E52" s="198">
        <f>E48+E51</f>
        <v>167200</v>
      </c>
      <c r="G52" s="393">
        <f>SUM(G49:G51)</f>
        <v>167200</v>
      </c>
      <c r="H52" s="396" t="str">
        <f>CONCATENATE("Total ",E1," Resources Available")</f>
        <v>Total 2012 Resources Available</v>
      </c>
      <c r="I52" s="395"/>
      <c r="J52" s="392"/>
    </row>
    <row r="53" spans="2:10" ht="15.75">
      <c r="B53" s="363" t="str">
        <f>CONCATENATE(C80,"     ",D80)</f>
        <v>     </v>
      </c>
      <c r="C53" s="244"/>
      <c r="D53" s="150" t="s">
        <v>273</v>
      </c>
      <c r="E53" s="58">
        <f>IF(E52-E30&gt;0,E52-E30,0)</f>
        <v>52698.32000000001</v>
      </c>
      <c r="G53" s="398"/>
      <c r="H53" s="396"/>
      <c r="I53" s="396"/>
      <c r="J53" s="392"/>
    </row>
    <row r="54" spans="2:10" ht="15.75">
      <c r="B54" s="122"/>
      <c r="C54" s="357" t="s">
        <v>813</v>
      </c>
      <c r="D54" s="364">
        <f>inputOth!E48</f>
        <v>0</v>
      </c>
      <c r="E54" s="58">
        <f>ROUND(IF(D54&gt;0,(E53*D54),0),0)</f>
        <v>0</v>
      </c>
      <c r="G54" s="397">
        <f>C48*0.05+C48</f>
        <v>184509.486</v>
      </c>
      <c r="H54" s="396" t="str">
        <f>CONCATENATE("Less ",E1-2," Expenditures + 5%")</f>
        <v>Less 2010 Expenditures + 5%</v>
      </c>
      <c r="I54" s="395"/>
      <c r="J54" s="392"/>
    </row>
    <row r="55" spans="2:10" ht="16.5" thickBot="1">
      <c r="B55" s="22"/>
      <c r="C55" s="593" t="str">
        <f>CONCATENATE("Amount of  ",$E$1-1," Ad Valorem Tax")</f>
        <v>Amount of  2011 Ad Valorem Tax</v>
      </c>
      <c r="D55" s="594"/>
      <c r="E55" s="354">
        <f>E53+E54</f>
        <v>52698.32000000001</v>
      </c>
      <c r="G55" s="403">
        <f>G52-G54</f>
        <v>-17309.486000000004</v>
      </c>
      <c r="H55" s="399" t="str">
        <f>CONCATENATE("Projected ",E1+1," Carryover (est.)")</f>
        <v>Projected 2013 Carryover (est.)</v>
      </c>
      <c r="I55" s="400"/>
      <c r="J55" s="401"/>
    </row>
    <row r="56" spans="2:10" ht="16.5" thickTop="1">
      <c r="B56" s="22"/>
      <c r="C56" s="22"/>
      <c r="D56" s="22"/>
      <c r="E56" s="22"/>
      <c r="G56" s="383"/>
      <c r="H56" s="383"/>
      <c r="I56" s="383"/>
      <c r="J56" s="383"/>
    </row>
    <row r="57" spans="2:10" ht="15.75">
      <c r="B57" s="570" t="s">
        <v>396</v>
      </c>
      <c r="C57" s="570"/>
      <c r="D57" s="570"/>
      <c r="E57" s="570"/>
      <c r="G57" s="470">
        <f>IF(inputOth!E7=0,"",ROUND(general!E55/inputOth!E7*1000,3))</f>
        <v>31.835</v>
      </c>
      <c r="H57" s="472" t="str">
        <f>CONCATENATE("Projected ",E1-1," Mill Rate (est.)")</f>
        <v>Projected 2011 Mill Rate (est.)</v>
      </c>
      <c r="I57" s="471"/>
      <c r="J57" s="84"/>
    </row>
    <row r="59" spans="2:10" ht="15.75">
      <c r="B59" s="85"/>
      <c r="G59" s="586" t="str">
        <f>CONCATENATE("Desired Carryover Into ",E1+1,"")</f>
        <v>Desired Carryover Into 2013</v>
      </c>
      <c r="H59" s="587"/>
      <c r="I59" s="587"/>
      <c r="J59" s="588"/>
    </row>
    <row r="60" spans="7:10" ht="15.75">
      <c r="G60" s="391"/>
      <c r="H60" s="385"/>
      <c r="I60" s="385"/>
      <c r="J60" s="392"/>
    </row>
    <row r="61" spans="7:10" ht="15.75">
      <c r="G61" s="402" t="s">
        <v>816</v>
      </c>
      <c r="H61" s="396"/>
      <c r="I61" s="396"/>
      <c r="J61" s="390">
        <v>0</v>
      </c>
    </row>
    <row r="62" spans="2:10" ht="15.75">
      <c r="B62" s="8"/>
      <c r="C62" s="8"/>
      <c r="G62" s="474" t="s">
        <v>817</v>
      </c>
      <c r="H62" s="384"/>
      <c r="I62" s="386"/>
      <c r="J62" s="473">
        <f>IF(J61=0,"",ROUND((J61+E55-G55)/inputOth!E7*1000,3)-general!G57)</f>
      </c>
    </row>
    <row r="63" spans="7:10" ht="15.75">
      <c r="G63" s="389" t="str">
        <f>CONCATENATE("",E1," Total Expenditures Must Be:")</f>
        <v>2012 Total Expenditures Must Be:</v>
      </c>
      <c r="H63" s="388"/>
      <c r="I63" s="387"/>
      <c r="J63" s="404">
        <f>IF((J61&gt;0),(E48+J61-G55),0)</f>
        <v>0</v>
      </c>
    </row>
    <row r="79" spans="3:4" ht="15.75" hidden="1">
      <c r="C79" s="23">
        <f>IF(C48&gt;C50,"See Tab A","")</f>
      </c>
      <c r="D79" s="23">
        <f>IF(D48&gt;D50,"See Tab C","")</f>
      </c>
    </row>
    <row r="80" spans="3:4" ht="15.75" hidden="1">
      <c r="C80" s="23">
        <f>IF(C49&lt;0,"See Tab B","")</f>
      </c>
      <c r="D80" s="23">
        <f>IF(D49&lt;0,"See Tab D","")</f>
      </c>
    </row>
  </sheetData>
  <sheetProtection/>
  <mergeCells count="5">
    <mergeCell ref="G59:J59"/>
    <mergeCell ref="C51:D51"/>
    <mergeCell ref="C52:D52"/>
    <mergeCell ref="B57:E57"/>
    <mergeCell ref="C55:D55"/>
  </mergeCells>
  <conditionalFormatting sqref="E51">
    <cfRule type="cellIs" priority="2" dxfId="81" operator="greaterThan" stopIfTrue="1">
      <formula>$E$48/0.95-$E$48</formula>
    </cfRule>
  </conditionalFormatting>
  <conditionalFormatting sqref="D48">
    <cfRule type="cellIs" priority="4" dxfId="2" operator="greaterThan" stopIfTrue="1">
      <formula>$D$50</formula>
    </cfRule>
  </conditionalFormatting>
  <conditionalFormatting sqref="C48">
    <cfRule type="cellIs" priority="5" dxfId="2" operator="greaterThan" stopIfTrue="1">
      <formula>$C$50</formula>
    </cfRule>
  </conditionalFormatting>
  <conditionalFormatting sqref="C49:D49">
    <cfRule type="cellIs" priority="6" dxfId="2"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6">
      <selection activeCell="D79" sqref="D7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5" t="str">
        <f>(inputPrYr!D2)</f>
        <v>CITY OF CLIFTON</v>
      </c>
      <c r="C1" s="22"/>
      <c r="D1" s="22"/>
      <c r="E1" s="217">
        <f>inputPrYr!C5</f>
        <v>2012</v>
      </c>
    </row>
    <row r="2" spans="2:5" ht="15.75">
      <c r="B2" s="22"/>
      <c r="C2" s="22"/>
      <c r="D2" s="22"/>
      <c r="E2" s="150"/>
    </row>
    <row r="3" spans="2:5" ht="15.75">
      <c r="B3" s="41" t="s">
        <v>323</v>
      </c>
      <c r="C3" s="174"/>
      <c r="D3" s="174"/>
      <c r="E3" s="250"/>
    </row>
    <row r="4" spans="2:5" ht="15.75">
      <c r="B4" s="22" t="s">
        <v>732</v>
      </c>
      <c r="C4" s="251"/>
      <c r="D4" s="251"/>
      <c r="E4" s="251"/>
    </row>
    <row r="5" spans="2:5" ht="15.75">
      <c r="B5" s="29" t="s">
        <v>262</v>
      </c>
      <c r="C5" s="518" t="s">
        <v>277</v>
      </c>
      <c r="D5" s="519" t="s">
        <v>398</v>
      </c>
      <c r="E5" s="520" t="s">
        <v>399</v>
      </c>
    </row>
    <row r="6" spans="2:5" ht="15.75">
      <c r="B6" s="361">
        <f>inputPrYr!B21</f>
        <v>0</v>
      </c>
      <c r="C6" s="352">
        <f>E1-2</f>
        <v>2010</v>
      </c>
      <c r="D6" s="352">
        <f>E1-1</f>
        <v>2011</v>
      </c>
      <c r="E6" s="228">
        <f>E1</f>
        <v>2012</v>
      </c>
    </row>
    <row r="7" spans="2:5" ht="15.75">
      <c r="B7" s="229" t="s">
        <v>377</v>
      </c>
      <c r="C7" s="230">
        <v>0</v>
      </c>
      <c r="D7" s="351">
        <f>C33</f>
        <v>0</v>
      </c>
      <c r="E7" s="198">
        <f>D33</f>
        <v>0</v>
      </c>
    </row>
    <row r="8" spans="2:5" ht="15.75">
      <c r="B8" s="232" t="s">
        <v>379</v>
      </c>
      <c r="C8" s="142"/>
      <c r="D8" s="142"/>
      <c r="E8" s="70"/>
    </row>
    <row r="9" spans="2:5" ht="15.75">
      <c r="B9" s="134" t="s">
        <v>263</v>
      </c>
      <c r="C9" s="230">
        <v>5449</v>
      </c>
      <c r="D9" s="351">
        <v>5585</v>
      </c>
      <c r="E9" s="248" t="s">
        <v>251</v>
      </c>
    </row>
    <row r="10" spans="2:5" ht="15.75">
      <c r="B10" s="134" t="s">
        <v>264</v>
      </c>
      <c r="C10" s="230">
        <v>108</v>
      </c>
      <c r="D10" s="230"/>
      <c r="E10" s="50"/>
    </row>
    <row r="11" spans="2:5" ht="15.75">
      <c r="B11" s="134" t="s">
        <v>265</v>
      </c>
      <c r="C11" s="230">
        <v>2149</v>
      </c>
      <c r="D11" s="230">
        <v>2252</v>
      </c>
      <c r="E11" s="198">
        <f>mvalloc!C9</f>
        <v>2020</v>
      </c>
    </row>
    <row r="12" spans="2:5" ht="15.75">
      <c r="B12" s="134" t="s">
        <v>266</v>
      </c>
      <c r="C12" s="230">
        <v>39</v>
      </c>
      <c r="D12" s="230">
        <v>38</v>
      </c>
      <c r="E12" s="198">
        <f>mvalloc!D9</f>
        <v>36</v>
      </c>
    </row>
    <row r="13" spans="2:5" ht="15.75">
      <c r="B13" s="142" t="s">
        <v>355</v>
      </c>
      <c r="C13" s="230">
        <v>96</v>
      </c>
      <c r="D13" s="230">
        <v>125</v>
      </c>
      <c r="E13" s="198">
        <f>mvalloc!E9</f>
        <v>138</v>
      </c>
    </row>
    <row r="14" spans="2:5" ht="15.75">
      <c r="B14" s="142" t="s">
        <v>405</v>
      </c>
      <c r="C14" s="230"/>
      <c r="D14" s="230"/>
      <c r="E14" s="198">
        <f>mvalloc!F9</f>
        <v>0</v>
      </c>
    </row>
    <row r="15" spans="2:5" ht="15.75">
      <c r="B15" s="240" t="s">
        <v>401</v>
      </c>
      <c r="C15" s="230">
        <v>-63</v>
      </c>
      <c r="D15" s="230"/>
      <c r="E15" s="50"/>
    </row>
    <row r="16" spans="2:5" ht="15.75">
      <c r="B16" s="240"/>
      <c r="C16" s="230"/>
      <c r="D16" s="230"/>
      <c r="E16" s="50"/>
    </row>
    <row r="17" spans="2:5" ht="15.75">
      <c r="B17" s="240"/>
      <c r="C17" s="230"/>
      <c r="D17" s="230"/>
      <c r="E17" s="50"/>
    </row>
    <row r="18" spans="2:5" ht="15.75">
      <c r="B18" s="236" t="s">
        <v>267</v>
      </c>
      <c r="C18" s="230"/>
      <c r="D18" s="230"/>
      <c r="E18" s="50"/>
    </row>
    <row r="19" spans="2:5" ht="15.75">
      <c r="B19" s="142" t="s">
        <v>509</v>
      </c>
      <c r="C19" s="230"/>
      <c r="D19" s="230"/>
      <c r="E19" s="50"/>
    </row>
    <row r="20" spans="2:5" ht="15.75">
      <c r="B20" s="229" t="s">
        <v>663</v>
      </c>
      <c r="C20" s="349">
        <f>IF(C21*0.1&lt;C19,"Exceed 10% Rule","")</f>
      </c>
      <c r="D20" s="349">
        <f>IF(D21*0.1&lt;D19,"Exceed 10% Rule","")</f>
      </c>
      <c r="E20" s="355">
        <f>IF(E21*0.1+E39&lt;E19,"Exceed 10% Rule","")</f>
      </c>
    </row>
    <row r="21" spans="2:5" ht="15.75">
      <c r="B21" s="238" t="s">
        <v>268</v>
      </c>
      <c r="C21" s="353">
        <f>SUM(C9:C19)</f>
        <v>7778</v>
      </c>
      <c r="D21" s="353">
        <f>SUM(D9:D19)</f>
        <v>8000</v>
      </c>
      <c r="E21" s="252">
        <f>SUM(E9:E19)</f>
        <v>2194</v>
      </c>
    </row>
    <row r="22" spans="2:5" ht="15.75">
      <c r="B22" s="238" t="s">
        <v>269</v>
      </c>
      <c r="C22" s="351">
        <f>C7+C21</f>
        <v>7778</v>
      </c>
      <c r="D22" s="351">
        <f>D7+D21</f>
        <v>8000</v>
      </c>
      <c r="E22" s="198">
        <f>E7+E21</f>
        <v>2194</v>
      </c>
    </row>
    <row r="23" spans="2:5" ht="15.75">
      <c r="B23" s="134" t="s">
        <v>271</v>
      </c>
      <c r="C23" s="241"/>
      <c r="D23" s="241"/>
      <c r="E23" s="48"/>
    </row>
    <row r="24" spans="2:5" ht="15.75">
      <c r="B24" s="240" t="s">
        <v>734</v>
      </c>
      <c r="C24" s="230">
        <v>7778</v>
      </c>
      <c r="D24" s="230">
        <v>8000</v>
      </c>
      <c r="E24" s="50">
        <v>9500</v>
      </c>
    </row>
    <row r="25" spans="2:5" ht="15.75">
      <c r="B25" s="240"/>
      <c r="C25" s="230"/>
      <c r="D25" s="230"/>
      <c r="E25" s="50"/>
    </row>
    <row r="26" spans="2:5" ht="15.75">
      <c r="B26" s="240"/>
      <c r="C26" s="230"/>
      <c r="D26" s="230"/>
      <c r="E26" s="50"/>
    </row>
    <row r="27" spans="2:5" ht="15.75">
      <c r="B27" s="240"/>
      <c r="C27" s="230"/>
      <c r="D27" s="230"/>
      <c r="E27" s="50"/>
    </row>
    <row r="28" spans="2:5" ht="15.75">
      <c r="B28" s="240"/>
      <c r="C28" s="230"/>
      <c r="D28" s="230"/>
      <c r="E28" s="50"/>
    </row>
    <row r="29" spans="2:5" ht="15.75">
      <c r="B29" s="241" t="s">
        <v>510</v>
      </c>
      <c r="C29" s="230"/>
      <c r="D29" s="230"/>
      <c r="E29" s="58">
        <f>nhood!E9</f>
      </c>
    </row>
    <row r="30" spans="2:5" ht="15.75">
      <c r="B30" s="241" t="s">
        <v>509</v>
      </c>
      <c r="C30" s="230"/>
      <c r="D30" s="230"/>
      <c r="E30" s="50"/>
    </row>
    <row r="31" spans="2:5" ht="15.75">
      <c r="B31" s="241" t="s">
        <v>664</v>
      </c>
      <c r="C31" s="349">
        <f>IF(C32*0.1&lt;C30,"Exceed 10% Rule","")</f>
      </c>
      <c r="D31" s="349">
        <f>IF(D32*0.1&lt;D30,"Exceed 10% Rule","")</f>
      </c>
      <c r="E31" s="355">
        <f>IF(E32*0.1&lt;E30,"Exceed 10% Rule","")</f>
      </c>
    </row>
    <row r="32" spans="2:5" ht="15.75">
      <c r="B32" s="238" t="s">
        <v>272</v>
      </c>
      <c r="C32" s="353">
        <f>SUM(C24:C30)</f>
        <v>7778</v>
      </c>
      <c r="D32" s="353">
        <f>SUM(D24:D30)</f>
        <v>8000</v>
      </c>
      <c r="E32" s="252">
        <f>SUM(E24:E30)</f>
        <v>9500</v>
      </c>
    </row>
    <row r="33" spans="2:5" ht="15.75">
      <c r="B33" s="134" t="s">
        <v>378</v>
      </c>
      <c r="C33" s="351">
        <f>C22-C32</f>
        <v>0</v>
      </c>
      <c r="D33" s="351">
        <f>D22-D32</f>
        <v>0</v>
      </c>
      <c r="E33" s="248" t="s">
        <v>251</v>
      </c>
    </row>
    <row r="34" spans="2:6" ht="15.75">
      <c r="B34" s="122" t="str">
        <f>CONCATENATE("",$E$1-2,"/",$E$1-1," Budget Authority Amount:")</f>
        <v>2010/2011 Budget Authority Amount:</v>
      </c>
      <c r="C34" s="188">
        <v>8000</v>
      </c>
      <c r="D34" s="242">
        <v>8000</v>
      </c>
      <c r="E34" s="248" t="s">
        <v>251</v>
      </c>
      <c r="F34" s="243"/>
    </row>
    <row r="35" spans="2:6" ht="15.75">
      <c r="B35" s="122"/>
      <c r="C35" s="589" t="s">
        <v>811</v>
      </c>
      <c r="D35" s="590"/>
      <c r="E35" s="50"/>
      <c r="F35" s="243">
        <f>IF(E32/0.95-E32&lt;E35,"Exceeds 5%","")</f>
      </c>
    </row>
    <row r="36" spans="2:5" ht="15.75">
      <c r="B36" s="363" t="str">
        <f>CONCATENATE(C90,"     ",D90)</f>
        <v>     </v>
      </c>
      <c r="C36" s="591" t="s">
        <v>812</v>
      </c>
      <c r="D36" s="592"/>
      <c r="E36" s="198">
        <f>SUM(E32+E35)</f>
        <v>9500</v>
      </c>
    </row>
    <row r="37" spans="2:5" ht="15.75">
      <c r="B37" s="363" t="str">
        <f>CONCATENATE(C91,"     ",D91)</f>
        <v>     </v>
      </c>
      <c r="C37" s="357"/>
      <c r="D37" s="150" t="s">
        <v>273</v>
      </c>
      <c r="E37" s="198">
        <f>IF(E36-E22&gt;0,E36-E22,0)</f>
        <v>7306</v>
      </c>
    </row>
    <row r="38" spans="2:5" ht="15.75">
      <c r="B38" s="363"/>
      <c r="C38" s="357" t="s">
        <v>813</v>
      </c>
      <c r="D38" s="364">
        <f>inputOth!$E$48</f>
        <v>0</v>
      </c>
      <c r="E38" s="198">
        <f>ROUND(IF($D$38&gt;0,($E$36*$D$38),0),0)</f>
        <v>0</v>
      </c>
    </row>
    <row r="39" spans="2:5" ht="16.5" thickBot="1">
      <c r="B39" s="22"/>
      <c r="C39" s="593" t="str">
        <f>CONCATENATE("Amount of  ",$E$1-1," Ad Valorem Tax")</f>
        <v>Amount of  2011 Ad Valorem Tax</v>
      </c>
      <c r="D39" s="594"/>
      <c r="E39" s="253">
        <f>SUM(E37:E38)</f>
        <v>7306</v>
      </c>
    </row>
    <row r="40" spans="2:5" ht="16.5" thickTop="1">
      <c r="B40" s="22" t="s">
        <v>733</v>
      </c>
      <c r="C40" s="22"/>
      <c r="D40" s="22"/>
      <c r="E40" s="22"/>
    </row>
    <row r="41" spans="2:5" ht="15.75">
      <c r="B41" s="29" t="s">
        <v>262</v>
      </c>
      <c r="C41" s="251"/>
      <c r="D41" s="251"/>
      <c r="E41" s="251"/>
    </row>
    <row r="42" spans="2:5" ht="15.75">
      <c r="B42" s="22"/>
      <c r="C42" s="518" t="s">
        <v>277</v>
      </c>
      <c r="D42" s="519" t="s">
        <v>398</v>
      </c>
      <c r="E42" s="520" t="s">
        <v>399</v>
      </c>
    </row>
    <row r="43" spans="2:5" ht="15.75">
      <c r="B43" s="360">
        <f>(inputPrYr!B22)</f>
        <v>0</v>
      </c>
      <c r="C43" s="352">
        <f>C6</f>
        <v>2010</v>
      </c>
      <c r="D43" s="352">
        <f>D6</f>
        <v>2011</v>
      </c>
      <c r="E43" s="228">
        <f>E6</f>
        <v>2012</v>
      </c>
    </row>
    <row r="44" spans="2:5" ht="15.75">
      <c r="B44" s="229" t="s">
        <v>377</v>
      </c>
      <c r="C44" s="230">
        <v>887</v>
      </c>
      <c r="D44" s="351">
        <f>C70</f>
        <v>4314</v>
      </c>
      <c r="E44" s="198">
        <f>D70</f>
        <v>1369</v>
      </c>
    </row>
    <row r="45" spans="2:5" ht="15.75">
      <c r="B45" s="229" t="s">
        <v>379</v>
      </c>
      <c r="C45" s="142"/>
      <c r="D45" s="142"/>
      <c r="E45" s="70"/>
    </row>
    <row r="46" spans="2:5" ht="15.75">
      <c r="B46" s="134" t="s">
        <v>263</v>
      </c>
      <c r="C46" s="230">
        <v>6687</v>
      </c>
      <c r="D46" s="351">
        <v>3530</v>
      </c>
      <c r="E46" s="248" t="s">
        <v>251</v>
      </c>
    </row>
    <row r="47" spans="2:5" ht="15.75">
      <c r="B47" s="134" t="s">
        <v>264</v>
      </c>
      <c r="C47" s="230">
        <v>129</v>
      </c>
      <c r="D47" s="230"/>
      <c r="E47" s="50"/>
    </row>
    <row r="48" spans="2:5" ht="15.75">
      <c r="B48" s="134" t="s">
        <v>265</v>
      </c>
      <c r="C48" s="230">
        <v>2768</v>
      </c>
      <c r="D48" s="230">
        <v>2886</v>
      </c>
      <c r="E48" s="198">
        <v>1277</v>
      </c>
    </row>
    <row r="49" spans="2:5" ht="15.75">
      <c r="B49" s="134" t="s">
        <v>266</v>
      </c>
      <c r="C49" s="230">
        <v>50</v>
      </c>
      <c r="D49" s="230">
        <v>48</v>
      </c>
      <c r="E49" s="198">
        <v>23</v>
      </c>
    </row>
    <row r="50" spans="2:5" ht="15.75">
      <c r="B50" s="142" t="s">
        <v>355</v>
      </c>
      <c r="C50" s="230">
        <v>127</v>
      </c>
      <c r="D50" s="230">
        <v>160</v>
      </c>
      <c r="E50" s="198">
        <v>87</v>
      </c>
    </row>
    <row r="51" spans="2:5" ht="15.75">
      <c r="B51" s="142" t="s">
        <v>405</v>
      </c>
      <c r="C51" s="230"/>
      <c r="D51" s="230"/>
      <c r="E51" s="198" t="str">
        <f>mvalloc!F10</f>
        <v> </v>
      </c>
    </row>
    <row r="52" spans="2:5" ht="15.75">
      <c r="B52" s="240" t="s">
        <v>735</v>
      </c>
      <c r="C52" s="230">
        <v>-77</v>
      </c>
      <c r="D52" s="230"/>
      <c r="E52" s="50"/>
    </row>
    <row r="53" spans="2:5" ht="15.75">
      <c r="B53" s="240" t="s">
        <v>736</v>
      </c>
      <c r="C53" s="230">
        <v>3356</v>
      </c>
      <c r="D53" s="230">
        <v>400</v>
      </c>
      <c r="E53" s="50">
        <v>700</v>
      </c>
    </row>
    <row r="54" spans="2:5" ht="15.75">
      <c r="B54" s="240"/>
      <c r="C54" s="230"/>
      <c r="D54" s="230"/>
      <c r="E54" s="50"/>
    </row>
    <row r="55" spans="2:5" ht="15.75">
      <c r="B55" s="236" t="s">
        <v>267</v>
      </c>
      <c r="C55" s="230"/>
      <c r="D55" s="230"/>
      <c r="E55" s="50"/>
    </row>
    <row r="56" spans="2:5" ht="15.75">
      <c r="B56" s="142" t="s">
        <v>509</v>
      </c>
      <c r="C56" s="230"/>
      <c r="D56" s="230"/>
      <c r="E56" s="50"/>
    </row>
    <row r="57" spans="2:5" ht="15.75">
      <c r="B57" s="229" t="s">
        <v>663</v>
      </c>
      <c r="C57" s="349">
        <f>IF(C58*0.1&lt;C56,"Exceed 10% Rule","")</f>
      </c>
      <c r="D57" s="349">
        <f>IF(D58*0.1&lt;D56,"Exceed 10% Rule","")</f>
      </c>
      <c r="E57" s="355">
        <f>IF(E58*0.1+E76&lt;E56,"Exceed 10% Rule","")</f>
      </c>
    </row>
    <row r="58" spans="2:5" ht="15.75">
      <c r="B58" s="238" t="s">
        <v>268</v>
      </c>
      <c r="C58" s="353">
        <f>SUM(C46:C56)</f>
        <v>13040</v>
      </c>
      <c r="D58" s="353">
        <f>SUM(D46:D56)</f>
        <v>7024</v>
      </c>
      <c r="E58" s="252">
        <f>SUM(E46:E56)</f>
        <v>2087</v>
      </c>
    </row>
    <row r="59" spans="2:5" ht="15.75">
      <c r="B59" s="238" t="s">
        <v>269</v>
      </c>
      <c r="C59" s="353">
        <f>C44+C58</f>
        <v>13927</v>
      </c>
      <c r="D59" s="353">
        <f>D44+D58</f>
        <v>11338</v>
      </c>
      <c r="E59" s="252">
        <f>E44+E58</f>
        <v>3456</v>
      </c>
    </row>
    <row r="60" spans="2:5" ht="15.75">
      <c r="B60" s="134" t="s">
        <v>271</v>
      </c>
      <c r="C60" s="241"/>
      <c r="D60" s="241"/>
      <c r="E60" s="48"/>
    </row>
    <row r="61" spans="2:5" ht="15.75">
      <c r="B61" s="240" t="s">
        <v>737</v>
      </c>
      <c r="C61" s="230">
        <v>5618</v>
      </c>
      <c r="D61" s="230">
        <v>6000</v>
      </c>
      <c r="E61" s="50">
        <v>6200</v>
      </c>
    </row>
    <row r="62" spans="2:5" ht="15.75">
      <c r="B62" s="240" t="s">
        <v>738</v>
      </c>
      <c r="C62" s="230">
        <v>1777</v>
      </c>
      <c r="D62" s="230">
        <v>2470</v>
      </c>
      <c r="E62" s="50">
        <v>2000</v>
      </c>
    </row>
    <row r="63" spans="2:5" ht="15.75">
      <c r="B63" s="240" t="s">
        <v>739</v>
      </c>
      <c r="C63" s="230">
        <v>2218</v>
      </c>
      <c r="D63" s="230">
        <v>1499</v>
      </c>
      <c r="E63" s="50">
        <v>2000</v>
      </c>
    </row>
    <row r="64" spans="2:5" ht="15.75">
      <c r="B64" s="240"/>
      <c r="C64" s="230"/>
      <c r="D64" s="230"/>
      <c r="E64" s="50"/>
    </row>
    <row r="65" spans="2:5" ht="15.75">
      <c r="B65" s="240"/>
      <c r="C65" s="230"/>
      <c r="D65" s="230"/>
      <c r="E65" s="50"/>
    </row>
    <row r="66" spans="2:5" ht="15.75">
      <c r="B66" s="241" t="s">
        <v>510</v>
      </c>
      <c r="C66" s="230"/>
      <c r="D66" s="230"/>
      <c r="E66" s="58">
        <f>nhood!E10</f>
      </c>
    </row>
    <row r="67" spans="2:5" ht="15.75">
      <c r="B67" s="241" t="s">
        <v>509</v>
      </c>
      <c r="C67" s="230"/>
      <c r="D67" s="230"/>
      <c r="E67" s="50"/>
    </row>
    <row r="68" spans="2:5" ht="15.75">
      <c r="B68" s="241" t="s">
        <v>664</v>
      </c>
      <c r="C68" s="349">
        <f>IF(C69*0.1&lt;C67,"Exceed 10% Rule","")</f>
      </c>
      <c r="D68" s="349">
        <f>IF(D69*0.1&lt;D67,"Exceed 10% Rule","")</f>
      </c>
      <c r="E68" s="355">
        <f>IF(E69*0.1&lt;E67,"Exceed 10% Rule","")</f>
      </c>
    </row>
    <row r="69" spans="2:5" ht="15.75">
      <c r="B69" s="238" t="s">
        <v>272</v>
      </c>
      <c r="C69" s="353">
        <f>SUM(C61:C67)</f>
        <v>9613</v>
      </c>
      <c r="D69" s="353">
        <f>SUM(D61:D67)</f>
        <v>9969</v>
      </c>
      <c r="E69" s="252">
        <f>SUM(E61:E67)</f>
        <v>10200</v>
      </c>
    </row>
    <row r="70" spans="2:5" ht="15.75">
      <c r="B70" s="134" t="s">
        <v>378</v>
      </c>
      <c r="C70" s="351">
        <f>C59-C69</f>
        <v>4314</v>
      </c>
      <c r="D70" s="351">
        <f>D59-D69</f>
        <v>1369</v>
      </c>
      <c r="E70" s="248" t="s">
        <v>251</v>
      </c>
    </row>
    <row r="71" spans="2:6" ht="15.75">
      <c r="B71" s="122" t="str">
        <f>CONCATENATE("",$E$1-2,"/",$E$1-1," Budget Authority Amount:")</f>
        <v>2010/2011 Budget Authority Amount:</v>
      </c>
      <c r="C71" s="188">
        <v>10800</v>
      </c>
      <c r="D71" s="242">
        <v>9969</v>
      </c>
      <c r="E71" s="248" t="s">
        <v>251</v>
      </c>
      <c r="F71" s="243"/>
    </row>
    <row r="72" spans="2:6" ht="15.75">
      <c r="B72" s="122"/>
      <c r="C72" s="589" t="s">
        <v>811</v>
      </c>
      <c r="D72" s="590"/>
      <c r="E72" s="50"/>
      <c r="F72" s="243">
        <f>IF(E69/0.95-E69&lt;E72,"Exceeds 5%","")</f>
      </c>
    </row>
    <row r="73" spans="2:5" ht="15.75">
      <c r="B73" s="363" t="str">
        <f>CONCATENATE(C92,"     ",D92)</f>
        <v>     </v>
      </c>
      <c r="C73" s="591" t="s">
        <v>812</v>
      </c>
      <c r="D73" s="592"/>
      <c r="E73" s="198">
        <f>E69+E72</f>
        <v>10200</v>
      </c>
    </row>
    <row r="74" spans="2:5" ht="15.75">
      <c r="B74" s="363" t="str">
        <f>CONCATENATE(C93,"     ",D93)</f>
        <v>     </v>
      </c>
      <c r="C74" s="244"/>
      <c r="D74" s="150" t="s">
        <v>273</v>
      </c>
      <c r="E74" s="198">
        <f>IF(E73-E59&gt;0,E73-E59,0)</f>
        <v>6744</v>
      </c>
    </row>
    <row r="75" spans="2:5" ht="15.75">
      <c r="B75" s="122"/>
      <c r="C75" s="357" t="s">
        <v>813</v>
      </c>
      <c r="D75" s="364">
        <f>inputOth!$E$48</f>
        <v>0</v>
      </c>
      <c r="E75" s="198">
        <f>ROUND(IF($D$75&gt;0,($E$74*$D$75),0),0)</f>
        <v>0</v>
      </c>
    </row>
    <row r="76" spans="2:5" ht="16.5" thickBot="1">
      <c r="B76" s="150"/>
      <c r="C76" s="593" t="str">
        <f>CONCATENATE("Amount of  ",$E$1-1," Ad Valorem Tax")</f>
        <v>Amount of  2011 Ad Valorem Tax</v>
      </c>
      <c r="D76" s="594"/>
      <c r="E76" s="253">
        <f>E74+E75</f>
        <v>6744</v>
      </c>
    </row>
    <row r="77" spans="2:5" ht="16.5" thickTop="1">
      <c r="B77" s="150"/>
      <c r="C77" s="500"/>
      <c r="D77" s="150"/>
      <c r="E77" s="150"/>
    </row>
    <row r="78" spans="2:5" ht="15.75">
      <c r="B78" s="122" t="s">
        <v>275</v>
      </c>
      <c r="C78" s="247">
        <v>8</v>
      </c>
      <c r="D78" s="22"/>
      <c r="E78" s="22"/>
    </row>
    <row r="79" ht="15.75">
      <c r="B79" s="356"/>
    </row>
    <row r="80" ht="15.75">
      <c r="B80" s="8"/>
    </row>
    <row r="90" spans="3:4" ht="15.75" hidden="1">
      <c r="C90" s="365">
        <f>IF(C32&gt;C34,"See Tab A","")</f>
      </c>
      <c r="D90" s="365">
        <f>IF(D32&gt;D34,"See Tab C","")</f>
      </c>
    </row>
    <row r="91" spans="3:4" ht="15.75" hidden="1">
      <c r="C91" s="365">
        <f>IF(C33&lt;0,"See Tab B","")</f>
      </c>
      <c r="D91" s="365">
        <f>IF(D33&lt;0,"See Tab D","")</f>
      </c>
    </row>
    <row r="92" spans="3:4" ht="15.75" hidden="1">
      <c r="C92" s="365">
        <f>IF(C69&gt;C71,"See Tab A","")</f>
      </c>
      <c r="D92" s="365">
        <f>IF(D69&gt;D71,"See Tab C","")</f>
      </c>
    </row>
    <row r="93" spans="3:4" ht="15.75" hidden="1">
      <c r="C93" s="365">
        <f>IF(C70&lt;0,"See Tab B","")</f>
      </c>
      <c r="D93" s="365">
        <f>IF(D70&lt;0,"See Tab D","")</f>
      </c>
    </row>
  </sheetData>
  <sheetProtection/>
  <mergeCells count="6">
    <mergeCell ref="C35:D35"/>
    <mergeCell ref="C36:D36"/>
    <mergeCell ref="C76:D76"/>
    <mergeCell ref="C39:D39"/>
    <mergeCell ref="C72:D72"/>
    <mergeCell ref="C73:D73"/>
  </mergeCells>
  <conditionalFormatting sqref="E67">
    <cfRule type="cellIs" priority="4" dxfId="81" operator="greaterThan" stopIfTrue="1">
      <formula>$E$69*0.1</formula>
    </cfRule>
  </conditionalFormatting>
  <conditionalFormatting sqref="E72">
    <cfRule type="cellIs" priority="5" dxfId="81" operator="greaterThan" stopIfTrue="1">
      <formula>$E$69/0.95-$E$69</formula>
    </cfRule>
  </conditionalFormatting>
  <conditionalFormatting sqref="E30">
    <cfRule type="cellIs" priority="6" dxfId="81" operator="greaterThan" stopIfTrue="1">
      <formula>$E$32*0.1</formula>
    </cfRule>
  </conditionalFormatting>
  <conditionalFormatting sqref="D32">
    <cfRule type="cellIs" priority="8" dxfId="2" operator="greaterThan" stopIfTrue="1">
      <formula>$D$34</formula>
    </cfRule>
  </conditionalFormatting>
  <conditionalFormatting sqref="C32">
    <cfRule type="cellIs" priority="9" dxfId="2" operator="greaterThan" stopIfTrue="1">
      <formula>$C$34</formula>
    </cfRule>
  </conditionalFormatting>
  <conditionalFormatting sqref="C33 C70">
    <cfRule type="cellIs" priority="10" dxfId="2" operator="lessThan" stopIfTrue="1">
      <formula>0</formula>
    </cfRule>
  </conditionalFormatting>
  <conditionalFormatting sqref="D69">
    <cfRule type="cellIs" priority="11" dxfId="2" operator="greaterThan" stopIfTrue="1">
      <formula>$D$71</formula>
    </cfRule>
  </conditionalFormatting>
  <conditionalFormatting sqref="C69">
    <cfRule type="cellIs" priority="12" dxfId="2" operator="greaterThan" stopIfTrue="1">
      <formula>$C$71</formula>
    </cfRule>
  </conditionalFormatting>
  <conditionalFormatting sqref="C30">
    <cfRule type="cellIs" priority="13" dxfId="2" operator="greaterThan" stopIfTrue="1">
      <formula>$C$32*0.1</formula>
    </cfRule>
  </conditionalFormatting>
  <conditionalFormatting sqref="D30">
    <cfRule type="cellIs" priority="14" dxfId="2" operator="greaterThan" stopIfTrue="1">
      <formula>$D$32*0.1</formula>
    </cfRule>
  </conditionalFormatting>
  <conditionalFormatting sqref="C67">
    <cfRule type="cellIs" priority="15" dxfId="2" operator="greaterThan" stopIfTrue="1">
      <formula>$C$69*0.1</formula>
    </cfRule>
  </conditionalFormatting>
  <conditionalFormatting sqref="D67">
    <cfRule type="cellIs" priority="16" dxfId="2" operator="greaterThan" stopIfTrue="1">
      <formula>$D$69*0.1</formula>
    </cfRule>
  </conditionalFormatting>
  <conditionalFormatting sqref="D19">
    <cfRule type="cellIs" priority="17" dxfId="2" operator="greaterThan" stopIfTrue="1">
      <formula>$D$21*0.1</formula>
    </cfRule>
  </conditionalFormatting>
  <conditionalFormatting sqref="C19">
    <cfRule type="cellIs" priority="18" dxfId="2" operator="greaterThan" stopIfTrue="1">
      <formula>$C$21*0.1</formula>
    </cfRule>
  </conditionalFormatting>
  <conditionalFormatting sqref="D56">
    <cfRule type="cellIs" priority="19" dxfId="2" operator="greaterThan" stopIfTrue="1">
      <formula>$D$58*0.1</formula>
    </cfRule>
  </conditionalFormatting>
  <conditionalFormatting sqref="C56">
    <cfRule type="cellIs" priority="20" dxfId="2" operator="greaterThan" stopIfTrue="1">
      <formula>$C$58*0.1</formula>
    </cfRule>
  </conditionalFormatting>
  <conditionalFormatting sqref="E56">
    <cfRule type="cellIs" priority="21" dxfId="81" operator="greaterThan" stopIfTrue="1">
      <formula>$E$58*0.1+E76</formula>
    </cfRule>
  </conditionalFormatting>
  <conditionalFormatting sqref="E19">
    <cfRule type="cellIs" priority="22" dxfId="81"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81" operator="greaterThan" stopIfTrue="1">
      <formula>$E$69/0.95-$E$69</formula>
    </cfRule>
  </conditionalFormatting>
  <printOptions/>
  <pageMargins left="0.5" right="0.5" top="1" bottom="0.5" header="0.5" footer="0.5"/>
  <pageSetup blackAndWhite="1" fitToHeight="1" fitToWidth="1" horizontalDpi="120" verticalDpi="120" orientation="portrait" scale="4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10" sqref="C1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5" t="str">
        <f>(inputPrYr!D2)</f>
        <v>CITY OF CLIFTON</v>
      </c>
      <c r="C1" s="22"/>
      <c r="D1" s="22"/>
      <c r="E1" s="217">
        <f>inputPrYr!C5</f>
        <v>2012</v>
      </c>
    </row>
    <row r="2" spans="2:5" ht="15.75">
      <c r="B2" s="22"/>
      <c r="C2" s="22"/>
      <c r="D2" s="22"/>
      <c r="E2" s="150"/>
    </row>
    <row r="3" spans="2:5" ht="15.75">
      <c r="B3" s="41" t="s">
        <v>324</v>
      </c>
      <c r="C3" s="251"/>
      <c r="D3" s="251"/>
      <c r="E3" s="251"/>
    </row>
    <row r="4" spans="2:5" ht="15.75">
      <c r="B4" s="29" t="s">
        <v>262</v>
      </c>
      <c r="C4" s="521" t="s">
        <v>277</v>
      </c>
      <c r="D4" s="520" t="s">
        <v>398</v>
      </c>
      <c r="E4" s="520" t="s">
        <v>399</v>
      </c>
    </row>
    <row r="5" spans="2:5" ht="15.75">
      <c r="B5" s="361" t="s">
        <v>740</v>
      </c>
      <c r="C5" s="228">
        <f>E1-2</f>
        <v>2010</v>
      </c>
      <c r="D5" s="228">
        <f>E1-1</f>
        <v>2011</v>
      </c>
      <c r="E5" s="228">
        <f>E1</f>
        <v>2012</v>
      </c>
    </row>
    <row r="6" spans="2:5" ht="15.75">
      <c r="B6" s="229" t="s">
        <v>377</v>
      </c>
      <c r="C6" s="50">
        <v>34292</v>
      </c>
      <c r="D6" s="198">
        <f>C29</f>
        <v>18222</v>
      </c>
      <c r="E6" s="198">
        <f>D29</f>
        <v>2586</v>
      </c>
    </row>
    <row r="7" spans="2:5" ht="15.75">
      <c r="B7" s="232" t="s">
        <v>379</v>
      </c>
      <c r="C7" s="70"/>
      <c r="D7" s="70"/>
      <c r="E7" s="70"/>
    </row>
    <row r="8" spans="2:5" ht="15.75">
      <c r="B8" s="241" t="s">
        <v>357</v>
      </c>
      <c r="C8" s="50">
        <v>13346</v>
      </c>
      <c r="D8" s="198">
        <v>11364</v>
      </c>
      <c r="E8" s="198">
        <f>inputOth!E52</f>
        <v>13590</v>
      </c>
    </row>
    <row r="9" spans="2:5" ht="15.75">
      <c r="B9" s="241" t="s">
        <v>741</v>
      </c>
      <c r="C9" s="50">
        <v>6000</v>
      </c>
      <c r="D9" s="198">
        <v>6000</v>
      </c>
      <c r="E9" s="198">
        <v>6000</v>
      </c>
    </row>
    <row r="10" spans="2:5" ht="15.75">
      <c r="B10" s="240"/>
      <c r="C10" s="50"/>
      <c r="D10" s="50"/>
      <c r="E10" s="50"/>
    </row>
    <row r="11" spans="2:5" ht="15.75">
      <c r="B11" s="240"/>
      <c r="C11" s="50"/>
      <c r="D11" s="50"/>
      <c r="E11" s="50"/>
    </row>
    <row r="12" spans="2:5" ht="15.75">
      <c r="B12" s="236" t="s">
        <v>267</v>
      </c>
      <c r="C12" s="50"/>
      <c r="D12" s="50"/>
      <c r="E12" s="50"/>
    </row>
    <row r="13" spans="2:5" ht="15.75">
      <c r="B13" s="142" t="s">
        <v>509</v>
      </c>
      <c r="C13" s="50"/>
      <c r="D13" s="50"/>
      <c r="E13" s="50"/>
    </row>
    <row r="14" spans="2:5" ht="15.75">
      <c r="B14" s="229" t="s">
        <v>663</v>
      </c>
      <c r="C14" s="362">
        <f>IF(C15*0.1&lt;C13,"Exceed 10% Rule","")</f>
      </c>
      <c r="D14" s="249">
        <f>IF(D15*0.1&lt;D13,"Exceed 10% Rule","")</f>
      </c>
      <c r="E14" s="249">
        <f>IF(E15*0.1&lt;E13,"Exceed 10% Rule","")</f>
      </c>
    </row>
    <row r="15" spans="2:5" ht="15.75">
      <c r="B15" s="238" t="s">
        <v>268</v>
      </c>
      <c r="C15" s="252">
        <f>SUM(C8:C13)</f>
        <v>19346</v>
      </c>
      <c r="D15" s="252">
        <f>SUM(D8:D13)</f>
        <v>17364</v>
      </c>
      <c r="E15" s="252">
        <f>SUM(E8:E13)</f>
        <v>19590</v>
      </c>
    </row>
    <row r="16" spans="2:5" ht="15.75">
      <c r="B16" s="238" t="s">
        <v>269</v>
      </c>
      <c r="C16" s="252">
        <f>C6+C15</f>
        <v>53638</v>
      </c>
      <c r="D16" s="252">
        <f>D6+D15</f>
        <v>35586</v>
      </c>
      <c r="E16" s="252">
        <f>E6+E15</f>
        <v>22176</v>
      </c>
    </row>
    <row r="17" spans="2:5" ht="15.75">
      <c r="B17" s="134" t="s">
        <v>271</v>
      </c>
      <c r="C17" s="198"/>
      <c r="D17" s="198"/>
      <c r="E17" s="198"/>
    </row>
    <row r="18" spans="2:5" ht="15.75">
      <c r="B18" s="240" t="s">
        <v>737</v>
      </c>
      <c r="C18" s="50">
        <v>7799</v>
      </c>
      <c r="D18" s="50">
        <v>10000</v>
      </c>
      <c r="E18" s="50">
        <v>10000</v>
      </c>
    </row>
    <row r="19" spans="2:5" ht="15.75">
      <c r="B19" s="240" t="s">
        <v>742</v>
      </c>
      <c r="C19" s="50">
        <v>14797</v>
      </c>
      <c r="D19" s="50">
        <v>3000</v>
      </c>
      <c r="E19" s="50">
        <v>3000</v>
      </c>
    </row>
    <row r="20" spans="2:5" ht="15.75">
      <c r="B20" s="240" t="s">
        <v>743</v>
      </c>
      <c r="C20" s="50"/>
      <c r="D20" s="50">
        <v>20000</v>
      </c>
      <c r="E20" s="50">
        <v>6000</v>
      </c>
    </row>
    <row r="21" spans="2:5" ht="15.75">
      <c r="B21" s="240" t="s">
        <v>744</v>
      </c>
      <c r="C21" s="50">
        <v>889</v>
      </c>
      <c r="D21" s="50"/>
      <c r="E21" s="50">
        <v>1000</v>
      </c>
    </row>
    <row r="22" spans="2:5" ht="15.75">
      <c r="B22" s="240" t="s">
        <v>745</v>
      </c>
      <c r="C22" s="50">
        <v>11931</v>
      </c>
      <c r="D22" s="50"/>
      <c r="E22" s="50">
        <v>2176</v>
      </c>
    </row>
    <row r="23" spans="2:5" ht="15.75">
      <c r="B23" s="240"/>
      <c r="C23" s="50"/>
      <c r="D23" s="50"/>
      <c r="E23" s="50"/>
    </row>
    <row r="24" spans="2:5" ht="15.75">
      <c r="B24" s="240"/>
      <c r="C24" s="50"/>
      <c r="D24" s="50"/>
      <c r="E24" s="50"/>
    </row>
    <row r="25" spans="2:5" ht="15.75">
      <c r="B25" s="240"/>
      <c r="C25" s="50"/>
      <c r="D25" s="50"/>
      <c r="E25" s="50"/>
    </row>
    <row r="26" spans="2:5" ht="15.75">
      <c r="B26" s="241" t="s">
        <v>509</v>
      </c>
      <c r="C26" s="50"/>
      <c r="D26" s="50"/>
      <c r="E26" s="50"/>
    </row>
    <row r="27" spans="2:5" ht="15.75">
      <c r="B27" s="241" t="s">
        <v>664</v>
      </c>
      <c r="C27" s="362">
        <f>IF(C28*0.1&lt;C26,"Exceed 10% Rule","")</f>
      </c>
      <c r="D27" s="249">
        <f>IF(D28*0.1&lt;D26,"Exceed 10% Rule","")</f>
      </c>
      <c r="E27" s="249">
        <f>IF(E28*0.1&lt;E26,"Exceed 10% Rule","")</f>
      </c>
    </row>
    <row r="28" spans="2:5" ht="15.75">
      <c r="B28" s="238" t="s">
        <v>272</v>
      </c>
      <c r="C28" s="252">
        <f>SUM(C18:C26)</f>
        <v>35416</v>
      </c>
      <c r="D28" s="252">
        <f>SUM(D18:D26)</f>
        <v>33000</v>
      </c>
      <c r="E28" s="252">
        <f>SUM(E18:E26)</f>
        <v>22176</v>
      </c>
    </row>
    <row r="29" spans="2:5" ht="15.75">
      <c r="B29" s="134" t="s">
        <v>378</v>
      </c>
      <c r="C29" s="198">
        <f>C16-C28</f>
        <v>18222</v>
      </c>
      <c r="D29" s="198">
        <f>D16-D28</f>
        <v>2586</v>
      </c>
      <c r="E29" s="198">
        <f>E16-E28</f>
        <v>0</v>
      </c>
    </row>
    <row r="30" spans="2:5" ht="15.75">
      <c r="B30" s="122" t="str">
        <f>CONCATENATE("",$E$1-2,"/",$E$1-1," Budget Authority Amount:")</f>
        <v>2010/2011 Budget Authority Amount:</v>
      </c>
      <c r="C30" s="188">
        <v>39000</v>
      </c>
      <c r="D30" s="188">
        <f>inputPrYr!D34</f>
        <v>33000</v>
      </c>
      <c r="E30" s="408">
        <f>IF(E29&lt;0,"See Tab E","")</f>
      </c>
    </row>
    <row r="31" spans="2:5" ht="15.75">
      <c r="B31" s="122"/>
      <c r="C31" s="244">
        <f>IF(C28&gt;C30,"See Tab A","")</f>
      </c>
      <c r="D31" s="244">
        <f>IF(D28&gt;D30,"See Tab C","")</f>
      </c>
      <c r="E31" s="51"/>
    </row>
    <row r="32" spans="2:5" ht="15.75">
      <c r="B32" s="122"/>
      <c r="C32" s="244">
        <f>IF(C29&lt;0,"See Tab B","")</f>
      </c>
      <c r="D32" s="244">
        <f>IF(D29&lt;0,"See Tab D","")</f>
      </c>
      <c r="E32" s="51"/>
    </row>
    <row r="33" spans="2:5" ht="15.75">
      <c r="B33" s="22"/>
      <c r="C33" s="51"/>
      <c r="D33" s="51"/>
      <c r="E33" s="51"/>
    </row>
    <row r="34" spans="2:5" ht="15.75">
      <c r="B34" s="29" t="s">
        <v>262</v>
      </c>
      <c r="C34" s="254"/>
      <c r="D34" s="254"/>
      <c r="E34" s="254"/>
    </row>
    <row r="35" spans="2:5" ht="15.75">
      <c r="B35" s="22"/>
      <c r="C35" s="521" t="str">
        <f aca="true" t="shared" si="0" ref="C35:E36">C4</f>
        <v>Prior Year Actual</v>
      </c>
      <c r="D35" s="520" t="str">
        <f t="shared" si="0"/>
        <v>Current Year Estimate</v>
      </c>
      <c r="E35" s="520" t="str">
        <f t="shared" si="0"/>
        <v>Proposed Budget Year</v>
      </c>
    </row>
    <row r="36" spans="2:5" ht="15.75">
      <c r="B36" s="360" t="str">
        <f>(inputPrYr!B35)</f>
        <v>Water</v>
      </c>
      <c r="C36" s="228">
        <f t="shared" si="0"/>
        <v>2010</v>
      </c>
      <c r="D36" s="228">
        <f t="shared" si="0"/>
        <v>2011</v>
      </c>
      <c r="E36" s="228">
        <f t="shared" si="0"/>
        <v>2012</v>
      </c>
    </row>
    <row r="37" spans="2:5" ht="15.75">
      <c r="B37" s="229" t="s">
        <v>377</v>
      </c>
      <c r="C37" s="50">
        <v>14215</v>
      </c>
      <c r="D37" s="198">
        <f>C60</f>
        <v>13326</v>
      </c>
      <c r="E37" s="198">
        <f>D60</f>
        <v>12126</v>
      </c>
    </row>
    <row r="38" spans="2:5" ht="15.75">
      <c r="B38" s="229" t="s">
        <v>379</v>
      </c>
      <c r="C38" s="70"/>
      <c r="D38" s="70"/>
      <c r="E38" s="70"/>
    </row>
    <row r="39" spans="2:5" ht="15.75">
      <c r="B39" s="240" t="s">
        <v>746</v>
      </c>
      <c r="C39" s="50">
        <v>54954</v>
      </c>
      <c r="D39" s="50">
        <v>58000</v>
      </c>
      <c r="E39" s="50">
        <v>58000</v>
      </c>
    </row>
    <row r="40" spans="2:5" ht="15.75">
      <c r="B40" s="240"/>
      <c r="C40" s="50"/>
      <c r="D40" s="50"/>
      <c r="E40" s="50"/>
    </row>
    <row r="41" spans="2:5" ht="15.75">
      <c r="B41" s="240"/>
      <c r="C41" s="50"/>
      <c r="D41" s="50"/>
      <c r="E41" s="50"/>
    </row>
    <row r="42" spans="2:5" ht="15.75">
      <c r="B42" s="240"/>
      <c r="C42" s="50"/>
      <c r="D42" s="50"/>
      <c r="E42" s="50"/>
    </row>
    <row r="43" spans="2:5" ht="15.75">
      <c r="B43" s="236" t="s">
        <v>267</v>
      </c>
      <c r="C43" s="50"/>
      <c r="D43" s="50"/>
      <c r="E43" s="50"/>
    </row>
    <row r="44" spans="2:5" ht="15.75">
      <c r="B44" s="142" t="s">
        <v>509</v>
      </c>
      <c r="C44" s="50"/>
      <c r="D44" s="50"/>
      <c r="E44" s="50"/>
    </row>
    <row r="45" spans="2:5" ht="15.75">
      <c r="B45" s="229" t="s">
        <v>663</v>
      </c>
      <c r="C45" s="362">
        <f>IF(C46*0.1&lt;C44,"Exceed 10% Rule","")</f>
      </c>
      <c r="D45" s="249">
        <f>IF(D46*0.1&lt;D44,"Exceed 10% Rule","")</f>
      </c>
      <c r="E45" s="249">
        <f>IF(E46*0.1&lt;E44,"Exceed 10% Rule","")</f>
      </c>
    </row>
    <row r="46" spans="2:5" ht="15.75">
      <c r="B46" s="238" t="s">
        <v>268</v>
      </c>
      <c r="C46" s="252">
        <f>SUM(C39:C44)</f>
        <v>54954</v>
      </c>
      <c r="D46" s="252">
        <f>SUM(D39:D44)</f>
        <v>58000</v>
      </c>
      <c r="E46" s="252">
        <f>SUM(E39:E44)</f>
        <v>58000</v>
      </c>
    </row>
    <row r="47" spans="2:5" ht="15.75">
      <c r="B47" s="238" t="s">
        <v>269</v>
      </c>
      <c r="C47" s="252">
        <f>C37+C46</f>
        <v>69169</v>
      </c>
      <c r="D47" s="252">
        <f>D37+D46</f>
        <v>71326</v>
      </c>
      <c r="E47" s="252">
        <f>E37+E46</f>
        <v>70126</v>
      </c>
    </row>
    <row r="48" spans="2:5" ht="15.75">
      <c r="B48" s="134" t="s">
        <v>271</v>
      </c>
      <c r="C48" s="198"/>
      <c r="D48" s="198"/>
      <c r="E48" s="198"/>
    </row>
    <row r="49" spans="2:5" ht="15.75">
      <c r="B49" s="240" t="s">
        <v>737</v>
      </c>
      <c r="C49" s="50">
        <v>26352</v>
      </c>
      <c r="D49" s="50">
        <v>28000</v>
      </c>
      <c r="E49" s="50">
        <v>30000</v>
      </c>
    </row>
    <row r="50" spans="2:5" ht="15.75">
      <c r="B50" s="240" t="s">
        <v>747</v>
      </c>
      <c r="C50" s="50">
        <v>14174</v>
      </c>
      <c r="D50" s="50">
        <v>16800</v>
      </c>
      <c r="E50" s="50">
        <v>17000</v>
      </c>
    </row>
    <row r="51" spans="2:5" ht="15.75">
      <c r="B51" s="240" t="s">
        <v>739</v>
      </c>
      <c r="C51" s="50">
        <v>6263</v>
      </c>
      <c r="D51" s="50">
        <v>7000</v>
      </c>
      <c r="E51" s="50">
        <v>7000</v>
      </c>
    </row>
    <row r="52" spans="2:5" ht="15.75">
      <c r="B52" s="240" t="s">
        <v>748</v>
      </c>
      <c r="C52" s="50">
        <v>565</v>
      </c>
      <c r="D52" s="50">
        <v>500</v>
      </c>
      <c r="E52" s="50">
        <v>500</v>
      </c>
    </row>
    <row r="53" spans="2:5" ht="15.75">
      <c r="B53" s="240" t="s">
        <v>749</v>
      </c>
      <c r="C53" s="50">
        <v>1278</v>
      </c>
      <c r="D53" s="50">
        <v>2000</v>
      </c>
      <c r="E53" s="50">
        <v>1500</v>
      </c>
    </row>
    <row r="54" spans="2:5" ht="15.75">
      <c r="B54" s="240" t="s">
        <v>750</v>
      </c>
      <c r="C54" s="50">
        <v>1500</v>
      </c>
      <c r="D54" s="50">
        <v>2000</v>
      </c>
      <c r="E54" s="50">
        <v>2000</v>
      </c>
    </row>
    <row r="55" spans="2:5" ht="15.75">
      <c r="B55" s="240" t="s">
        <v>751</v>
      </c>
      <c r="C55" s="50">
        <v>1500</v>
      </c>
      <c r="D55" s="50">
        <v>1700</v>
      </c>
      <c r="E55" s="50">
        <v>2000</v>
      </c>
    </row>
    <row r="56" spans="2:5" ht="15.75">
      <c r="B56" s="240" t="s">
        <v>752</v>
      </c>
      <c r="C56" s="50">
        <v>1107</v>
      </c>
      <c r="D56" s="50">
        <v>1200</v>
      </c>
      <c r="E56" s="50">
        <v>1200</v>
      </c>
    </row>
    <row r="57" spans="2:5" ht="15.75">
      <c r="B57" s="241" t="s">
        <v>753</v>
      </c>
      <c r="C57" s="50">
        <v>3104</v>
      </c>
      <c r="D57" s="50"/>
      <c r="E57" s="50"/>
    </row>
    <row r="58" spans="2:5" ht="15.75">
      <c r="B58" s="241" t="s">
        <v>664</v>
      </c>
      <c r="C58" s="362">
        <f>IF(C59*0.1&lt;C57,"Exceed 10% Rule","")</f>
      </c>
      <c r="D58" s="249">
        <f>IF(D59*0.1&lt;D57,"Exceed 10% Rule","")</f>
      </c>
      <c r="E58" s="249">
        <f>IF(E59*0.1&lt;E57,"Exceed 10% Rule","")</f>
      </c>
    </row>
    <row r="59" spans="2:5" ht="15.75">
      <c r="B59" s="238" t="s">
        <v>272</v>
      </c>
      <c r="C59" s="252">
        <f>SUM(C49:C57)</f>
        <v>55843</v>
      </c>
      <c r="D59" s="252">
        <f>SUM(D49:D57)</f>
        <v>59200</v>
      </c>
      <c r="E59" s="252">
        <f>SUM(E49:E57)</f>
        <v>61200</v>
      </c>
    </row>
    <row r="60" spans="2:5" ht="15.75">
      <c r="B60" s="134" t="s">
        <v>378</v>
      </c>
      <c r="C60" s="198">
        <f>C47-C59</f>
        <v>13326</v>
      </c>
      <c r="D60" s="198">
        <f>D47-D59</f>
        <v>12126</v>
      </c>
      <c r="E60" s="198">
        <f>E47-E59</f>
        <v>8926</v>
      </c>
    </row>
    <row r="61" spans="2:5" ht="15.75">
      <c r="B61" s="122" t="str">
        <f>CONCATENATE("",$E$1-2,"/",$E$1-1," Budget Authority Amount:")</f>
        <v>2010/2011 Budget Authority Amount:</v>
      </c>
      <c r="C61" s="188">
        <v>59000</v>
      </c>
      <c r="D61" s="188">
        <v>59200</v>
      </c>
      <c r="E61" s="408">
        <f>IF(E60&lt;0,"See Tab E","")</f>
      </c>
    </row>
    <row r="62" spans="2:5" ht="15.75">
      <c r="B62" s="122"/>
      <c r="C62" s="244">
        <f>IF(C59&gt;C61,"See Tab A","")</f>
      </c>
      <c r="D62" s="244">
        <f>IF(D59&gt;D61,"See Tab C","")</f>
      </c>
      <c r="E62" s="22"/>
    </row>
    <row r="63" spans="2:5" ht="15.75">
      <c r="B63" s="122"/>
      <c r="C63" s="244">
        <f>IF(C60&lt;0,"See Tab B","")</f>
      </c>
      <c r="D63" s="244">
        <f>IF(D60&lt;0,"See Tab D","")</f>
      </c>
      <c r="E63" s="22"/>
    </row>
    <row r="64" spans="2:5" ht="15.75">
      <c r="B64" s="22"/>
      <c r="C64" s="22"/>
      <c r="D64" s="22"/>
      <c r="E64" s="22"/>
    </row>
    <row r="65" spans="2:5" ht="15.75">
      <c r="B65" s="122" t="s">
        <v>275</v>
      </c>
      <c r="C65" s="247">
        <v>9</v>
      </c>
      <c r="D65" s="22"/>
      <c r="E65" s="22"/>
    </row>
  </sheetData>
  <sheetProtection/>
  <conditionalFormatting sqref="C44">
    <cfRule type="cellIs" priority="3" dxfId="81" operator="greaterThan" stopIfTrue="1">
      <formula>$C$46*0.1</formula>
    </cfRule>
  </conditionalFormatting>
  <conditionalFormatting sqref="D44">
    <cfRule type="cellIs" priority="4" dxfId="81" operator="greaterThan" stopIfTrue="1">
      <formula>$D$46*0.1</formula>
    </cfRule>
  </conditionalFormatting>
  <conditionalFormatting sqref="E44">
    <cfRule type="cellIs" priority="5" dxfId="81" operator="greaterThan" stopIfTrue="1">
      <formula>$E$46*0.1</formula>
    </cfRule>
  </conditionalFormatting>
  <conditionalFormatting sqref="C57">
    <cfRule type="cellIs" priority="6" dxfId="81" operator="greaterThan" stopIfTrue="1">
      <formula>$C$59*0.1</formula>
    </cfRule>
  </conditionalFormatting>
  <conditionalFormatting sqref="D57">
    <cfRule type="cellIs" priority="7" dxfId="81" operator="greaterThan" stopIfTrue="1">
      <formula>$D$59*0.1</formula>
    </cfRule>
  </conditionalFormatting>
  <conditionalFormatting sqref="E57">
    <cfRule type="cellIs" priority="8" dxfId="81" operator="greaterThan" stopIfTrue="1">
      <formula>$E$59*0.1</formula>
    </cfRule>
  </conditionalFormatting>
  <conditionalFormatting sqref="C13">
    <cfRule type="cellIs" priority="9" dxfId="81" operator="greaterThan" stopIfTrue="1">
      <formula>$C$15*0.1</formula>
    </cfRule>
  </conditionalFormatting>
  <conditionalFormatting sqref="D13">
    <cfRule type="cellIs" priority="10" dxfId="81" operator="greaterThan" stopIfTrue="1">
      <formula>$D$15*0.1</formula>
    </cfRule>
  </conditionalFormatting>
  <conditionalFormatting sqref="E13">
    <cfRule type="cellIs" priority="11" dxfId="81" operator="greaterThan" stopIfTrue="1">
      <formula>$E$15*0.1</formula>
    </cfRule>
  </conditionalFormatting>
  <conditionalFormatting sqref="C26">
    <cfRule type="cellIs" priority="12" dxfId="81" operator="greaterThan" stopIfTrue="1">
      <formula>$C$28*0.1</formula>
    </cfRule>
  </conditionalFormatting>
  <conditionalFormatting sqref="D26">
    <cfRule type="cellIs" priority="13" dxfId="81" operator="greaterThan" stopIfTrue="1">
      <formula>$D$28*0.1</formula>
    </cfRule>
  </conditionalFormatting>
  <conditionalFormatting sqref="E26">
    <cfRule type="cellIs" priority="14" dxfId="81"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5" t="str">
        <f>(inputPrYr!D2)</f>
        <v>CITY OF CLIFTON</v>
      </c>
      <c r="C1" s="22"/>
      <c r="D1" s="22"/>
      <c r="E1" s="217">
        <f>inputPrYr!C5</f>
        <v>2012</v>
      </c>
    </row>
    <row r="2" spans="2:5" ht="15.75">
      <c r="B2" s="22"/>
      <c r="C2" s="22"/>
      <c r="D2" s="22"/>
      <c r="E2" s="150"/>
    </row>
    <row r="3" spans="2:5" ht="15.75">
      <c r="B3" s="41" t="s">
        <v>324</v>
      </c>
      <c r="C3" s="251"/>
      <c r="D3" s="251"/>
      <c r="E3" s="251"/>
    </row>
    <row r="4" spans="2:5" ht="15.75">
      <c r="B4" s="29" t="s">
        <v>262</v>
      </c>
      <c r="C4" s="521" t="s">
        <v>277</v>
      </c>
      <c r="D4" s="520" t="s">
        <v>398</v>
      </c>
      <c r="E4" s="520" t="s">
        <v>399</v>
      </c>
    </row>
    <row r="5" spans="2:5" ht="15.75">
      <c r="B5" s="361" t="str">
        <f>(inputPrYr!B36)</f>
        <v>Ambulance</v>
      </c>
      <c r="C5" s="228">
        <f>E1-2</f>
        <v>2010</v>
      </c>
      <c r="D5" s="228">
        <f>E1-1</f>
        <v>2011</v>
      </c>
      <c r="E5" s="228">
        <f>E1</f>
        <v>2012</v>
      </c>
    </row>
    <row r="6" spans="2:5" ht="15.75">
      <c r="B6" s="229" t="s">
        <v>377</v>
      </c>
      <c r="C6" s="50">
        <v>36810</v>
      </c>
      <c r="D6" s="198">
        <f>C29</f>
        <v>32945</v>
      </c>
      <c r="E6" s="198">
        <f>D29</f>
        <v>23945</v>
      </c>
    </row>
    <row r="7" spans="2:5" ht="15.75">
      <c r="B7" s="232" t="s">
        <v>379</v>
      </c>
      <c r="C7" s="70"/>
      <c r="D7" s="70"/>
      <c r="E7" s="70"/>
    </row>
    <row r="8" spans="2:5" ht="15.75">
      <c r="B8" s="240" t="s">
        <v>754</v>
      </c>
      <c r="C8" s="50">
        <v>24199</v>
      </c>
      <c r="D8" s="50">
        <v>33000</v>
      </c>
      <c r="E8" s="50">
        <v>32000</v>
      </c>
    </row>
    <row r="9" spans="2:5" ht="15.75">
      <c r="B9" s="240" t="s">
        <v>755</v>
      </c>
      <c r="C9" s="50">
        <v>9145</v>
      </c>
      <c r="D9" s="50">
        <v>10000</v>
      </c>
      <c r="E9" s="50">
        <v>10000</v>
      </c>
    </row>
    <row r="10" spans="2:5" ht="15.75">
      <c r="B10" s="240" t="s">
        <v>756</v>
      </c>
      <c r="C10" s="50">
        <v>5000</v>
      </c>
      <c r="D10" s="50">
        <v>5000</v>
      </c>
      <c r="E10" s="50">
        <v>5000</v>
      </c>
    </row>
    <row r="11" spans="2:5" ht="15.75">
      <c r="B11" s="240"/>
      <c r="C11" s="50"/>
      <c r="D11" s="50"/>
      <c r="E11" s="50"/>
    </row>
    <row r="12" spans="2:5" ht="15.75">
      <c r="B12" s="236" t="s">
        <v>267</v>
      </c>
      <c r="C12" s="50"/>
      <c r="D12" s="50"/>
      <c r="E12" s="50"/>
    </row>
    <row r="13" spans="2:5" ht="15.75">
      <c r="B13" s="142" t="s">
        <v>509</v>
      </c>
      <c r="C13" s="50"/>
      <c r="D13" s="231"/>
      <c r="E13" s="231"/>
    </row>
    <row r="14" spans="2:5" ht="15.75">
      <c r="B14" s="229" t="s">
        <v>663</v>
      </c>
      <c r="C14" s="362">
        <f>IF(C15*0.1&lt;C13,"Exceed 10% Rule","")</f>
      </c>
      <c r="D14" s="249">
        <f>IF(D15*0.1&lt;D13,"Exceed 10% Rule","")</f>
      </c>
      <c r="E14" s="249">
        <f>IF(E15*0.1&lt;E13,"Exceed 10% Rule","")</f>
      </c>
    </row>
    <row r="15" spans="2:5" ht="15.75">
      <c r="B15" s="238" t="s">
        <v>268</v>
      </c>
      <c r="C15" s="252">
        <f>SUM(C8:C13)</f>
        <v>38344</v>
      </c>
      <c r="D15" s="252">
        <f>SUM(D8:D13)</f>
        <v>48000</v>
      </c>
      <c r="E15" s="252">
        <f>SUM(E8:E13)</f>
        <v>47000</v>
      </c>
    </row>
    <row r="16" spans="2:5" ht="15.75">
      <c r="B16" s="238" t="s">
        <v>269</v>
      </c>
      <c r="C16" s="252">
        <f>C6+C15</f>
        <v>75154</v>
      </c>
      <c r="D16" s="252">
        <f>D6+D15</f>
        <v>80945</v>
      </c>
      <c r="E16" s="252">
        <f>E6+E15</f>
        <v>70945</v>
      </c>
    </row>
    <row r="17" spans="2:5" ht="15.75">
      <c r="B17" s="134" t="s">
        <v>271</v>
      </c>
      <c r="C17" s="198"/>
      <c r="D17" s="198"/>
      <c r="E17" s="198"/>
    </row>
    <row r="18" spans="2:5" ht="15.75">
      <c r="B18" s="240" t="s">
        <v>757</v>
      </c>
      <c r="C18" s="50">
        <v>4380</v>
      </c>
      <c r="D18" s="50">
        <v>12500</v>
      </c>
      <c r="E18" s="50">
        <v>12500</v>
      </c>
    </row>
    <row r="19" spans="2:5" ht="15.75">
      <c r="B19" s="240" t="s">
        <v>758</v>
      </c>
      <c r="C19" s="50">
        <v>4294</v>
      </c>
      <c r="D19" s="50">
        <v>6500</v>
      </c>
      <c r="E19" s="50">
        <v>6500</v>
      </c>
    </row>
    <row r="20" spans="2:5" ht="15.75">
      <c r="B20" s="240" t="s">
        <v>752</v>
      </c>
      <c r="C20" s="50">
        <v>3323</v>
      </c>
      <c r="D20" s="50">
        <v>7500</v>
      </c>
      <c r="E20" s="50">
        <v>7000</v>
      </c>
    </row>
    <row r="21" spans="2:5" ht="15.75">
      <c r="B21" s="240" t="s">
        <v>759</v>
      </c>
      <c r="C21" s="50">
        <v>1670</v>
      </c>
      <c r="D21" s="50">
        <v>4000</v>
      </c>
      <c r="E21" s="50">
        <v>4000</v>
      </c>
    </row>
    <row r="22" spans="2:5" ht="15.75">
      <c r="B22" s="240" t="s">
        <v>762</v>
      </c>
      <c r="C22" s="50">
        <v>2844</v>
      </c>
      <c r="D22" s="50">
        <v>3500</v>
      </c>
      <c r="E22" s="50">
        <v>3500</v>
      </c>
    </row>
    <row r="23" spans="2:5" ht="15.75">
      <c r="B23" s="240" t="s">
        <v>760</v>
      </c>
      <c r="C23" s="50">
        <v>8488</v>
      </c>
      <c r="D23" s="50"/>
      <c r="E23" s="50"/>
    </row>
    <row r="24" spans="2:5" ht="15.75">
      <c r="B24" s="240" t="s">
        <v>761</v>
      </c>
      <c r="C24" s="50">
        <v>2210</v>
      </c>
      <c r="D24" s="50">
        <v>3000</v>
      </c>
      <c r="E24" s="50">
        <v>3000</v>
      </c>
    </row>
    <row r="25" spans="2:5" ht="15.75">
      <c r="B25" s="240" t="s">
        <v>751</v>
      </c>
      <c r="C25" s="50">
        <v>15000</v>
      </c>
      <c r="D25" s="50">
        <v>20000</v>
      </c>
      <c r="E25" s="50">
        <v>22000</v>
      </c>
    </row>
    <row r="26" spans="2:5" ht="15.75">
      <c r="B26" s="241" t="s">
        <v>509</v>
      </c>
      <c r="C26" s="50"/>
      <c r="D26" s="231"/>
      <c r="E26" s="231"/>
    </row>
    <row r="27" spans="2:5" ht="15.75">
      <c r="B27" s="241" t="s">
        <v>664</v>
      </c>
      <c r="C27" s="362">
        <f>IF(C28*0.1&lt;C26,"Exceed 10% Rule","")</f>
      </c>
      <c r="D27" s="249">
        <f>IF(D28*0.1&lt;D26,"Exceed 10% Rule","")</f>
      </c>
      <c r="E27" s="249">
        <f>IF(E28*0.1&lt;E26,"Exceed 10% Rule","")</f>
      </c>
    </row>
    <row r="28" spans="2:5" ht="15.75">
      <c r="B28" s="238" t="s">
        <v>272</v>
      </c>
      <c r="C28" s="252">
        <f>SUM(C18:C26)</f>
        <v>42209</v>
      </c>
      <c r="D28" s="252">
        <f>SUM(D18:D26)</f>
        <v>57000</v>
      </c>
      <c r="E28" s="252">
        <f>SUM(E18:E26)</f>
        <v>58500</v>
      </c>
    </row>
    <row r="29" spans="2:5" ht="15.75">
      <c r="B29" s="134" t="s">
        <v>378</v>
      </c>
      <c r="C29" s="198">
        <f>C16-C28</f>
        <v>32945</v>
      </c>
      <c r="D29" s="198">
        <f>D16-D28</f>
        <v>23945</v>
      </c>
      <c r="E29" s="198">
        <f>E16-E28</f>
        <v>12445</v>
      </c>
    </row>
    <row r="30" spans="2:5" ht="15.75">
      <c r="B30" s="122" t="str">
        <f>CONCATENATE("",$E$1-2,"/",$E$1-1," Budget Authority Amount:")</f>
        <v>2010/2011 Budget Authority Amount:</v>
      </c>
      <c r="C30" s="188">
        <v>48488</v>
      </c>
      <c r="D30" s="188">
        <f>inputPrYr!D36</f>
        <v>57000</v>
      </c>
      <c r="E30" s="408">
        <f>IF(E29&lt;0,"See Tab E","")</f>
      </c>
    </row>
    <row r="31" spans="2:5" ht="15.75">
      <c r="B31" s="122"/>
      <c r="C31" s="244">
        <f>IF(C28&gt;C30,"See Tab A","")</f>
      </c>
      <c r="D31" s="244">
        <f>IF(D28&gt;D30,"See Tab C","")</f>
      </c>
      <c r="E31" s="51"/>
    </row>
    <row r="32" spans="2:5" ht="15.75">
      <c r="B32" s="122"/>
      <c r="C32" s="244">
        <f>IF(C29&lt;0,"See Tab B","")</f>
      </c>
      <c r="D32" s="244">
        <f>IF(D29&lt;0,"See Tab D","")</f>
      </c>
      <c r="E32" s="51"/>
    </row>
    <row r="33" spans="2:5" ht="15.75">
      <c r="B33" s="22"/>
      <c r="C33" s="51"/>
      <c r="D33" s="51"/>
      <c r="E33" s="51"/>
    </row>
    <row r="34" spans="2:5" ht="15.75">
      <c r="B34" s="29" t="s">
        <v>262</v>
      </c>
      <c r="C34" s="254"/>
      <c r="D34" s="254"/>
      <c r="E34" s="254"/>
    </row>
    <row r="35" spans="2:5" ht="15.75">
      <c r="B35" s="22"/>
      <c r="C35" s="521" t="str">
        <f aca="true" t="shared" si="0" ref="C35:E36">C4</f>
        <v>Prior Year Actual</v>
      </c>
      <c r="D35" s="520" t="str">
        <f t="shared" si="0"/>
        <v>Current Year Estimate</v>
      </c>
      <c r="E35" s="520" t="str">
        <f t="shared" si="0"/>
        <v>Proposed Budget Year</v>
      </c>
    </row>
    <row r="36" spans="2:5" ht="15.75">
      <c r="B36" s="360" t="str">
        <f>(inputPrYr!B37)</f>
        <v>Sewer Service</v>
      </c>
      <c r="C36" s="228">
        <f t="shared" si="0"/>
        <v>2010</v>
      </c>
      <c r="D36" s="228">
        <f t="shared" si="0"/>
        <v>2011</v>
      </c>
      <c r="E36" s="228">
        <f t="shared" si="0"/>
        <v>2012</v>
      </c>
    </row>
    <row r="37" spans="2:5" ht="15.75">
      <c r="B37" s="229" t="s">
        <v>377</v>
      </c>
      <c r="C37" s="50">
        <v>4222</v>
      </c>
      <c r="D37" s="198">
        <f>C60</f>
        <v>3461</v>
      </c>
      <c r="E37" s="198">
        <f>D60</f>
        <v>1761</v>
      </c>
    </row>
    <row r="38" spans="2:5" ht="15.75">
      <c r="B38" s="229" t="s">
        <v>379</v>
      </c>
      <c r="C38" s="70"/>
      <c r="D38" s="70"/>
      <c r="E38" s="70"/>
    </row>
    <row r="39" spans="2:5" ht="15.75">
      <c r="B39" s="240" t="s">
        <v>746</v>
      </c>
      <c r="C39" s="50">
        <v>29398</v>
      </c>
      <c r="D39" s="50">
        <v>30000</v>
      </c>
      <c r="E39" s="50">
        <v>35000</v>
      </c>
    </row>
    <row r="40" spans="2:5" ht="15.75">
      <c r="B40" s="240"/>
      <c r="C40" s="50"/>
      <c r="D40" s="50"/>
      <c r="E40" s="50"/>
    </row>
    <row r="41" spans="2:5" ht="15.75">
      <c r="B41" s="240"/>
      <c r="C41" s="50"/>
      <c r="D41" s="50"/>
      <c r="E41" s="50"/>
    </row>
    <row r="42" spans="2:5" ht="15.75">
      <c r="B42" s="240"/>
      <c r="C42" s="50"/>
      <c r="D42" s="50"/>
      <c r="E42" s="50"/>
    </row>
    <row r="43" spans="2:5" ht="15.75">
      <c r="B43" s="236" t="s">
        <v>267</v>
      </c>
      <c r="C43" s="50"/>
      <c r="D43" s="50"/>
      <c r="E43" s="50"/>
    </row>
    <row r="44" spans="2:5" ht="15.75">
      <c r="B44" s="142" t="s">
        <v>509</v>
      </c>
      <c r="C44" s="50"/>
      <c r="D44" s="50"/>
      <c r="E44" s="50"/>
    </row>
    <row r="45" spans="2:5" ht="15.75">
      <c r="B45" s="229" t="s">
        <v>663</v>
      </c>
      <c r="C45" s="362">
        <f>IF(C46*0.1&lt;C44,"Exceed 10% Rule","")</f>
      </c>
      <c r="D45" s="249">
        <f>IF(D46*0.1&lt;D44,"Exceed 10% Rule","")</f>
      </c>
      <c r="E45" s="249">
        <f>IF(E46*0.1&lt;E44,"Exceed 10% Rule","")</f>
      </c>
    </row>
    <row r="46" spans="2:5" ht="15.75">
      <c r="B46" s="238" t="s">
        <v>268</v>
      </c>
      <c r="C46" s="252">
        <f>SUM(C39:C44)</f>
        <v>29398</v>
      </c>
      <c r="D46" s="252">
        <f>SUM(D39:D44)</f>
        <v>30000</v>
      </c>
      <c r="E46" s="252">
        <f>SUM(E39:E44)</f>
        <v>35000</v>
      </c>
    </row>
    <row r="47" spans="2:5" ht="15.75">
      <c r="B47" s="238" t="s">
        <v>269</v>
      </c>
      <c r="C47" s="252">
        <f>C37+C46</f>
        <v>33620</v>
      </c>
      <c r="D47" s="252">
        <f>D37+D46</f>
        <v>33461</v>
      </c>
      <c r="E47" s="252">
        <f>E37+E46</f>
        <v>36761</v>
      </c>
    </row>
    <row r="48" spans="2:5" ht="15.75">
      <c r="B48" s="134" t="s">
        <v>271</v>
      </c>
      <c r="C48" s="198"/>
      <c r="D48" s="198"/>
      <c r="E48" s="198"/>
    </row>
    <row r="49" spans="2:5" ht="15.75">
      <c r="B49" s="240" t="s">
        <v>737</v>
      </c>
      <c r="C49" s="50">
        <v>12689</v>
      </c>
      <c r="D49" s="50">
        <v>17000</v>
      </c>
      <c r="E49" s="50">
        <v>18000</v>
      </c>
    </row>
    <row r="50" spans="2:5" ht="15.75">
      <c r="B50" s="240" t="s">
        <v>758</v>
      </c>
      <c r="C50" s="50">
        <v>9702</v>
      </c>
      <c r="D50" s="50">
        <v>8500</v>
      </c>
      <c r="E50" s="50">
        <v>10000</v>
      </c>
    </row>
    <row r="51" spans="2:5" ht="15.75">
      <c r="B51" s="240" t="s">
        <v>739</v>
      </c>
      <c r="C51" s="50">
        <v>1008</v>
      </c>
      <c r="D51" s="50">
        <v>1300</v>
      </c>
      <c r="E51" s="50">
        <v>1300</v>
      </c>
    </row>
    <row r="52" spans="2:5" ht="15.75">
      <c r="B52" s="240" t="s">
        <v>752</v>
      </c>
      <c r="C52" s="50">
        <v>760</v>
      </c>
      <c r="D52" s="50">
        <v>900</v>
      </c>
      <c r="E52" s="50">
        <v>1000</v>
      </c>
    </row>
    <row r="53" spans="2:5" ht="15.75">
      <c r="B53" s="240" t="s">
        <v>763</v>
      </c>
      <c r="C53" s="50">
        <v>2000</v>
      </c>
      <c r="D53" s="50">
        <v>2000</v>
      </c>
      <c r="E53" s="50">
        <v>2000</v>
      </c>
    </row>
    <row r="54" spans="2:5" ht="15.75">
      <c r="B54" s="240" t="s">
        <v>750</v>
      </c>
      <c r="C54" s="50">
        <v>2000</v>
      </c>
      <c r="D54" s="50">
        <v>1000</v>
      </c>
      <c r="E54" s="50">
        <v>1000</v>
      </c>
    </row>
    <row r="55" spans="2:5" ht="15.75">
      <c r="B55" s="240" t="s">
        <v>751</v>
      </c>
      <c r="C55" s="50">
        <v>2000</v>
      </c>
      <c r="D55" s="50">
        <v>1000</v>
      </c>
      <c r="E55" s="50">
        <v>1000</v>
      </c>
    </row>
    <row r="56" spans="2:5" ht="15.75">
      <c r="B56" s="240"/>
      <c r="C56" s="50"/>
      <c r="D56" s="50"/>
      <c r="E56" s="50"/>
    </row>
    <row r="57" spans="2:5" ht="15.75">
      <c r="B57" s="241" t="s">
        <v>509</v>
      </c>
      <c r="C57" s="50"/>
      <c r="D57" s="231"/>
      <c r="E57" s="231"/>
    </row>
    <row r="58" spans="2:5" ht="15.75">
      <c r="B58" s="241" t="s">
        <v>664</v>
      </c>
      <c r="C58" s="362">
        <f>IF(C59*0.1&lt;C57,"Exceed 10% Rule","")</f>
      </c>
      <c r="D58" s="249">
        <f>IF(D59*0.1&lt;D57,"Exceed 10% Rule","")</f>
      </c>
      <c r="E58" s="249">
        <f>IF(E59*0.1&lt;E57,"Exceed 10% Rule","")</f>
      </c>
    </row>
    <row r="59" spans="2:5" ht="15.75">
      <c r="B59" s="238" t="s">
        <v>272</v>
      </c>
      <c r="C59" s="252">
        <f>SUM(C49:C57)</f>
        <v>30159</v>
      </c>
      <c r="D59" s="252">
        <f>SUM(D49:D57)</f>
        <v>31700</v>
      </c>
      <c r="E59" s="252">
        <f>SUM(E49:E57)</f>
        <v>34300</v>
      </c>
    </row>
    <row r="60" spans="2:5" ht="15.75">
      <c r="B60" s="134" t="s">
        <v>378</v>
      </c>
      <c r="C60" s="198">
        <f>C47-C59</f>
        <v>3461</v>
      </c>
      <c r="D60" s="198">
        <f>D47-D59</f>
        <v>1761</v>
      </c>
      <c r="E60" s="198">
        <f>E47-E59</f>
        <v>2461</v>
      </c>
    </row>
    <row r="61" spans="2:5" ht="15.75">
      <c r="B61" s="122" t="str">
        <f>CONCATENATE("",$E$1-2,"/",$E$1-1," Budget Authority Amount:")</f>
        <v>2010/2011 Budget Authority Amount:</v>
      </c>
      <c r="C61" s="188">
        <v>31800</v>
      </c>
      <c r="D61" s="188">
        <f>inputPrYr!D37</f>
        <v>31700</v>
      </c>
      <c r="E61" s="408">
        <f>IF(E60&lt;0,"See Tab E","")</f>
      </c>
    </row>
    <row r="62" spans="2:5" ht="15.75">
      <c r="B62" s="122"/>
      <c r="C62" s="244">
        <f>IF(C59&gt;C61,"See Tab A","")</f>
      </c>
      <c r="D62" s="244">
        <f>IF(D59&gt;D61,"See Tab C","")</f>
      </c>
      <c r="E62" s="22"/>
    </row>
    <row r="63" spans="2:5" ht="15.75">
      <c r="B63" s="122"/>
      <c r="C63" s="244">
        <f>IF(C60&lt;0,"See Tab B","")</f>
      </c>
      <c r="D63" s="244">
        <f>IF(D60&lt;0,"See Tab D","")</f>
      </c>
      <c r="E63" s="22"/>
    </row>
    <row r="64" spans="2:5" ht="15.75">
      <c r="B64" s="22"/>
      <c r="C64" s="22"/>
      <c r="D64" s="22"/>
      <c r="E64" s="22"/>
    </row>
    <row r="65" spans="2:5" ht="15.75">
      <c r="B65" s="122" t="s">
        <v>275</v>
      </c>
      <c r="C65" s="247">
        <v>10</v>
      </c>
      <c r="D65" s="22"/>
      <c r="E65" s="22"/>
    </row>
  </sheetData>
  <sheetProtection/>
  <conditionalFormatting sqref="C13">
    <cfRule type="cellIs" priority="3" dxfId="81" operator="greaterThan" stopIfTrue="1">
      <formula>$C$15*0.1</formula>
    </cfRule>
  </conditionalFormatting>
  <conditionalFormatting sqref="D13">
    <cfRule type="cellIs" priority="4" dxfId="81" operator="greaterThan" stopIfTrue="1">
      <formula>$D$15*0.1</formula>
    </cfRule>
  </conditionalFormatting>
  <conditionalFormatting sqref="E13">
    <cfRule type="cellIs" priority="5" dxfId="81" operator="greaterThan" stopIfTrue="1">
      <formula>$E$15*0.1</formula>
    </cfRule>
  </conditionalFormatting>
  <conditionalFormatting sqref="C26">
    <cfRule type="cellIs" priority="6" dxfId="81" operator="greaterThan" stopIfTrue="1">
      <formula>$C$28*0.1</formula>
    </cfRule>
  </conditionalFormatting>
  <conditionalFormatting sqref="D26">
    <cfRule type="cellIs" priority="7" dxfId="81" operator="greaterThan" stopIfTrue="1">
      <formula>$D$28*0.1</formula>
    </cfRule>
  </conditionalFormatting>
  <conditionalFormatting sqref="E26">
    <cfRule type="cellIs" priority="8" dxfId="81" operator="greaterThan" stopIfTrue="1">
      <formula>$E$28*0.1</formula>
    </cfRule>
  </conditionalFormatting>
  <conditionalFormatting sqref="C44">
    <cfRule type="cellIs" priority="9" dxfId="81" operator="greaterThan" stopIfTrue="1">
      <formula>$C$46*0.1</formula>
    </cfRule>
  </conditionalFormatting>
  <conditionalFormatting sqref="D44">
    <cfRule type="cellIs" priority="10" dxfId="81" operator="greaterThan" stopIfTrue="1">
      <formula>$D$46*0.1</formula>
    </cfRule>
  </conditionalFormatting>
  <conditionalFormatting sqref="E44">
    <cfRule type="cellIs" priority="11" dxfId="81" operator="greaterThan" stopIfTrue="1">
      <formula>$E$46*0.1</formula>
    </cfRule>
  </conditionalFormatting>
  <conditionalFormatting sqref="C57">
    <cfRule type="cellIs" priority="12" dxfId="81" operator="greaterThan" stopIfTrue="1">
      <formula>$C$59*0.1</formula>
    </cfRule>
  </conditionalFormatting>
  <conditionalFormatting sqref="D57">
    <cfRule type="cellIs" priority="13" dxfId="81" operator="greaterThan" stopIfTrue="1">
      <formula>$D$59*0.1</formula>
    </cfRule>
  </conditionalFormatting>
  <conditionalFormatting sqref="E57">
    <cfRule type="cellIs" priority="14" dxfId="81"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10" sqref="D10"/>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5" t="str">
        <f>(inputPrYr!D2)</f>
        <v>CITY OF CLIFTON</v>
      </c>
      <c r="C1" s="22"/>
      <c r="D1" s="22"/>
      <c r="E1" s="217">
        <f>inputPrYr!C5</f>
        <v>2012</v>
      </c>
    </row>
    <row r="2" spans="2:5" ht="15.75">
      <c r="B2" s="22"/>
      <c r="C2" s="22"/>
      <c r="D2" s="22"/>
      <c r="E2" s="150"/>
    </row>
    <row r="3" spans="2:5" ht="15.75">
      <c r="B3" s="41" t="s">
        <v>324</v>
      </c>
      <c r="C3" s="251"/>
      <c r="D3" s="251"/>
      <c r="E3" s="251"/>
    </row>
    <row r="4" spans="2:5" ht="15.75">
      <c r="B4" s="29" t="s">
        <v>262</v>
      </c>
      <c r="C4" s="521" t="s">
        <v>277</v>
      </c>
      <c r="D4" s="520" t="s">
        <v>398</v>
      </c>
      <c r="E4" s="520" t="s">
        <v>399</v>
      </c>
    </row>
    <row r="5" spans="2:5" ht="15.75">
      <c r="B5" s="361" t="str">
        <f>(inputPrYr!B38)</f>
        <v>Special Fire Equipment</v>
      </c>
      <c r="C5" s="228">
        <f>E1-2</f>
        <v>2010</v>
      </c>
      <c r="D5" s="228">
        <f>E1-1</f>
        <v>2011</v>
      </c>
      <c r="E5" s="228">
        <f>E1</f>
        <v>2012</v>
      </c>
    </row>
    <row r="6" spans="2:5" ht="15.75">
      <c r="B6" s="229" t="s">
        <v>377</v>
      </c>
      <c r="C6" s="50">
        <v>36263</v>
      </c>
      <c r="D6" s="198">
        <f>C29</f>
        <v>43013</v>
      </c>
      <c r="E6" s="198">
        <f>D29</f>
        <v>21013</v>
      </c>
    </row>
    <row r="7" spans="2:5" ht="15.75">
      <c r="B7" s="232" t="s">
        <v>379</v>
      </c>
      <c r="C7" s="70"/>
      <c r="D7" s="70"/>
      <c r="E7" s="70"/>
    </row>
    <row r="8" spans="2:5" ht="15.75">
      <c r="B8" s="240" t="s">
        <v>764</v>
      </c>
      <c r="C8" s="50">
        <v>6750</v>
      </c>
      <c r="D8" s="50">
        <v>6000</v>
      </c>
      <c r="E8" s="50">
        <v>6000</v>
      </c>
    </row>
    <row r="9" spans="2:5" ht="15.75">
      <c r="B9" s="240"/>
      <c r="C9" s="50"/>
      <c r="D9" s="50"/>
      <c r="E9" s="50"/>
    </row>
    <row r="10" spans="2:5" ht="15.75">
      <c r="B10" s="240"/>
      <c r="C10" s="50"/>
      <c r="D10" s="50"/>
      <c r="E10" s="50"/>
    </row>
    <row r="11" spans="2:5" ht="15.75">
      <c r="B11" s="240"/>
      <c r="C11" s="50"/>
      <c r="D11" s="50"/>
      <c r="E11" s="50"/>
    </row>
    <row r="12" spans="2:5" ht="15.75">
      <c r="B12" s="236" t="s">
        <v>267</v>
      </c>
      <c r="C12" s="50"/>
      <c r="D12" s="50"/>
      <c r="E12" s="50"/>
    </row>
    <row r="13" spans="2:5" ht="15.75">
      <c r="B13" s="142" t="s">
        <v>509</v>
      </c>
      <c r="C13" s="50"/>
      <c r="D13" s="231"/>
      <c r="E13" s="231"/>
    </row>
    <row r="14" spans="2:5" ht="15.75">
      <c r="B14" s="229" t="s">
        <v>663</v>
      </c>
      <c r="C14" s="362">
        <f>IF(C15*0.1&lt;C13,"Exceed 10% Rule","")</f>
      </c>
      <c r="D14" s="249">
        <f>IF(D15*0.1&lt;D13,"Exceed 10% Rule","")</f>
      </c>
      <c r="E14" s="249">
        <f>IF(E15*0.1&lt;E13,"Exceed 10% Rule","")</f>
      </c>
    </row>
    <row r="15" spans="2:5" ht="15.75">
      <c r="B15" s="238" t="s">
        <v>268</v>
      </c>
      <c r="C15" s="252">
        <f>SUM(C8:C13)</f>
        <v>6750</v>
      </c>
      <c r="D15" s="252">
        <f>SUM(D8:D13)</f>
        <v>6000</v>
      </c>
      <c r="E15" s="252">
        <f>SUM(E8:E13)</f>
        <v>6000</v>
      </c>
    </row>
    <row r="16" spans="2:5" ht="15.75">
      <c r="B16" s="238" t="s">
        <v>269</v>
      </c>
      <c r="C16" s="252">
        <f>C6+C15</f>
        <v>43013</v>
      </c>
      <c r="D16" s="252">
        <f>D6+D15</f>
        <v>49013</v>
      </c>
      <c r="E16" s="252">
        <f>E6+E15</f>
        <v>27013</v>
      </c>
    </row>
    <row r="17" spans="2:5" ht="15.75">
      <c r="B17" s="134" t="s">
        <v>271</v>
      </c>
      <c r="C17" s="198"/>
      <c r="D17" s="198"/>
      <c r="E17" s="198"/>
    </row>
    <row r="18" spans="2:5" ht="15.75">
      <c r="B18" s="240" t="s">
        <v>765</v>
      </c>
      <c r="C18" s="50"/>
      <c r="D18" s="50">
        <v>28000</v>
      </c>
      <c r="E18" s="50">
        <v>27000</v>
      </c>
    </row>
    <row r="19" spans="2:5" ht="15.75">
      <c r="B19" s="240"/>
      <c r="C19" s="50"/>
      <c r="D19" s="50"/>
      <c r="E19" s="50"/>
    </row>
    <row r="20" spans="2:5" ht="15.75">
      <c r="B20" s="240"/>
      <c r="C20" s="50"/>
      <c r="D20" s="50"/>
      <c r="E20" s="50"/>
    </row>
    <row r="21" spans="2:5" ht="15.75">
      <c r="B21" s="240"/>
      <c r="C21" s="50"/>
      <c r="D21" s="50"/>
      <c r="E21" s="50"/>
    </row>
    <row r="22" spans="2:5" ht="15.75">
      <c r="B22" s="240"/>
      <c r="C22" s="50"/>
      <c r="D22" s="50"/>
      <c r="E22" s="50"/>
    </row>
    <row r="23" spans="2:5" ht="15.75">
      <c r="B23" s="240"/>
      <c r="C23" s="50"/>
      <c r="D23" s="50"/>
      <c r="E23" s="50"/>
    </row>
    <row r="24" spans="2:5" ht="15.75">
      <c r="B24" s="240"/>
      <c r="C24" s="50"/>
      <c r="D24" s="50"/>
      <c r="E24" s="50"/>
    </row>
    <row r="25" spans="2:5" ht="15.75">
      <c r="B25" s="240"/>
      <c r="C25" s="50"/>
      <c r="D25" s="50"/>
      <c r="E25" s="50"/>
    </row>
    <row r="26" spans="2:5" ht="15.75">
      <c r="B26" s="241" t="s">
        <v>509</v>
      </c>
      <c r="C26" s="50"/>
      <c r="D26" s="231"/>
      <c r="E26" s="231"/>
    </row>
    <row r="27" spans="2:5" ht="15.75">
      <c r="B27" s="241" t="s">
        <v>664</v>
      </c>
      <c r="C27" s="362">
        <f>IF(C28*0.1&lt;C26,"Exceed 10% Rule","")</f>
      </c>
      <c r="D27" s="249">
        <f>IF(D28*0.1&lt;D26,"Exceed 10% Rule","")</f>
      </c>
      <c r="E27" s="249">
        <f>IF(E28*0.1&lt;E26,"Exceed 10% Rule","")</f>
      </c>
    </row>
    <row r="28" spans="2:5" ht="15.75">
      <c r="B28" s="238" t="s">
        <v>272</v>
      </c>
      <c r="C28" s="252">
        <f>SUM(C18:C26)</f>
        <v>0</v>
      </c>
      <c r="D28" s="252">
        <f>SUM(D18:D26)</f>
        <v>28000</v>
      </c>
      <c r="E28" s="252">
        <f>SUM(E18:E26)</f>
        <v>27000</v>
      </c>
    </row>
    <row r="29" spans="2:5" ht="15.75">
      <c r="B29" s="134" t="s">
        <v>378</v>
      </c>
      <c r="C29" s="198">
        <f>C16-C28</f>
        <v>43013</v>
      </c>
      <c r="D29" s="198">
        <f>D16-D28</f>
        <v>21013</v>
      </c>
      <c r="E29" s="198">
        <f>E16-E28</f>
        <v>13</v>
      </c>
    </row>
    <row r="30" spans="2:5" ht="15.75">
      <c r="B30" s="122" t="str">
        <f>CONCATENATE("",E1-2,"/",E1-1," Budget Authority Amount:")</f>
        <v>2010/2011 Budget Authority Amount:</v>
      </c>
      <c r="C30" s="188">
        <v>20100</v>
      </c>
      <c r="D30" s="188">
        <f>inputPrYr!D38</f>
        <v>28000</v>
      </c>
      <c r="E30" s="408">
        <f>IF(E29&lt;0,"See Tab E","")</f>
      </c>
    </row>
    <row r="31" spans="2:5" ht="15.75">
      <c r="B31" s="122"/>
      <c r="C31" s="244">
        <f>IF(C28&gt;C30,"See Tab A","")</f>
      </c>
      <c r="D31" s="244">
        <f>IF(D28&gt;D30,"See Tab C","")</f>
      </c>
      <c r="E31" s="51"/>
    </row>
    <row r="32" spans="2:5" ht="15.75">
      <c r="B32" s="122"/>
      <c r="C32" s="244">
        <f>IF(C29&lt;0,"See Tab B","")</f>
      </c>
      <c r="D32" s="244">
        <f>IF(D29&lt;0,"See Tab D","")</f>
      </c>
      <c r="E32" s="51"/>
    </row>
    <row r="33" spans="2:5" ht="15.75">
      <c r="B33" s="22"/>
      <c r="C33" s="51"/>
      <c r="D33" s="51"/>
      <c r="E33" s="51"/>
    </row>
    <row r="34" spans="2:5" ht="15.75">
      <c r="B34" s="29" t="s">
        <v>262</v>
      </c>
      <c r="C34" s="254"/>
      <c r="D34" s="254"/>
      <c r="E34" s="254"/>
    </row>
    <row r="35" spans="2:5" ht="15.75">
      <c r="B35" s="22"/>
      <c r="C35" s="521" t="s">
        <v>277</v>
      </c>
      <c r="D35" s="520" t="s">
        <v>398</v>
      </c>
      <c r="E35" s="520" t="s">
        <v>399</v>
      </c>
    </row>
    <row r="36" spans="2:5" ht="15.75">
      <c r="B36" s="360" t="str">
        <f>(inputPrYr!B39)</f>
        <v>Non-Budgeted Funds-A</v>
      </c>
      <c r="C36" s="228">
        <f>C5</f>
        <v>2010</v>
      </c>
      <c r="D36" s="228">
        <f>D5</f>
        <v>2011</v>
      </c>
      <c r="E36" s="228">
        <f>E5</f>
        <v>2012</v>
      </c>
    </row>
    <row r="37" spans="2:5" ht="15.75">
      <c r="B37" s="229" t="s">
        <v>377</v>
      </c>
      <c r="C37" s="50"/>
      <c r="D37" s="198">
        <f>C60</f>
        <v>0</v>
      </c>
      <c r="E37" s="198">
        <f>D60</f>
        <v>0</v>
      </c>
    </row>
    <row r="38" spans="2:5" ht="15.75">
      <c r="B38" s="229" t="s">
        <v>379</v>
      </c>
      <c r="C38" s="70"/>
      <c r="D38" s="70"/>
      <c r="E38" s="70"/>
    </row>
    <row r="39" spans="2:5" ht="15.75">
      <c r="B39" s="240"/>
      <c r="C39" s="50"/>
      <c r="D39" s="50"/>
      <c r="E39" s="50"/>
    </row>
    <row r="40" spans="2:5" ht="15.75">
      <c r="B40" s="240"/>
      <c r="C40" s="50"/>
      <c r="D40" s="50"/>
      <c r="E40" s="50"/>
    </row>
    <row r="41" spans="2:5" ht="15.75">
      <c r="B41" s="240"/>
      <c r="C41" s="50"/>
      <c r="D41" s="50"/>
      <c r="E41" s="50"/>
    </row>
    <row r="42" spans="2:5" ht="15.75">
      <c r="B42" s="240"/>
      <c r="C42" s="50"/>
      <c r="D42" s="50"/>
      <c r="E42" s="50"/>
    </row>
    <row r="43" spans="2:5" ht="15.75">
      <c r="B43" s="236" t="s">
        <v>267</v>
      </c>
      <c r="C43" s="50"/>
      <c r="D43" s="50"/>
      <c r="E43" s="50"/>
    </row>
    <row r="44" spans="2:5" ht="15.75">
      <c r="B44" s="142" t="s">
        <v>509</v>
      </c>
      <c r="C44" s="50"/>
      <c r="D44" s="231"/>
      <c r="E44" s="231"/>
    </row>
    <row r="45" spans="2:5" ht="15.75">
      <c r="B45" s="229" t="s">
        <v>663</v>
      </c>
      <c r="C45" s="362">
        <f>IF(C46*0.1&lt;C44,"Exceed 10% Rule","")</f>
      </c>
      <c r="D45" s="249">
        <f>IF(D46*0.1&lt;D44,"Exceed 10% Rule","")</f>
      </c>
      <c r="E45" s="249">
        <f>IF(E46*0.1&lt;E44,"Exceed 10% Rule","")</f>
      </c>
    </row>
    <row r="46" spans="2:5" ht="15.75">
      <c r="B46" s="238" t="s">
        <v>268</v>
      </c>
      <c r="C46" s="252">
        <f>SUM(C39:C44)</f>
        <v>0</v>
      </c>
      <c r="D46" s="252">
        <f>SUM(D39:D44)</f>
        <v>0</v>
      </c>
      <c r="E46" s="252">
        <f>SUM(E39:E44)</f>
        <v>0</v>
      </c>
    </row>
    <row r="47" spans="2:5" ht="15.75">
      <c r="B47" s="238" t="s">
        <v>269</v>
      </c>
      <c r="C47" s="252">
        <f>C37+C46</f>
        <v>0</v>
      </c>
      <c r="D47" s="252">
        <f>D37+D46</f>
        <v>0</v>
      </c>
      <c r="E47" s="252">
        <f>E37+E46</f>
        <v>0</v>
      </c>
    </row>
    <row r="48" spans="2:5" ht="15.75">
      <c r="B48" s="134" t="s">
        <v>271</v>
      </c>
      <c r="C48" s="198"/>
      <c r="D48" s="198"/>
      <c r="E48" s="198"/>
    </row>
    <row r="49" spans="2:5" ht="15.75">
      <c r="B49" s="240"/>
      <c r="C49" s="50"/>
      <c r="D49" s="50"/>
      <c r="E49" s="50"/>
    </row>
    <row r="50" spans="2:5" ht="15.75">
      <c r="B50" s="240"/>
      <c r="C50" s="50"/>
      <c r="D50" s="50"/>
      <c r="E50" s="50"/>
    </row>
    <row r="51" spans="2:5" ht="15.75">
      <c r="B51" s="240"/>
      <c r="C51" s="50"/>
      <c r="D51" s="50"/>
      <c r="E51" s="50"/>
    </row>
    <row r="52" spans="2:5" ht="15.75">
      <c r="B52" s="240"/>
      <c r="C52" s="50"/>
      <c r="D52" s="50"/>
      <c r="E52" s="50"/>
    </row>
    <row r="53" spans="2:5" ht="15.75">
      <c r="B53" s="240"/>
      <c r="C53" s="50"/>
      <c r="D53" s="50"/>
      <c r="E53" s="50"/>
    </row>
    <row r="54" spans="2:5" ht="15.75">
      <c r="B54" s="240"/>
      <c r="C54" s="50"/>
      <c r="D54" s="50"/>
      <c r="E54" s="50"/>
    </row>
    <row r="55" spans="2:5" ht="15.75">
      <c r="B55" s="240"/>
      <c r="C55" s="50"/>
      <c r="D55" s="50"/>
      <c r="E55" s="50"/>
    </row>
    <row r="56" spans="2:5" ht="15.75">
      <c r="B56" s="240"/>
      <c r="C56" s="50"/>
      <c r="D56" s="50"/>
      <c r="E56" s="50"/>
    </row>
    <row r="57" spans="2:5" ht="15.75">
      <c r="B57" s="241" t="s">
        <v>509</v>
      </c>
      <c r="C57" s="50"/>
      <c r="D57" s="231"/>
      <c r="E57" s="231"/>
    </row>
    <row r="58" spans="2:5" ht="15.75">
      <c r="B58" s="241" t="s">
        <v>664</v>
      </c>
      <c r="C58" s="362">
        <f>IF(C59*0.1&lt;C57,"Exceed 10% Rule","")</f>
      </c>
      <c r="D58" s="249">
        <f>IF(D59*0.1&lt;D57,"Exceed 10% Rule","")</f>
      </c>
      <c r="E58" s="249">
        <f>IF(E59*0.1&lt;E57,"Exceed 10% Rule","")</f>
      </c>
    </row>
    <row r="59" spans="2:5" ht="15.75">
      <c r="B59" s="238" t="s">
        <v>272</v>
      </c>
      <c r="C59" s="252">
        <f>SUM(C49:C57)</f>
        <v>0</v>
      </c>
      <c r="D59" s="252">
        <f>SUM(D49:D57)</f>
        <v>0</v>
      </c>
      <c r="E59" s="252">
        <f>SUM(E49:E57)</f>
        <v>0</v>
      </c>
    </row>
    <row r="60" spans="2:5" ht="15.75">
      <c r="B60" s="134" t="s">
        <v>378</v>
      </c>
      <c r="C60" s="198">
        <f>C47-C59</f>
        <v>0</v>
      </c>
      <c r="D60" s="198">
        <f>D47-D59</f>
        <v>0</v>
      </c>
      <c r="E60" s="198">
        <f>E47-E59</f>
        <v>0</v>
      </c>
    </row>
    <row r="61" spans="2:5" ht="15.75">
      <c r="B61" s="122" t="str">
        <f>CONCATENATE("",E1-2,"/",E1-1," Budget Authority Amount:")</f>
        <v>2010/2011 Budget Authority Amount:</v>
      </c>
      <c r="C61" s="188" t="e">
        <f>inputOth!#REF!</f>
        <v>#REF!</v>
      </c>
      <c r="D61" s="188">
        <f>inputPrYr!D39</f>
        <v>0</v>
      </c>
      <c r="E61" s="408">
        <f>IF(E60&lt;0,"See Tab E","")</f>
      </c>
    </row>
    <row r="62" spans="2:5" ht="15.75">
      <c r="B62" s="122"/>
      <c r="C62" s="244" t="e">
        <f>IF(C59&gt;C61,"See Tab A","")</f>
        <v>#REF!</v>
      </c>
      <c r="D62" s="244">
        <f>IF(D59&gt;D61,"See Tab C","")</f>
      </c>
      <c r="E62" s="59"/>
    </row>
    <row r="63" spans="2:5" ht="15.75">
      <c r="B63" s="122"/>
      <c r="C63" s="244">
        <f>IF(C60&lt;0,"See Tab B","")</f>
      </c>
      <c r="D63" s="244">
        <f>IF(D60&lt;0,"See Tab D","")</f>
      </c>
      <c r="E63" s="59"/>
    </row>
    <row r="64" spans="2:5" ht="15.75">
      <c r="B64" s="22"/>
      <c r="C64" s="22"/>
      <c r="D64" s="22"/>
      <c r="E64" s="22"/>
    </row>
    <row r="65" spans="2:5" ht="15.75">
      <c r="B65" s="122" t="s">
        <v>275</v>
      </c>
      <c r="C65" s="247">
        <v>11</v>
      </c>
      <c r="D65" s="22"/>
      <c r="E65" s="22"/>
    </row>
  </sheetData>
  <sheetProtection/>
  <conditionalFormatting sqref="C13">
    <cfRule type="cellIs" priority="3" dxfId="81" operator="greaterThan" stopIfTrue="1">
      <formula>$C$15*0.1</formula>
    </cfRule>
  </conditionalFormatting>
  <conditionalFormatting sqref="D13">
    <cfRule type="cellIs" priority="4" dxfId="81" operator="greaterThan" stopIfTrue="1">
      <formula>$D$15*0.1</formula>
    </cfRule>
  </conditionalFormatting>
  <conditionalFormatting sqref="E13">
    <cfRule type="cellIs" priority="5" dxfId="81" operator="greaterThan" stopIfTrue="1">
      <formula>$E$15*0.1</formula>
    </cfRule>
  </conditionalFormatting>
  <conditionalFormatting sqref="C26">
    <cfRule type="cellIs" priority="6" dxfId="81" operator="greaterThan" stopIfTrue="1">
      <formula>$C$28*0.1</formula>
    </cfRule>
  </conditionalFormatting>
  <conditionalFormatting sqref="D26">
    <cfRule type="cellIs" priority="7" dxfId="81" operator="greaterThan" stopIfTrue="1">
      <formula>$D$28*0.1</formula>
    </cfRule>
  </conditionalFormatting>
  <conditionalFormatting sqref="E26">
    <cfRule type="cellIs" priority="8" dxfId="81" operator="greaterThan" stopIfTrue="1">
      <formula>$E$28*0.1</formula>
    </cfRule>
  </conditionalFormatting>
  <conditionalFormatting sqref="C44">
    <cfRule type="cellIs" priority="9" dxfId="81" operator="greaterThan" stopIfTrue="1">
      <formula>$C$46*0.1</formula>
    </cfRule>
  </conditionalFormatting>
  <conditionalFormatting sqref="D44">
    <cfRule type="cellIs" priority="10" dxfId="81" operator="greaterThan" stopIfTrue="1">
      <formula>$D$46*0.1</formula>
    </cfRule>
  </conditionalFormatting>
  <conditionalFormatting sqref="E44">
    <cfRule type="cellIs" priority="11" dxfId="81" operator="greaterThan" stopIfTrue="1">
      <formula>$E$46*0.1</formula>
    </cfRule>
  </conditionalFormatting>
  <conditionalFormatting sqref="C57">
    <cfRule type="cellIs" priority="12" dxfId="81" operator="greaterThan" stopIfTrue="1">
      <formula>$C$59*0.1</formula>
    </cfRule>
  </conditionalFormatting>
  <conditionalFormatting sqref="D57">
    <cfRule type="cellIs" priority="13" dxfId="81" operator="greaterThan" stopIfTrue="1">
      <formula>$D$59*0.1</formula>
    </cfRule>
  </conditionalFormatting>
  <conditionalFormatting sqref="E57">
    <cfRule type="cellIs" priority="14" dxfId="81"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7">
      <selection activeCell="F34" sqref="F3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55"/>
      <c r="C1" s="88"/>
      <c r="D1" s="88"/>
      <c r="E1" s="88"/>
      <c r="F1" s="256" t="s">
        <v>418</v>
      </c>
      <c r="G1" s="88"/>
      <c r="H1" s="88"/>
      <c r="I1" s="88"/>
      <c r="J1" s="88"/>
      <c r="K1" s="88">
        <f>inputPrYr!$C$5</f>
        <v>2012</v>
      </c>
    </row>
    <row r="2" spans="1:11" ht="15.75">
      <c r="A2" s="88"/>
      <c r="B2" s="88"/>
      <c r="C2" s="88"/>
      <c r="D2" s="88"/>
      <c r="E2" s="88"/>
      <c r="F2" s="257" t="str">
        <f>CONCATENATE("(Only the actual budget year for ",K1-2," is to be shown)")</f>
        <v>(Only the actual budget year for 2010 is to be shown)</v>
      </c>
      <c r="G2" s="88"/>
      <c r="H2" s="88"/>
      <c r="I2" s="88"/>
      <c r="J2" s="88"/>
      <c r="K2" s="88"/>
    </row>
    <row r="3" spans="1:11" ht="15.75">
      <c r="A3" s="88" t="s">
        <v>450</v>
      </c>
      <c r="B3" s="88"/>
      <c r="C3" s="88"/>
      <c r="D3" s="88"/>
      <c r="E3" s="88"/>
      <c r="F3" s="255"/>
      <c r="G3" s="88"/>
      <c r="H3" s="88"/>
      <c r="I3" s="88"/>
      <c r="J3" s="88"/>
      <c r="K3" s="88"/>
    </row>
    <row r="4" spans="1:11" ht="15.75">
      <c r="A4" s="88" t="s">
        <v>426</v>
      </c>
      <c r="B4" s="88"/>
      <c r="C4" s="88" t="s">
        <v>427</v>
      </c>
      <c r="D4" s="88"/>
      <c r="E4" s="88" t="s">
        <v>428</v>
      </c>
      <c r="F4" s="255"/>
      <c r="G4" s="88" t="s">
        <v>429</v>
      </c>
      <c r="H4" s="88"/>
      <c r="I4" s="88" t="s">
        <v>430</v>
      </c>
      <c r="J4" s="88"/>
      <c r="K4" s="88"/>
    </row>
    <row r="5" spans="1:11" ht="15.75">
      <c r="A5" s="595" t="str">
        <f>inputPrYr!$B51</f>
        <v>Capital Reserve</v>
      </c>
      <c r="B5" s="596"/>
      <c r="C5" s="595" t="str">
        <f>inputPrYr!$B52</f>
        <v>Ambulance Reserve</v>
      </c>
      <c r="D5" s="596"/>
      <c r="E5" s="595" t="s">
        <v>777</v>
      </c>
      <c r="F5" s="596"/>
      <c r="G5" s="595" t="str">
        <f>inputPrYr!$B54</f>
        <v>Sewer Replacement</v>
      </c>
      <c r="H5" s="596"/>
      <c r="I5" s="595" t="str">
        <f>inputPrYr!$B55</f>
        <v>Playground Fund</v>
      </c>
      <c r="J5" s="596"/>
      <c r="K5" s="110"/>
    </row>
    <row r="6" spans="1:11" ht="15.75">
      <c r="A6" s="259" t="s">
        <v>415</v>
      </c>
      <c r="B6" s="260"/>
      <c r="C6" s="261" t="s">
        <v>415</v>
      </c>
      <c r="D6" s="262"/>
      <c r="E6" s="261" t="s">
        <v>415</v>
      </c>
      <c r="F6" s="263"/>
      <c r="G6" s="261" t="s">
        <v>415</v>
      </c>
      <c r="H6" s="258"/>
      <c r="I6" s="261" t="s">
        <v>415</v>
      </c>
      <c r="J6" s="88"/>
      <c r="K6" s="264" t="s">
        <v>214</v>
      </c>
    </row>
    <row r="7" spans="1:11" ht="15.75">
      <c r="A7" s="265" t="s">
        <v>925</v>
      </c>
      <c r="B7" s="266">
        <v>61672</v>
      </c>
      <c r="C7" s="267" t="s">
        <v>925</v>
      </c>
      <c r="D7" s="266">
        <v>15440</v>
      </c>
      <c r="E7" s="267" t="s">
        <v>925</v>
      </c>
      <c r="F7" s="266">
        <v>67921</v>
      </c>
      <c r="G7" s="267" t="s">
        <v>925</v>
      </c>
      <c r="H7" s="266">
        <v>31000</v>
      </c>
      <c r="I7" s="267" t="s">
        <v>925</v>
      </c>
      <c r="J7" s="266">
        <v>888</v>
      </c>
      <c r="K7" s="268">
        <f>SUM(B7+D7+F7+H7+J7)</f>
        <v>176921</v>
      </c>
    </row>
    <row r="8" spans="1:11" ht="15.75">
      <c r="A8" s="269" t="s">
        <v>379</v>
      </c>
      <c r="B8" s="270"/>
      <c r="C8" s="269" t="s">
        <v>379</v>
      </c>
      <c r="D8" s="271"/>
      <c r="E8" s="269" t="s">
        <v>379</v>
      </c>
      <c r="F8" s="255"/>
      <c r="G8" s="269" t="s">
        <v>379</v>
      </c>
      <c r="H8" s="88"/>
      <c r="I8" s="269" t="s">
        <v>379</v>
      </c>
      <c r="J8" s="88"/>
      <c r="K8" s="255"/>
    </row>
    <row r="9" spans="1:11" ht="15.75">
      <c r="A9" s="272" t="s">
        <v>769</v>
      </c>
      <c r="B9" s="266">
        <v>2000</v>
      </c>
      <c r="C9" s="272" t="s">
        <v>776</v>
      </c>
      <c r="D9" s="266">
        <v>65</v>
      </c>
      <c r="E9" s="272" t="s">
        <v>308</v>
      </c>
      <c r="F9" s="266">
        <v>1350</v>
      </c>
      <c r="G9" s="272" t="s">
        <v>769</v>
      </c>
      <c r="H9" s="266">
        <v>2000</v>
      </c>
      <c r="I9" s="272" t="s">
        <v>778</v>
      </c>
      <c r="J9" s="266">
        <v>15</v>
      </c>
      <c r="K9" s="255"/>
    </row>
    <row r="10" spans="1:11" ht="15.75">
      <c r="A10" s="272" t="s">
        <v>770</v>
      </c>
      <c r="B10" s="266">
        <v>1500</v>
      </c>
      <c r="C10" s="272" t="s">
        <v>308</v>
      </c>
      <c r="D10" s="266">
        <v>111</v>
      </c>
      <c r="E10" s="272"/>
      <c r="F10" s="266"/>
      <c r="G10" s="272"/>
      <c r="H10" s="266"/>
      <c r="I10" s="272" t="s">
        <v>308</v>
      </c>
      <c r="J10" s="266">
        <v>2</v>
      </c>
      <c r="K10" s="255"/>
    </row>
    <row r="11" spans="1:11" ht="15.75">
      <c r="A11" s="272"/>
      <c r="B11" s="266"/>
      <c r="C11" s="273"/>
      <c r="D11" s="274"/>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268</v>
      </c>
      <c r="B17" s="268">
        <f>SUM(B9:B16)</f>
        <v>3500</v>
      </c>
      <c r="C17" s="269" t="s">
        <v>268</v>
      </c>
      <c r="D17" s="282">
        <f>SUM(D9:D16)</f>
        <v>176</v>
      </c>
      <c r="E17" s="269" t="s">
        <v>268</v>
      </c>
      <c r="F17" s="283">
        <f>SUM(F9:F16)</f>
        <v>1350</v>
      </c>
      <c r="G17" s="269" t="s">
        <v>268</v>
      </c>
      <c r="H17" s="282">
        <f>SUM(H9:H16)</f>
        <v>2000</v>
      </c>
      <c r="I17" s="269" t="s">
        <v>268</v>
      </c>
      <c r="J17" s="282">
        <f>SUM(J9:J16)</f>
        <v>17</v>
      </c>
      <c r="K17" s="268">
        <f>SUM(B17+D17+F17+H17+J17)</f>
        <v>7043</v>
      </c>
    </row>
    <row r="18" spans="1:11" ht="15.75">
      <c r="A18" s="269" t="s">
        <v>269</v>
      </c>
      <c r="B18" s="268">
        <f>SUM(B7+B17)</f>
        <v>65172</v>
      </c>
      <c r="C18" s="269" t="s">
        <v>269</v>
      </c>
      <c r="D18" s="268">
        <f>SUM(D7+D17)</f>
        <v>15616</v>
      </c>
      <c r="E18" s="269" t="s">
        <v>269</v>
      </c>
      <c r="F18" s="268">
        <f>SUM(F7+F17)</f>
        <v>69271</v>
      </c>
      <c r="G18" s="269" t="s">
        <v>269</v>
      </c>
      <c r="H18" s="268">
        <f>SUM(H7+H17)</f>
        <v>33000</v>
      </c>
      <c r="I18" s="269" t="s">
        <v>269</v>
      </c>
      <c r="J18" s="268">
        <f>SUM(J7+J17)</f>
        <v>905</v>
      </c>
      <c r="K18" s="268">
        <f>SUM(B18+D18+F18+H18+J18)</f>
        <v>183964</v>
      </c>
    </row>
    <row r="19" spans="1:11" ht="15.75">
      <c r="A19" s="269" t="s">
        <v>271</v>
      </c>
      <c r="B19" s="270"/>
      <c r="C19" s="269" t="s">
        <v>271</v>
      </c>
      <c r="D19" s="271"/>
      <c r="E19" s="269" t="s">
        <v>271</v>
      </c>
      <c r="F19" s="255"/>
      <c r="G19" s="269" t="s">
        <v>271</v>
      </c>
      <c r="H19" s="88"/>
      <c r="I19" s="269" t="s">
        <v>271</v>
      </c>
      <c r="J19" s="88"/>
      <c r="K19" s="255"/>
    </row>
    <row r="20" spans="1:11" ht="15.75">
      <c r="A20" s="272" t="s">
        <v>775</v>
      </c>
      <c r="B20" s="266">
        <v>19828</v>
      </c>
      <c r="C20" s="278"/>
      <c r="D20" s="266"/>
      <c r="E20" s="278" t="s">
        <v>779</v>
      </c>
      <c r="F20" s="266">
        <v>4000</v>
      </c>
      <c r="G20" s="278"/>
      <c r="H20" s="266"/>
      <c r="I20" s="278"/>
      <c r="J20" s="266"/>
      <c r="K20" s="255"/>
    </row>
    <row r="21" spans="1:11" ht="15.75">
      <c r="A21" s="272"/>
      <c r="B21" s="266"/>
      <c r="C21" s="278"/>
      <c r="D21" s="277"/>
      <c r="E21" s="278"/>
      <c r="F21" s="277"/>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272</v>
      </c>
      <c r="B28" s="268">
        <f>SUM(B20:B27)</f>
        <v>19828</v>
      </c>
      <c r="C28" s="269" t="s">
        <v>272</v>
      </c>
      <c r="D28" s="268">
        <f>SUM(D20:D27)</f>
        <v>0</v>
      </c>
      <c r="E28" s="269" t="s">
        <v>272</v>
      </c>
      <c r="F28" s="373">
        <f>SUM(F20:F27)</f>
        <v>4000</v>
      </c>
      <c r="G28" s="269" t="s">
        <v>272</v>
      </c>
      <c r="H28" s="373">
        <f>SUM(H20:H27)</f>
        <v>0</v>
      </c>
      <c r="I28" s="269" t="s">
        <v>272</v>
      </c>
      <c r="J28" s="268">
        <f>SUM(J20:J27)</f>
        <v>0</v>
      </c>
      <c r="K28" s="268">
        <f>SUM(B28+D28+F28+H28+J28)</f>
        <v>23828</v>
      </c>
    </row>
    <row r="29" spans="1:12" ht="15.75">
      <c r="A29" s="269" t="s">
        <v>414</v>
      </c>
      <c r="B29" s="268">
        <f>SUM(B18-B28)</f>
        <v>45344</v>
      </c>
      <c r="C29" s="269" t="s">
        <v>414</v>
      </c>
      <c r="D29" s="268">
        <f>SUM(D18-D28)</f>
        <v>15616</v>
      </c>
      <c r="E29" s="269" t="s">
        <v>414</v>
      </c>
      <c r="F29" s="268">
        <f>SUM(F18-F28)</f>
        <v>65271</v>
      </c>
      <c r="G29" s="269" t="s">
        <v>414</v>
      </c>
      <c r="H29" s="268">
        <f>SUM(H18-H28)</f>
        <v>33000</v>
      </c>
      <c r="I29" s="269" t="s">
        <v>414</v>
      </c>
      <c r="J29" s="268">
        <f>SUM(J18-J28)</f>
        <v>905</v>
      </c>
      <c r="K29" s="286">
        <f>SUM(B29+D29+F29+H29+J29)</f>
        <v>160136</v>
      </c>
      <c r="L29" s="287" t="s">
        <v>488</v>
      </c>
    </row>
    <row r="30" spans="1:12" ht="15.75">
      <c r="A30" s="269"/>
      <c r="B30" s="310">
        <f>IF(B29&lt;0,"See Tab B","")</f>
      </c>
      <c r="C30" s="269"/>
      <c r="D30" s="310">
        <f>IF(D29&lt;0,"See Tab B","")</f>
      </c>
      <c r="E30" s="269"/>
      <c r="F30" s="310">
        <f>IF(F29&lt;0,"See Tab B","")</f>
      </c>
      <c r="G30" s="88"/>
      <c r="H30" s="310">
        <f>IF(H29&lt;0,"See Tab B","")</f>
      </c>
      <c r="I30" s="88"/>
      <c r="J30" s="310">
        <f>IF(J29&lt;0,"See Tab B","")</f>
      </c>
      <c r="K30" s="286">
        <f>SUM(K7+K17-K28)</f>
        <v>160136</v>
      </c>
      <c r="L30" s="287" t="s">
        <v>488</v>
      </c>
    </row>
    <row r="31" spans="1:11" ht="15.75">
      <c r="A31" s="88"/>
      <c r="B31" s="288"/>
      <c r="C31" s="88"/>
      <c r="D31" s="255"/>
      <c r="E31" s="88"/>
      <c r="F31" s="88"/>
      <c r="G31" s="19" t="s">
        <v>489</v>
      </c>
      <c r="H31" s="19"/>
      <c r="I31" s="19"/>
      <c r="J31" s="19"/>
      <c r="K31" s="88"/>
    </row>
    <row r="32" spans="1:11" ht="15.75">
      <c r="A32" s="88"/>
      <c r="B32" s="288"/>
      <c r="C32" s="88"/>
      <c r="D32" s="88"/>
      <c r="E32" s="88"/>
      <c r="F32" s="88"/>
      <c r="G32" s="88"/>
      <c r="H32" s="88"/>
      <c r="I32" s="88"/>
      <c r="J32" s="88"/>
      <c r="K32" s="88"/>
    </row>
    <row r="33" spans="1:11" ht="15.75">
      <c r="A33" s="88"/>
      <c r="B33" s="288"/>
      <c r="C33" s="88"/>
      <c r="D33" s="88"/>
      <c r="E33" s="245" t="s">
        <v>275</v>
      </c>
      <c r="F33" s="247">
        <v>12</v>
      </c>
      <c r="G33" s="88"/>
      <c r="H33" s="88"/>
      <c r="I33" s="88"/>
      <c r="J33" s="88"/>
      <c r="K33" s="88"/>
    </row>
    <row r="34" ht="15.75">
      <c r="B34" s="289"/>
    </row>
    <row r="35" ht="15.75">
      <c r="B35" s="289"/>
    </row>
    <row r="36" ht="15.75">
      <c r="B36" s="289"/>
    </row>
    <row r="37" ht="15.75">
      <c r="B37" s="289"/>
    </row>
    <row r="38" ht="15.75">
      <c r="B38" s="289"/>
    </row>
    <row r="39" ht="15.75">
      <c r="B39" s="289"/>
    </row>
    <row r="40" ht="15.75">
      <c r="B40" s="289"/>
    </row>
    <row r="41" ht="15.75">
      <c r="B41" s="289"/>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4" sqref="F3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55"/>
      <c r="C1" s="88"/>
      <c r="D1" s="88"/>
      <c r="E1" s="88"/>
      <c r="F1" s="256" t="s">
        <v>419</v>
      </c>
      <c r="G1" s="88"/>
      <c r="H1" s="88"/>
      <c r="I1" s="88"/>
      <c r="J1" s="88"/>
      <c r="K1" s="88">
        <f>inputPrYr!$C$5</f>
        <v>2012</v>
      </c>
    </row>
    <row r="2" spans="1:11" ht="15.75">
      <c r="A2" s="88"/>
      <c r="B2" s="88"/>
      <c r="C2" s="88"/>
      <c r="D2" s="88"/>
      <c r="E2" s="88"/>
      <c r="F2" s="255" t="str">
        <f>CONCATENATE("(Only the actual budget year for ",K1-2," is to be shown)")</f>
        <v>(Only the actual budget year for 2010 is to be shown)</v>
      </c>
      <c r="G2" s="88"/>
      <c r="H2" s="88"/>
      <c r="I2" s="88"/>
      <c r="J2" s="88"/>
      <c r="K2" s="88"/>
    </row>
    <row r="3" spans="1:11" ht="15.75">
      <c r="A3" s="88" t="s">
        <v>451</v>
      </c>
      <c r="B3" s="88"/>
      <c r="C3" s="88"/>
      <c r="D3" s="88"/>
      <c r="E3" s="88"/>
      <c r="F3" s="255"/>
      <c r="G3" s="88"/>
      <c r="H3" s="88"/>
      <c r="I3" s="88"/>
      <c r="J3" s="88"/>
      <c r="K3" s="88"/>
    </row>
    <row r="4" spans="1:11" ht="15.75">
      <c r="A4" s="88" t="s">
        <v>426</v>
      </c>
      <c r="B4" s="88"/>
      <c r="C4" s="88" t="s">
        <v>427</v>
      </c>
      <c r="D4" s="88"/>
      <c r="E4" s="88" t="s">
        <v>428</v>
      </c>
      <c r="F4" s="255"/>
      <c r="G4" s="88" t="s">
        <v>429</v>
      </c>
      <c r="H4" s="88"/>
      <c r="I4" s="88" t="s">
        <v>430</v>
      </c>
      <c r="J4" s="88"/>
      <c r="K4" s="88"/>
    </row>
    <row r="5" spans="1:11" ht="15.75">
      <c r="A5" s="595" t="s">
        <v>766</v>
      </c>
      <c r="B5" s="596"/>
      <c r="C5" s="595" t="s">
        <v>767</v>
      </c>
      <c r="D5" s="596"/>
      <c r="E5" s="595" t="s">
        <v>768</v>
      </c>
      <c r="F5" s="596"/>
      <c r="G5" s="595">
        <f>inputPrYr!$B60</f>
        <v>0</v>
      </c>
      <c r="H5" s="596"/>
      <c r="I5" s="595">
        <f>inputPrYr!$B61</f>
        <v>0</v>
      </c>
      <c r="J5" s="596"/>
      <c r="K5" s="110"/>
    </row>
    <row r="6" spans="1:11" ht="15.75">
      <c r="A6" s="259" t="s">
        <v>415</v>
      </c>
      <c r="B6" s="260"/>
      <c r="C6" s="261" t="s">
        <v>415</v>
      </c>
      <c r="D6" s="262"/>
      <c r="E6" s="261" t="s">
        <v>415</v>
      </c>
      <c r="F6" s="263"/>
      <c r="G6" s="261" t="s">
        <v>415</v>
      </c>
      <c r="H6" s="258"/>
      <c r="I6" s="261" t="s">
        <v>415</v>
      </c>
      <c r="J6" s="88"/>
      <c r="K6" s="264" t="s">
        <v>214</v>
      </c>
    </row>
    <row r="7" spans="1:11" ht="15.75">
      <c r="A7" s="265" t="s">
        <v>414</v>
      </c>
      <c r="B7" s="266">
        <v>1398</v>
      </c>
      <c r="C7" s="267" t="s">
        <v>414</v>
      </c>
      <c r="D7" s="266">
        <v>13000</v>
      </c>
      <c r="E7" s="267" t="s">
        <v>414</v>
      </c>
      <c r="F7" s="266"/>
      <c r="G7" s="267" t="s">
        <v>414</v>
      </c>
      <c r="H7" s="266"/>
      <c r="I7" s="267" t="s">
        <v>414</v>
      </c>
      <c r="J7" s="266"/>
      <c r="K7" s="268">
        <f>SUM(B7+D7+F7+H7+J7)</f>
        <v>14398</v>
      </c>
    </row>
    <row r="8" spans="1:11" ht="15.75">
      <c r="A8" s="269" t="s">
        <v>379</v>
      </c>
      <c r="B8" s="270"/>
      <c r="C8" s="269" t="s">
        <v>379</v>
      </c>
      <c r="D8" s="271"/>
      <c r="E8" s="269" t="s">
        <v>379</v>
      </c>
      <c r="F8" s="255"/>
      <c r="G8" s="269" t="s">
        <v>379</v>
      </c>
      <c r="H8" s="88"/>
      <c r="I8" s="269" t="s">
        <v>379</v>
      </c>
      <c r="J8" s="88"/>
      <c r="K8" s="255"/>
    </row>
    <row r="9" spans="1:11" ht="15.75">
      <c r="A9" s="272"/>
      <c r="B9" s="266"/>
      <c r="C9" s="272" t="s">
        <v>769</v>
      </c>
      <c r="D9" s="266">
        <v>2000</v>
      </c>
      <c r="E9" s="272" t="s">
        <v>772</v>
      </c>
      <c r="F9" s="266"/>
      <c r="G9" s="272"/>
      <c r="H9" s="266"/>
      <c r="I9" s="272"/>
      <c r="J9" s="266"/>
      <c r="K9" s="255"/>
    </row>
    <row r="10" spans="1:11" ht="15.75">
      <c r="A10" s="272"/>
      <c r="B10" s="266"/>
      <c r="C10" s="272" t="s">
        <v>770</v>
      </c>
      <c r="D10" s="266">
        <v>1500</v>
      </c>
      <c r="E10" s="272" t="s">
        <v>773</v>
      </c>
      <c r="F10" s="266">
        <v>65000</v>
      </c>
      <c r="G10" s="272"/>
      <c r="H10" s="266"/>
      <c r="I10" s="272"/>
      <c r="J10" s="266"/>
      <c r="K10" s="255"/>
    </row>
    <row r="11" spans="1:11" ht="15.75">
      <c r="A11" s="272"/>
      <c r="B11" s="266"/>
      <c r="C11" s="273" t="s">
        <v>771</v>
      </c>
      <c r="D11" s="274">
        <v>15000</v>
      </c>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268</v>
      </c>
      <c r="B17" s="268">
        <f>SUM(B9:B16)</f>
        <v>0</v>
      </c>
      <c r="C17" s="269" t="s">
        <v>268</v>
      </c>
      <c r="D17" s="282">
        <f>SUM(D9:D16)</f>
        <v>18500</v>
      </c>
      <c r="E17" s="269" t="s">
        <v>268</v>
      </c>
      <c r="F17" s="283">
        <f>SUM(F9:F16)</f>
        <v>65000</v>
      </c>
      <c r="G17" s="269" t="s">
        <v>268</v>
      </c>
      <c r="H17" s="282">
        <f>SUM(H9:H16)</f>
        <v>0</v>
      </c>
      <c r="I17" s="269" t="s">
        <v>268</v>
      </c>
      <c r="J17" s="282">
        <f>SUM(J9:J16)</f>
        <v>0</v>
      </c>
      <c r="K17" s="268">
        <f>SUM(B17+D17+F17+H17+J17)</f>
        <v>83500</v>
      </c>
    </row>
    <row r="18" spans="1:11" ht="15.75">
      <c r="A18" s="269" t="s">
        <v>269</v>
      </c>
      <c r="B18" s="268">
        <f>SUM(B7+B17)</f>
        <v>1398</v>
      </c>
      <c r="C18" s="269" t="s">
        <v>269</v>
      </c>
      <c r="D18" s="268">
        <f>SUM(D7+D17)</f>
        <v>31500</v>
      </c>
      <c r="E18" s="269" t="s">
        <v>269</v>
      </c>
      <c r="F18" s="268">
        <f>SUM(F7+F17)</f>
        <v>65000</v>
      </c>
      <c r="G18" s="269" t="s">
        <v>269</v>
      </c>
      <c r="H18" s="268">
        <f>SUM(H7+H17)</f>
        <v>0</v>
      </c>
      <c r="I18" s="269" t="s">
        <v>269</v>
      </c>
      <c r="J18" s="268">
        <f>SUM(J7+J17)</f>
        <v>0</v>
      </c>
      <c r="K18" s="268">
        <f>SUM(B18+D18+F18+H18+J18)</f>
        <v>97898</v>
      </c>
    </row>
    <row r="19" spans="1:11" ht="15.75">
      <c r="A19" s="269" t="s">
        <v>271</v>
      </c>
      <c r="B19" s="270"/>
      <c r="C19" s="269" t="s">
        <v>271</v>
      </c>
      <c r="D19" s="271"/>
      <c r="E19" s="269" t="s">
        <v>271</v>
      </c>
      <c r="F19" s="255"/>
      <c r="G19" s="269" t="s">
        <v>271</v>
      </c>
      <c r="H19" s="88"/>
      <c r="I19" s="269" t="s">
        <v>271</v>
      </c>
      <c r="J19" s="88"/>
      <c r="K19" s="255"/>
    </row>
    <row r="20" spans="1:11" ht="15.75">
      <c r="A20" s="272"/>
      <c r="B20" s="266"/>
      <c r="C20" s="278"/>
      <c r="D20" s="266"/>
      <c r="E20" s="278" t="s">
        <v>774</v>
      </c>
      <c r="F20" s="266">
        <v>27281</v>
      </c>
      <c r="G20" s="278"/>
      <c r="H20" s="266"/>
      <c r="I20" s="278"/>
      <c r="J20" s="266"/>
      <c r="K20" s="255"/>
    </row>
    <row r="21" spans="1:11" ht="15.75">
      <c r="A21" s="272"/>
      <c r="B21" s="266"/>
      <c r="C21" s="278"/>
      <c r="D21" s="277"/>
      <c r="E21" s="278"/>
      <c r="F21" s="277"/>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272</v>
      </c>
      <c r="B28" s="268">
        <f>SUM(B20:B27)</f>
        <v>0</v>
      </c>
      <c r="C28" s="269" t="s">
        <v>272</v>
      </c>
      <c r="D28" s="268">
        <f>SUM(D20:D27)</f>
        <v>0</v>
      </c>
      <c r="E28" s="269" t="s">
        <v>272</v>
      </c>
      <c r="F28" s="373">
        <f>SUM(F20:F27)</f>
        <v>27281</v>
      </c>
      <c r="G28" s="269" t="s">
        <v>272</v>
      </c>
      <c r="H28" s="373">
        <f>SUM(H20:H27)</f>
        <v>0</v>
      </c>
      <c r="I28" s="269" t="s">
        <v>272</v>
      </c>
      <c r="J28" s="268">
        <f>SUM(J20:J27)</f>
        <v>0</v>
      </c>
      <c r="K28" s="268">
        <f>SUM(B28+D28+F28+H28+J28)</f>
        <v>27281</v>
      </c>
    </row>
    <row r="29" spans="1:12" ht="15.75">
      <c r="A29" s="269" t="s">
        <v>414</v>
      </c>
      <c r="B29" s="268">
        <f>SUM(B18-B28)</f>
        <v>1398</v>
      </c>
      <c r="C29" s="269" t="s">
        <v>414</v>
      </c>
      <c r="D29" s="268">
        <f>SUM(D18-D28)</f>
        <v>31500</v>
      </c>
      <c r="E29" s="269" t="s">
        <v>414</v>
      </c>
      <c r="F29" s="268">
        <f>SUM(F18-F28)</f>
        <v>37719</v>
      </c>
      <c r="G29" s="269" t="s">
        <v>414</v>
      </c>
      <c r="H29" s="268">
        <f>SUM(H18-H28)</f>
        <v>0</v>
      </c>
      <c r="I29" s="269" t="s">
        <v>414</v>
      </c>
      <c r="J29" s="268">
        <f>SUM(J18-J28)</f>
        <v>0</v>
      </c>
      <c r="K29" s="286">
        <f>SUM(B29+D29+F29+H29+J29)</f>
        <v>70617</v>
      </c>
      <c r="L29" s="287" t="s">
        <v>488</v>
      </c>
    </row>
    <row r="30" spans="1:12" ht="15.75">
      <c r="A30" s="269"/>
      <c r="B30" s="310">
        <f>IF(B29&lt;0,"See Tab B","")</f>
      </c>
      <c r="C30" s="269"/>
      <c r="D30" s="310">
        <f>IF(D29&lt;0,"See Tab B","")</f>
      </c>
      <c r="E30" s="269"/>
      <c r="F30" s="310">
        <f>IF(F29&lt;0,"See Tab B","")</f>
      </c>
      <c r="G30" s="88"/>
      <c r="H30" s="310">
        <f>IF(H29&lt;0,"See Tab B","")</f>
      </c>
      <c r="I30" s="88"/>
      <c r="J30" s="310">
        <f>IF(J29&lt;0,"See Tab B","")</f>
      </c>
      <c r="K30" s="286">
        <f>SUM(K7+K17-K28)</f>
        <v>70617</v>
      </c>
      <c r="L30" s="287" t="s">
        <v>488</v>
      </c>
    </row>
    <row r="31" spans="1:11" ht="15.75">
      <c r="A31" s="88"/>
      <c r="B31" s="288"/>
      <c r="C31" s="88"/>
      <c r="D31" s="255"/>
      <c r="E31" s="88"/>
      <c r="F31" s="88"/>
      <c r="G31" s="19" t="s">
        <v>489</v>
      </c>
      <c r="H31" s="19"/>
      <c r="I31" s="19"/>
      <c r="J31" s="19"/>
      <c r="K31" s="88"/>
    </row>
    <row r="32" spans="1:11" ht="15.75">
      <c r="A32" s="88"/>
      <c r="B32" s="288"/>
      <c r="C32" s="88"/>
      <c r="D32" s="88"/>
      <c r="E32" s="88"/>
      <c r="F32" s="88"/>
      <c r="G32" s="88"/>
      <c r="H32" s="88"/>
      <c r="I32" s="88"/>
      <c r="J32" s="88"/>
      <c r="K32" s="88"/>
    </row>
    <row r="33" spans="1:11" ht="15.75">
      <c r="A33" s="88"/>
      <c r="B33" s="288"/>
      <c r="C33" s="88"/>
      <c r="D33" s="88"/>
      <c r="E33" s="245" t="s">
        <v>275</v>
      </c>
      <c r="F33" s="247">
        <v>13</v>
      </c>
      <c r="G33" s="88"/>
      <c r="H33" s="88"/>
      <c r="I33" s="88"/>
      <c r="J33" s="88"/>
      <c r="K33" s="88"/>
    </row>
    <row r="34" ht="15.75">
      <c r="B34" s="289"/>
    </row>
    <row r="35" ht="15.75">
      <c r="B35" s="289"/>
    </row>
    <row r="36" ht="15.75">
      <c r="B36" s="289"/>
    </row>
    <row r="37" ht="15.75">
      <c r="B37" s="289"/>
    </row>
    <row r="38" ht="15.75">
      <c r="B38" s="289"/>
    </row>
    <row r="39" ht="15.75">
      <c r="B39" s="289"/>
    </row>
    <row r="40" ht="15.75">
      <c r="B40" s="289"/>
    </row>
    <row r="41" ht="15.75">
      <c r="B41" s="28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A66"/>
  <sheetViews>
    <sheetView zoomScalePageLayoutView="0" workbookViewId="0" topLeftCell="A1">
      <selection activeCell="D32" sqref="D32"/>
    </sheetView>
  </sheetViews>
  <sheetFormatPr defaultColWidth="8.796875" defaultRowHeight="15"/>
  <cols>
    <col min="1" max="1" width="70.59765625" style="85" customWidth="1"/>
    <col min="2" max="16384" width="8.8984375" style="85" customWidth="1"/>
  </cols>
  <sheetData>
    <row r="1" ht="18.75">
      <c r="A1" s="460" t="s">
        <v>8</v>
      </c>
    </row>
    <row r="2" ht="15.75">
      <c r="A2" s="1"/>
    </row>
    <row r="3" ht="57" customHeight="1">
      <c r="A3" s="461" t="s">
        <v>906</v>
      </c>
    </row>
    <row r="4" ht="15.75">
      <c r="A4" s="462"/>
    </row>
    <row r="5" ht="15.75">
      <c r="A5" s="1"/>
    </row>
    <row r="6" ht="44.25" customHeight="1">
      <c r="A6" s="461" t="s">
        <v>907</v>
      </c>
    </row>
    <row r="7" ht="15.75">
      <c r="A7" s="1"/>
    </row>
    <row r="8" ht="15.75">
      <c r="A8" s="462"/>
    </row>
    <row r="9" ht="46.5" customHeight="1">
      <c r="A9" s="461" t="s">
        <v>908</v>
      </c>
    </row>
    <row r="10" ht="15.75">
      <c r="A10" s="1"/>
    </row>
    <row r="11" ht="15.75">
      <c r="A11" s="462"/>
    </row>
    <row r="12" ht="60" customHeight="1">
      <c r="A12" s="461" t="s">
        <v>909</v>
      </c>
    </row>
    <row r="13" ht="15.75">
      <c r="A13" s="1"/>
    </row>
    <row r="14" ht="15.75">
      <c r="A14" s="1"/>
    </row>
    <row r="15" ht="61.5" customHeight="1">
      <c r="A15" s="461" t="s">
        <v>910</v>
      </c>
    </row>
    <row r="16" ht="15.75">
      <c r="A16" s="1"/>
    </row>
    <row r="17" ht="15.75">
      <c r="A17" s="1"/>
    </row>
    <row r="18" ht="59.25" customHeight="1">
      <c r="A18" s="461" t="s">
        <v>911</v>
      </c>
    </row>
    <row r="19" ht="15.75">
      <c r="A19" s="1"/>
    </row>
    <row r="20" ht="15.75">
      <c r="A20" s="1"/>
    </row>
    <row r="21" ht="61.5" customHeight="1">
      <c r="A21" s="461" t="s">
        <v>912</v>
      </c>
    </row>
    <row r="22" ht="15.75">
      <c r="A22" s="462"/>
    </row>
    <row r="23" ht="15.75">
      <c r="A23" s="462"/>
    </row>
    <row r="24" ht="63" customHeight="1">
      <c r="A24" s="461" t="s">
        <v>913</v>
      </c>
    </row>
    <row r="25" ht="15.75">
      <c r="A25" s="1"/>
    </row>
    <row r="26" ht="15.75">
      <c r="A26" s="1"/>
    </row>
    <row r="27" ht="52.5" customHeight="1">
      <c r="A27" s="463" t="s">
        <v>914</v>
      </c>
    </row>
    <row r="28" ht="15.75">
      <c r="A28" s="1"/>
    </row>
    <row r="29" ht="15.75">
      <c r="A29" s="1"/>
    </row>
    <row r="30" ht="44.25" customHeight="1">
      <c r="A30" s="461" t="s">
        <v>915</v>
      </c>
    </row>
    <row r="31" ht="15.75">
      <c r="A31" s="1"/>
    </row>
    <row r="32" ht="15.75">
      <c r="A32" s="1"/>
    </row>
    <row r="33" ht="42.75" customHeight="1">
      <c r="A33" s="461" t="s">
        <v>916</v>
      </c>
    </row>
    <row r="34" ht="15.75">
      <c r="A34" s="462"/>
    </row>
    <row r="35" ht="15.75">
      <c r="A35" s="462"/>
    </row>
    <row r="36" ht="38.25" customHeight="1">
      <c r="A36" s="461" t="s">
        <v>917</v>
      </c>
    </row>
    <row r="37" ht="15.75">
      <c r="A37" s="462"/>
    </row>
    <row r="38" ht="15.75">
      <c r="A38" s="1"/>
    </row>
    <row r="39" ht="75.75" customHeight="1">
      <c r="A39" s="461" t="s">
        <v>918</v>
      </c>
    </row>
    <row r="40" ht="15.75">
      <c r="A40" s="1"/>
    </row>
    <row r="41" ht="15.75">
      <c r="A41" s="1"/>
    </row>
    <row r="42" ht="57.75" customHeight="1">
      <c r="A42" s="461" t="s">
        <v>919</v>
      </c>
    </row>
    <row r="43" ht="15.75">
      <c r="A43" s="462"/>
    </row>
    <row r="44" ht="15.75">
      <c r="A44" s="1"/>
    </row>
    <row r="45" ht="57.75" customHeight="1">
      <c r="A45" s="461" t="s">
        <v>920</v>
      </c>
    </row>
    <row r="46" ht="15.75">
      <c r="A46" s="1"/>
    </row>
    <row r="47" ht="15.75">
      <c r="A47" s="1"/>
    </row>
    <row r="48" ht="41.25" customHeight="1">
      <c r="A48" s="461" t="s">
        <v>921</v>
      </c>
    </row>
    <row r="49" ht="15.75">
      <c r="A49" s="1"/>
    </row>
    <row r="50" ht="15.75">
      <c r="A50" s="1"/>
    </row>
    <row r="51" ht="75" customHeight="1">
      <c r="A51" s="461" t="s">
        <v>922</v>
      </c>
    </row>
    <row r="52" ht="15.75">
      <c r="A52" s="462"/>
    </row>
    <row r="53" ht="15.75">
      <c r="A53" s="462"/>
    </row>
    <row r="54" ht="57.75" customHeight="1">
      <c r="A54" s="461" t="s">
        <v>780</v>
      </c>
    </row>
    <row r="55" ht="15.75">
      <c r="A55" s="1"/>
    </row>
    <row r="56" ht="15.75">
      <c r="A56" s="1"/>
    </row>
    <row r="57" ht="44.25" customHeight="1">
      <c r="A57" s="461" t="s">
        <v>781</v>
      </c>
    </row>
    <row r="58" ht="15.75">
      <c r="A58" s="1"/>
    </row>
    <row r="59" ht="15.75">
      <c r="A59" s="1"/>
    </row>
    <row r="60" ht="60" customHeight="1">
      <c r="A60" s="461" t="s">
        <v>782</v>
      </c>
    </row>
    <row r="61" ht="15.75">
      <c r="A61" s="462"/>
    </row>
    <row r="62" ht="15.75">
      <c r="A62" s="462"/>
    </row>
    <row r="63" ht="57.75" customHeight="1">
      <c r="A63" s="461" t="s">
        <v>783</v>
      </c>
    </row>
    <row r="64" ht="15.75">
      <c r="A64" s="1"/>
    </row>
    <row r="65" ht="15.75">
      <c r="A65" s="1"/>
    </row>
    <row r="66" ht="60" customHeight="1">
      <c r="A66" s="461" t="s">
        <v>784</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4">
      <selection activeCell="D32" sqref="D32"/>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447</v>
      </c>
      <c r="B1" s="22"/>
      <c r="C1" s="22"/>
      <c r="D1" s="22"/>
      <c r="E1" s="22"/>
    </row>
    <row r="2" spans="1:5" ht="15.75">
      <c r="A2" s="24" t="s">
        <v>486</v>
      </c>
      <c r="B2" s="22"/>
      <c r="C2" s="22"/>
      <c r="D2" s="25" t="s">
        <v>669</v>
      </c>
      <c r="E2" s="26"/>
    </row>
    <row r="3" spans="1:5" ht="15.75">
      <c r="A3" s="24" t="s">
        <v>487</v>
      </c>
      <c r="B3" s="22"/>
      <c r="C3" s="22"/>
      <c r="D3" s="27" t="s">
        <v>670</v>
      </c>
      <c r="E3" s="28"/>
    </row>
    <row r="4" spans="1:5" ht="15.75">
      <c r="A4" s="29"/>
      <c r="B4" s="22"/>
      <c r="C4" s="22"/>
      <c r="D4" s="30"/>
      <c r="E4" s="22"/>
    </row>
    <row r="5" spans="1:5" ht="15.75">
      <c r="A5" s="24" t="s">
        <v>407</v>
      </c>
      <c r="B5" s="22"/>
      <c r="C5" s="31">
        <v>2012</v>
      </c>
      <c r="D5" s="30"/>
      <c r="E5" s="22"/>
    </row>
    <row r="6" spans="1:5" ht="15.75">
      <c r="A6" s="22"/>
      <c r="B6" s="22"/>
      <c r="C6" s="22"/>
      <c r="D6" s="22"/>
      <c r="E6" s="22"/>
    </row>
    <row r="7" spans="1:5" ht="15.75">
      <c r="A7" s="32" t="s">
        <v>227</v>
      </c>
      <c r="B7" s="33"/>
      <c r="C7" s="33"/>
      <c r="D7" s="33"/>
      <c r="E7" s="33"/>
    </row>
    <row r="8" spans="1:5" ht="15.75">
      <c r="A8" s="32" t="s">
        <v>226</v>
      </c>
      <c r="B8" s="33"/>
      <c r="C8" s="33"/>
      <c r="D8" s="33"/>
      <c r="E8" s="33"/>
    </row>
    <row r="9" spans="1:5" ht="15.75">
      <c r="A9" s="34"/>
      <c r="B9" s="33"/>
      <c r="C9" s="33"/>
      <c r="D9" s="33"/>
      <c r="E9" s="33"/>
    </row>
    <row r="10" spans="1:5" ht="15.75">
      <c r="A10" s="552" t="s">
        <v>480</v>
      </c>
      <c r="B10" s="553"/>
      <c r="C10" s="553"/>
      <c r="D10" s="553"/>
      <c r="E10" s="553"/>
    </row>
    <row r="11" spans="1:5" ht="15.75">
      <c r="A11" s="35"/>
      <c r="B11" s="35"/>
      <c r="C11" s="35"/>
      <c r="D11" s="35"/>
      <c r="E11" s="35"/>
    </row>
    <row r="12" spans="1:5" ht="15.75">
      <c r="A12" s="36" t="s">
        <v>481</v>
      </c>
      <c r="B12" s="37"/>
      <c r="C12" s="22"/>
      <c r="D12" s="22"/>
      <c r="E12" s="22"/>
    </row>
    <row r="13" spans="1:5" ht="15.75">
      <c r="A13" s="38" t="str">
        <f>CONCATENATE("the ",C5-1," Budget, Certificate Page:")</f>
        <v>the 2011 Budget, Certificate Page:</v>
      </c>
      <c r="B13" s="39"/>
      <c r="C13" s="40"/>
      <c r="D13" s="22"/>
      <c r="E13" s="22"/>
    </row>
    <row r="14" spans="1:5" ht="15.75">
      <c r="A14" s="38" t="s">
        <v>229</v>
      </c>
      <c r="B14" s="39"/>
      <c r="C14" s="40"/>
      <c r="D14" s="22"/>
      <c r="E14" s="22"/>
    </row>
    <row r="15" spans="1:5" ht="15.75">
      <c r="A15" s="41"/>
      <c r="B15" s="22"/>
      <c r="C15" s="22"/>
      <c r="D15" s="42">
        <f>C5-1</f>
        <v>2011</v>
      </c>
      <c r="E15" s="43">
        <f>$C$5-2</f>
        <v>2010</v>
      </c>
    </row>
    <row r="16" spans="1:5" ht="15.75">
      <c r="A16" s="29" t="s">
        <v>211</v>
      </c>
      <c r="B16" s="22"/>
      <c r="C16" s="44" t="s">
        <v>212</v>
      </c>
      <c r="D16" s="45" t="s">
        <v>228</v>
      </c>
      <c r="E16" s="46" t="s">
        <v>208</v>
      </c>
    </row>
    <row r="17" spans="1:5" ht="15.75">
      <c r="A17" s="22"/>
      <c r="B17" s="47" t="s">
        <v>213</v>
      </c>
      <c r="C17" s="48" t="s">
        <v>380</v>
      </c>
      <c r="D17" s="49">
        <v>179548</v>
      </c>
      <c r="E17" s="50">
        <v>51898</v>
      </c>
    </row>
    <row r="18" spans="1:5" ht="15.75">
      <c r="A18" s="22"/>
      <c r="B18" s="47" t="s">
        <v>671</v>
      </c>
      <c r="C18" s="48" t="s">
        <v>408</v>
      </c>
      <c r="D18" s="49">
        <v>10800</v>
      </c>
      <c r="E18" s="50">
        <v>3530</v>
      </c>
    </row>
    <row r="19" spans="1:5" ht="15.75">
      <c r="A19" s="29" t="s">
        <v>479</v>
      </c>
      <c r="B19" s="22"/>
      <c r="C19" s="22"/>
      <c r="D19" s="51"/>
      <c r="E19" s="52"/>
    </row>
    <row r="20" spans="1:5" ht="15.75">
      <c r="A20" s="29"/>
      <c r="B20" s="53" t="s">
        <v>672</v>
      </c>
      <c r="C20" s="375"/>
      <c r="D20" s="50">
        <v>8531</v>
      </c>
      <c r="E20" s="50">
        <v>5585</v>
      </c>
    </row>
    <row r="21" spans="1:5" ht="15.75">
      <c r="A21" s="22"/>
      <c r="B21" s="53"/>
      <c r="C21" s="375"/>
      <c r="D21" s="50"/>
      <c r="E21" s="50"/>
    </row>
    <row r="22" spans="1:5" ht="15.75">
      <c r="A22" s="22"/>
      <c r="B22" s="54"/>
      <c r="C22" s="376"/>
      <c r="D22" s="50"/>
      <c r="E22" s="50"/>
    </row>
    <row r="23" spans="1:5" ht="15.75">
      <c r="A23" s="22"/>
      <c r="B23" s="54"/>
      <c r="C23" s="376"/>
      <c r="D23" s="50"/>
      <c r="E23" s="50"/>
    </row>
    <row r="24" spans="1:5" ht="15.75">
      <c r="A24" s="22"/>
      <c r="B24" s="54"/>
      <c r="C24" s="376"/>
      <c r="D24" s="50"/>
      <c r="E24" s="50"/>
    </row>
    <row r="25" spans="1:5" ht="15.75">
      <c r="A25" s="22"/>
      <c r="B25" s="54"/>
      <c r="C25" s="376"/>
      <c r="D25" s="50"/>
      <c r="E25" s="50"/>
    </row>
    <row r="26" spans="1:5" ht="15.75">
      <c r="A26" s="22"/>
      <c r="B26" s="54"/>
      <c r="C26" s="376"/>
      <c r="D26" s="50"/>
      <c r="E26" s="50"/>
    </row>
    <row r="27" spans="1:5" ht="15.75">
      <c r="A27" s="22"/>
      <c r="B27" s="54"/>
      <c r="C27" s="376"/>
      <c r="D27" s="50"/>
      <c r="E27" s="50"/>
    </row>
    <row r="28" spans="1:5" ht="15.75">
      <c r="A28" s="22"/>
      <c r="B28" s="54"/>
      <c r="C28" s="376"/>
      <c r="D28" s="50"/>
      <c r="E28" s="50"/>
    </row>
    <row r="29" spans="1:5" ht="15.75">
      <c r="A29" s="22"/>
      <c r="B29" s="54"/>
      <c r="C29" s="376"/>
      <c r="D29" s="50"/>
      <c r="E29" s="50"/>
    </row>
    <row r="30" spans="1:5" ht="15.75">
      <c r="A30" s="22"/>
      <c r="B30" s="54"/>
      <c r="C30" s="376"/>
      <c r="D30" s="50"/>
      <c r="E30" s="50"/>
    </row>
    <row r="31" spans="1:5" ht="15.75">
      <c r="A31" s="55" t="str">
        <f>CONCATENATE("Total Tax Levy Funds for ",C5-1," Budgeted Year")</f>
        <v>Total Tax Levy Funds for 2011 Budgeted Year</v>
      </c>
      <c r="B31" s="56"/>
      <c r="C31" s="56"/>
      <c r="D31" s="57"/>
      <c r="E31" s="58">
        <v>61013</v>
      </c>
    </row>
    <row r="32" spans="1:5" ht="15.75">
      <c r="A32" s="29"/>
      <c r="B32" s="22"/>
      <c r="C32" s="22"/>
      <c r="D32" s="59"/>
      <c r="E32" s="52"/>
    </row>
    <row r="33" spans="1:5" ht="15.75">
      <c r="A33" s="29" t="s">
        <v>409</v>
      </c>
      <c r="B33" s="22"/>
      <c r="C33" s="22"/>
      <c r="D33" s="22"/>
      <c r="E33" s="22"/>
    </row>
    <row r="34" spans="1:5" ht="15.75">
      <c r="A34" s="22"/>
      <c r="B34" s="60" t="s">
        <v>356</v>
      </c>
      <c r="C34" s="61"/>
      <c r="D34" s="49">
        <v>33000</v>
      </c>
      <c r="E34" s="61"/>
    </row>
    <row r="35" spans="1:5" ht="15.75">
      <c r="A35" s="22"/>
      <c r="B35" s="62" t="s">
        <v>673</v>
      </c>
      <c r="C35" s="61"/>
      <c r="D35" s="49">
        <v>59200</v>
      </c>
      <c r="E35" s="61"/>
    </row>
    <row r="36" spans="1:5" ht="15.75">
      <c r="A36" s="22"/>
      <c r="B36" s="62" t="s">
        <v>674</v>
      </c>
      <c r="C36" s="61"/>
      <c r="D36" s="49">
        <v>57000</v>
      </c>
      <c r="E36" s="61"/>
    </row>
    <row r="37" spans="1:5" ht="15.75">
      <c r="A37" s="22"/>
      <c r="B37" s="62" t="s">
        <v>675</v>
      </c>
      <c r="C37" s="61"/>
      <c r="D37" s="49">
        <v>31700</v>
      </c>
      <c r="E37" s="61"/>
    </row>
    <row r="38" spans="1:5" ht="15.75">
      <c r="A38" s="22"/>
      <c r="B38" s="62" t="s">
        <v>676</v>
      </c>
      <c r="C38" s="61"/>
      <c r="D38" s="49">
        <v>28000</v>
      </c>
      <c r="E38" s="61"/>
    </row>
    <row r="39" spans="1:5" ht="15.75">
      <c r="A39" s="22"/>
      <c r="B39" s="62" t="s">
        <v>450</v>
      </c>
      <c r="C39" s="61"/>
      <c r="D39" s="49"/>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454</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407779</v>
      </c>
      <c r="E48" s="22"/>
    </row>
    <row r="49" spans="1:5" ht="15.75">
      <c r="A49" s="63"/>
      <c r="B49" s="61"/>
      <c r="C49" s="61"/>
      <c r="D49" s="22"/>
      <c r="E49" s="22"/>
    </row>
    <row r="50" spans="1:5" ht="15.75">
      <c r="A50" s="63" t="s">
        <v>455</v>
      </c>
      <c r="B50" s="61"/>
      <c r="C50" s="61"/>
      <c r="D50" s="61"/>
      <c r="E50" s="22"/>
    </row>
    <row r="51" spans="1:5" ht="15.75">
      <c r="A51" s="66">
        <v>1</v>
      </c>
      <c r="B51" s="53" t="s">
        <v>677</v>
      </c>
      <c r="C51" s="61"/>
      <c r="D51" s="61"/>
      <c r="E51" s="22"/>
    </row>
    <row r="52" spans="1:5" ht="15.75">
      <c r="A52" s="66">
        <v>2</v>
      </c>
      <c r="B52" s="53" t="s">
        <v>678</v>
      </c>
      <c r="C52" s="61"/>
      <c r="D52" s="61"/>
      <c r="E52" s="22"/>
    </row>
    <row r="53" spans="1:5" ht="15.75">
      <c r="A53" s="66">
        <v>3</v>
      </c>
      <c r="B53" s="53" t="s">
        <v>679</v>
      </c>
      <c r="C53" s="61"/>
      <c r="D53" s="61"/>
      <c r="E53" s="22"/>
    </row>
    <row r="54" spans="1:5" ht="15.75">
      <c r="A54" s="66">
        <v>4</v>
      </c>
      <c r="B54" s="53" t="s">
        <v>680</v>
      </c>
      <c r="C54" s="61"/>
      <c r="D54" s="61"/>
      <c r="E54" s="22"/>
    </row>
    <row r="55" spans="1:5" ht="15.75">
      <c r="A55" s="66">
        <v>5</v>
      </c>
      <c r="B55" s="53" t="s">
        <v>681</v>
      </c>
      <c r="C55" s="61"/>
      <c r="D55" s="61"/>
      <c r="E55" s="22"/>
    </row>
    <row r="56" spans="1:5" ht="15.75">
      <c r="A56" s="63" t="s">
        <v>425</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32.821</v>
      </c>
      <c r="E64" s="22"/>
    </row>
    <row r="65" spans="1:5" ht="15.75">
      <c r="A65" s="22"/>
      <c r="B65" s="70" t="str">
        <f>B18</f>
        <v>Spec. Park &amp; Rec</v>
      </c>
      <c r="C65" s="71"/>
      <c r="D65" s="72">
        <v>2.232</v>
      </c>
      <c r="E65" s="22"/>
    </row>
    <row r="66" spans="1:5" ht="15.75">
      <c r="A66" s="22"/>
      <c r="B66" s="70" t="str">
        <f>B20</f>
        <v>Library</v>
      </c>
      <c r="C66" s="48"/>
      <c r="D66" s="72">
        <v>3.532</v>
      </c>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214</v>
      </c>
      <c r="B77" s="22"/>
      <c r="C77" s="22"/>
      <c r="D77" s="73">
        <f>SUM(D64:D76)</f>
        <v>38.584999999999994</v>
      </c>
      <c r="E77" s="22"/>
    </row>
    <row r="78" spans="1:5" ht="15.75">
      <c r="A78" s="22"/>
      <c r="B78" s="22"/>
      <c r="C78" s="22"/>
      <c r="D78" s="22"/>
      <c r="E78" s="22"/>
    </row>
    <row r="79" spans="1:5" ht="15.75">
      <c r="A79" s="74" t="str">
        <f>CONCATENATE("Total Tax Levied (",C5-2," budget column)")</f>
        <v>Total Tax Levied (2010 budget column)</v>
      </c>
      <c r="B79" s="75"/>
      <c r="C79" s="56"/>
      <c r="D79" s="76"/>
      <c r="E79" s="50">
        <v>60725</v>
      </c>
    </row>
    <row r="80" spans="1:5" ht="15.75">
      <c r="A80" s="74" t="str">
        <f>CONCATENATE("Assessed Valuation  (",C5-2," budget column)")</f>
        <v>Assessed Valuation  (2010 budget column)</v>
      </c>
      <c r="B80" s="77"/>
      <c r="C80" s="78"/>
      <c r="D80" s="79"/>
      <c r="E80" s="50">
        <v>1504001</v>
      </c>
    </row>
    <row r="81" spans="1:5" ht="15.75">
      <c r="A81" s="22"/>
      <c r="B81" s="22"/>
      <c r="C81" s="22"/>
      <c r="D81" s="40"/>
      <c r="E81" s="51"/>
    </row>
    <row r="82" spans="1:5" ht="15.75">
      <c r="A82" s="37" t="s">
        <v>497</v>
      </c>
      <c r="B82" s="37"/>
      <c r="C82" s="80"/>
      <c r="D82" s="81">
        <f>C5-3</f>
        <v>2009</v>
      </c>
      <c r="E82" s="82">
        <f>C5-2</f>
        <v>2010</v>
      </c>
    </row>
    <row r="83" spans="1:5" ht="15.75">
      <c r="A83" s="75" t="s">
        <v>410</v>
      </c>
      <c r="B83" s="75"/>
      <c r="C83" s="83"/>
      <c r="D83" s="49"/>
      <c r="E83" s="49"/>
    </row>
    <row r="84" spans="1:5" ht="15.75">
      <c r="A84" s="77" t="s">
        <v>411</v>
      </c>
      <c r="B84" s="77"/>
      <c r="C84" s="84"/>
      <c r="D84" s="49"/>
      <c r="E84" s="49"/>
    </row>
    <row r="85" spans="1:5" ht="15.75">
      <c r="A85" s="77" t="s">
        <v>412</v>
      </c>
      <c r="B85" s="77"/>
      <c r="C85" s="84"/>
      <c r="D85" s="49"/>
      <c r="E85" s="49"/>
    </row>
    <row r="86" spans="1:5" ht="15.75">
      <c r="A86" s="77" t="s">
        <v>413</v>
      </c>
      <c r="B86" s="77"/>
      <c r="C86" s="84"/>
      <c r="D86" s="49">
        <v>16976</v>
      </c>
      <c r="E86" s="49">
        <v>8488</v>
      </c>
    </row>
    <row r="93" spans="1:5" s="85" customFormat="1" ht="15.75">
      <c r="A93" s="23"/>
      <c r="B93" s="23"/>
      <c r="C93" s="23"/>
      <c r="D93" s="23"/>
      <c r="E93" s="23"/>
    </row>
  </sheetData>
  <sheetProtection/>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A1:M44"/>
  <sheetViews>
    <sheetView zoomScale="75" zoomScaleNormal="75" zoomScalePageLayoutView="0" workbookViewId="0" topLeftCell="A1">
      <selection activeCell="H31" sqref="H3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577" t="s">
        <v>321</v>
      </c>
      <c r="B2" s="577"/>
      <c r="C2" s="577"/>
      <c r="D2" s="577"/>
      <c r="E2" s="577"/>
      <c r="F2" s="577"/>
      <c r="G2" s="577"/>
      <c r="H2" s="577"/>
      <c r="I2" s="290"/>
    </row>
    <row r="3" spans="1:8" ht="15.75">
      <c r="A3" s="22"/>
      <c r="B3" s="22"/>
      <c r="C3" s="22"/>
      <c r="D3" s="22"/>
      <c r="E3" s="22"/>
      <c r="F3" s="22"/>
      <c r="G3" s="22"/>
      <c r="H3" s="22"/>
    </row>
    <row r="4" spans="1:8" ht="15.75">
      <c r="A4" s="567" t="s">
        <v>276</v>
      </c>
      <c r="B4" s="567"/>
      <c r="C4" s="567"/>
      <c r="D4" s="567"/>
      <c r="E4" s="567"/>
      <c r="F4" s="567"/>
      <c r="G4" s="567"/>
      <c r="H4" s="567"/>
    </row>
    <row r="5" spans="1:8" ht="15.75">
      <c r="A5" s="565" t="str">
        <f>inputPrYr!D2</f>
        <v>CITY OF CLIFTON</v>
      </c>
      <c r="B5" s="565"/>
      <c r="C5" s="565"/>
      <c r="D5" s="565"/>
      <c r="E5" s="565"/>
      <c r="F5" s="565"/>
      <c r="G5" s="565"/>
      <c r="H5" s="565"/>
    </row>
    <row r="6" spans="1:8" ht="15.75">
      <c r="A6" s="605" t="str">
        <f>CONCATENATE("will meet on  ",inputBudSum!B6," at ",inputBudSum!B8,"  at  ",inputBudSum!B10,"  for the purpose of")</f>
        <v>will meet on  August 29, 2011 at 7:00 p.m.  at  Clifton City Hall  for the purpose of</v>
      </c>
      <c r="B6" s="605"/>
      <c r="C6" s="605"/>
      <c r="D6" s="605"/>
      <c r="E6" s="605"/>
      <c r="F6" s="605"/>
      <c r="G6" s="605"/>
      <c r="H6" s="605"/>
    </row>
    <row r="7" spans="1:8" ht="15.75">
      <c r="A7" s="567" t="s">
        <v>594</v>
      </c>
      <c r="B7" s="567"/>
      <c r="C7" s="567"/>
      <c r="D7" s="567"/>
      <c r="E7" s="567"/>
      <c r="F7" s="567"/>
      <c r="G7" s="567"/>
      <c r="H7" s="567"/>
    </row>
    <row r="8" spans="1:8" ht="15.75">
      <c r="A8" s="567" t="str">
        <f>CONCATENATE("Detailed budget information is available at ",inputBudSum!B13," and will be available at this hearing.")</f>
        <v>Detailed budget information is available at City Hall and will be available at this hearing.</v>
      </c>
      <c r="B8" s="567"/>
      <c r="C8" s="567"/>
      <c r="D8" s="567"/>
      <c r="E8" s="567"/>
      <c r="F8" s="567"/>
      <c r="G8" s="567"/>
      <c r="H8" s="567"/>
    </row>
    <row r="9" spans="1:8" ht="15.75">
      <c r="A9" s="32" t="s">
        <v>322</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383</v>
      </c>
      <c r="B11" s="33"/>
      <c r="C11" s="33"/>
      <c r="D11" s="33"/>
      <c r="E11" s="33"/>
      <c r="F11" s="33"/>
      <c r="G11" s="33"/>
      <c r="H11" s="33"/>
    </row>
    <row r="12" spans="1:8" ht="15.75">
      <c r="A12" s="22"/>
      <c r="B12" s="251"/>
      <c r="C12" s="251"/>
      <c r="D12" s="251"/>
      <c r="E12" s="251"/>
      <c r="F12" s="251"/>
      <c r="G12" s="251"/>
      <c r="H12" s="251"/>
    </row>
    <row r="13" spans="1:8" ht="15.75">
      <c r="A13" s="22"/>
      <c r="B13" s="291" t="str">
        <f>CONCATENATE("Prior Year Actual for ",H1-2,"")</f>
        <v>Prior Year Actual for 2010</v>
      </c>
      <c r="C13" s="125"/>
      <c r="D13" s="291" t="str">
        <f>CONCATENATE("Current Year Estimate for ",H1-1,"")</f>
        <v>Current Year Estimate for 2011</v>
      </c>
      <c r="E13" s="125"/>
      <c r="F13" s="123" t="str">
        <f>CONCATENATE("Proposed Budget for ",H1,"")</f>
        <v>Proposed Budget for 2012</v>
      </c>
      <c r="G13" s="124"/>
      <c r="H13" s="125"/>
    </row>
    <row r="14" spans="1:8" ht="21" customHeight="1">
      <c r="A14" s="22"/>
      <c r="B14" s="246"/>
      <c r="C14" s="128" t="s">
        <v>278</v>
      </c>
      <c r="D14" s="128"/>
      <c r="E14" s="128" t="s">
        <v>278</v>
      </c>
      <c r="F14" s="381" t="s">
        <v>506</v>
      </c>
      <c r="G14" s="128" t="str">
        <f>CONCATENATE("Amount of ",H1-1,"")</f>
        <v>Amount of 2011</v>
      </c>
      <c r="H14" s="128" t="s">
        <v>449</v>
      </c>
    </row>
    <row r="15" spans="1:8" ht="15.75">
      <c r="A15" s="47" t="s">
        <v>279</v>
      </c>
      <c r="B15" s="132" t="s">
        <v>280</v>
      </c>
      <c r="C15" s="132" t="s">
        <v>281</v>
      </c>
      <c r="D15" s="132" t="s">
        <v>280</v>
      </c>
      <c r="E15" s="132" t="s">
        <v>281</v>
      </c>
      <c r="F15" s="382" t="s">
        <v>815</v>
      </c>
      <c r="G15" s="133" t="s">
        <v>263</v>
      </c>
      <c r="H15" s="132" t="s">
        <v>281</v>
      </c>
    </row>
    <row r="16" spans="1:8" ht="15.75">
      <c r="A16" s="70" t="str">
        <f>inputPrYr!B17</f>
        <v>General</v>
      </c>
      <c r="B16" s="198">
        <f>IF(general!$C$48&lt;&gt;0,general!$C$48,"  ")</f>
        <v>175723.32</v>
      </c>
      <c r="C16" s="60">
        <f>IF(inputPrYr!D64&gt;0,inputPrYr!D64,"  ")</f>
        <v>32.821</v>
      </c>
      <c r="D16" s="198">
        <f>IF(general!$D$48&lt;&gt;0,general!$D$48,"  ")</f>
        <v>156500</v>
      </c>
      <c r="E16" s="60">
        <f>IF(inputOth!D21&gt;0,inputOth!D21,"  ")</f>
        <v>32.846</v>
      </c>
      <c r="F16" s="198">
        <f>IF(general!$E$48&lt;&gt;0,general!$E$48,"  ")</f>
        <v>167200</v>
      </c>
      <c r="G16" s="198">
        <f>IF(general!$E$55&lt;&gt;0,general!$E$55,"  ")</f>
        <v>52698.32000000001</v>
      </c>
      <c r="H16" s="60">
        <f>IF(general!E55&gt;0,ROUND(G16/$F$31*1000,3),"  ")</f>
        <v>31.835</v>
      </c>
    </row>
    <row r="17" spans="1:8" ht="15.75">
      <c r="A17" s="70" t="str">
        <f>IF(inputPrYr!$B20&gt;"  ",(inputPrYr!$B20),"  ")</f>
        <v>Library</v>
      </c>
      <c r="B17" s="198">
        <v>7778</v>
      </c>
      <c r="C17" s="60">
        <f>IF(inputPrYr!D66&gt;0,inputPrYr!D66,"  ")</f>
        <v>3.532</v>
      </c>
      <c r="D17" s="198">
        <v>8000</v>
      </c>
      <c r="E17" s="60">
        <f>IF(inputOth!D23&gt;0,inputOth!D23,"  ")</f>
        <v>2.234</v>
      </c>
      <c r="F17" s="198">
        <v>9500</v>
      </c>
      <c r="G17" s="198">
        <v>7306</v>
      </c>
      <c r="H17" s="60">
        <v>4.41</v>
      </c>
    </row>
    <row r="18" spans="1:8" ht="15.75">
      <c r="A18" s="121" t="s">
        <v>671</v>
      </c>
      <c r="B18" s="550">
        <v>9613</v>
      </c>
      <c r="C18" s="551">
        <v>2.232</v>
      </c>
      <c r="D18" s="550">
        <v>9969</v>
      </c>
      <c r="E18" s="551">
        <v>2.234</v>
      </c>
      <c r="F18" s="550">
        <v>10200</v>
      </c>
      <c r="G18" s="550">
        <v>6744</v>
      </c>
      <c r="H18" s="551">
        <v>4.07</v>
      </c>
    </row>
    <row r="19" spans="1:8" ht="15.75">
      <c r="A19" s="70" t="str">
        <f>IF(inputPrYr!$B34&gt;"  ",(inputPrYr!$B34),"  ")</f>
        <v>Special Highway</v>
      </c>
      <c r="B19" s="198">
        <f>IF('SP HWY-WATER'!$C$28&gt;0,'SP HWY-WATER'!$C$28,"  ")</f>
        <v>35416</v>
      </c>
      <c r="C19" s="48"/>
      <c r="D19" s="198">
        <f>IF('SP HWY-WATER'!$D$28&gt;0,'SP HWY-WATER'!$D$28,"  ")</f>
        <v>33000</v>
      </c>
      <c r="E19" s="48"/>
      <c r="F19" s="198">
        <f>IF('SP HWY-WATER'!$E$28&gt;0,'SP HWY-WATER'!$E$28,"  ")</f>
        <v>22176</v>
      </c>
      <c r="G19" s="198"/>
      <c r="H19" s="48"/>
    </row>
    <row r="20" spans="1:8" ht="15.75">
      <c r="A20" s="70" t="str">
        <f>IF(inputPrYr!$B35&gt;"  ",(inputPrYr!$B35),"  ")</f>
        <v>Water</v>
      </c>
      <c r="B20" s="198">
        <f>IF('SP HWY-WATER'!$C$59&gt;0,'SP HWY-WATER'!$C$59,"  ")</f>
        <v>55843</v>
      </c>
      <c r="C20" s="48"/>
      <c r="D20" s="198">
        <f>IF('SP HWY-WATER'!$D$59&gt;0,'SP HWY-WATER'!$D$59,"  ")</f>
        <v>59200</v>
      </c>
      <c r="E20" s="48"/>
      <c r="F20" s="198">
        <f>IF('SP HWY-WATER'!$E$59&gt;0,'SP HWY-WATER'!$E$59,"  ")</f>
        <v>61200</v>
      </c>
      <c r="G20" s="198"/>
      <c r="H20" s="48"/>
    </row>
    <row r="21" spans="1:8" ht="15.75">
      <c r="A21" s="70" t="str">
        <f>IF(inputPrYr!$B36&gt;"  ",(inputPrYr!$B36),"  ")</f>
        <v>Ambulance</v>
      </c>
      <c r="B21" s="198">
        <f>IF('AMB-SEWER'!$C$28&gt;0,'AMB-SEWER'!$C$28,"  ")</f>
        <v>42209</v>
      </c>
      <c r="C21" s="48"/>
      <c r="D21" s="198">
        <f>IF('AMB-SEWER'!$D$28&gt;0,'AMB-SEWER'!$D$28,"  ")</f>
        <v>57000</v>
      </c>
      <c r="E21" s="48"/>
      <c r="F21" s="198">
        <f>IF('AMB-SEWER'!$E$28&gt;0,'AMB-SEWER'!$E$28,"  ")</f>
        <v>58500</v>
      </c>
      <c r="G21" s="198"/>
      <c r="H21" s="48"/>
    </row>
    <row r="22" spans="1:13" ht="15.75">
      <c r="A22" s="70" t="str">
        <f>IF(inputPrYr!$B37&gt;"  ",(inputPrYr!$B37),"  ")</f>
        <v>Sewer Service</v>
      </c>
      <c r="B22" s="198">
        <f>IF('AMB-SEWER'!$C$59&gt;0,'AMB-SEWER'!$C$59,"  ")</f>
        <v>30159</v>
      </c>
      <c r="C22" s="48"/>
      <c r="D22" s="198">
        <f>IF('AMB-SEWER'!$D$59&gt;0,'AMB-SEWER'!$D$59,"  ")</f>
        <v>31700</v>
      </c>
      <c r="E22" s="48"/>
      <c r="F22" s="198">
        <f>IF('AMB-SEWER'!$E$59&gt;0,'AMB-SEWER'!$E$59,"  ")</f>
        <v>34300</v>
      </c>
      <c r="G22" s="198"/>
      <c r="H22" s="48"/>
      <c r="J22" s="598" t="str">
        <f>CONCATENATE("Estimated Value Of One Mill For ",H1,"")</f>
        <v>Estimated Value Of One Mill For 2012</v>
      </c>
      <c r="K22" s="599"/>
      <c r="L22" s="599"/>
      <c r="M22" s="600"/>
    </row>
    <row r="23" spans="1:13" ht="15.75">
      <c r="A23" s="70" t="str">
        <f>IF(inputPrYr!$B38&gt;"  ",(inputPrYr!$B38),"  ")</f>
        <v>Special Fire Equipment</v>
      </c>
      <c r="B23" s="198" t="str">
        <f>IF('SPEC FIRE EQUIP'!$C$28&gt;0,'SPEC FIRE EQUIP'!$C$28,"  ")</f>
        <v>  </v>
      </c>
      <c r="C23" s="48"/>
      <c r="D23" s="198">
        <f>IF('SPEC FIRE EQUIP'!$D$28&gt;0,'SPEC FIRE EQUIP'!$D$28,"  ")</f>
        <v>28000</v>
      </c>
      <c r="E23" s="48"/>
      <c r="F23" s="198">
        <f>IF('SPEC FIRE EQUIP'!$E$28&gt;0,'SPEC FIRE EQUIP'!$E$28,"  ")</f>
        <v>27000</v>
      </c>
      <c r="G23" s="198"/>
      <c r="H23" s="48"/>
      <c r="J23" s="484"/>
      <c r="K23" s="485"/>
      <c r="L23" s="485"/>
      <c r="M23" s="486"/>
    </row>
    <row r="24" spans="1:13" ht="15.75">
      <c r="A24" s="70" t="str">
        <f>IF(inputPrYr!$B51&gt;" ",(NonBudA!$A3),"  ")</f>
        <v>Non-Budgeted Funds-A</v>
      </c>
      <c r="B24" s="198">
        <f>IF(NonBudA!$K$28&gt;0,NonBudA!$K$28,"  ")</f>
        <v>23828</v>
      </c>
      <c r="C24" s="48"/>
      <c r="D24" s="198"/>
      <c r="E24" s="48"/>
      <c r="F24" s="198"/>
      <c r="G24" s="198"/>
      <c r="H24" s="48"/>
      <c r="J24" s="545" t="e">
        <f>IF(M24&lt;0,"Reduced By:","")</f>
        <v>#REF!</v>
      </c>
      <c r="K24" s="546"/>
      <c r="L24" s="546"/>
      <c r="M24" s="547" t="e">
        <f>IF(M30&gt;0,M30*-1,0)</f>
        <v>#REF!</v>
      </c>
    </row>
    <row r="25" spans="1:13" ht="15.75">
      <c r="A25" s="70" t="s">
        <v>451</v>
      </c>
      <c r="B25" s="410">
        <f>IF(NonBudB!$K$28&gt;0,NonBudB!$K$28,"  ")</f>
        <v>27281</v>
      </c>
      <c r="C25" s="136"/>
      <c r="D25" s="410"/>
      <c r="E25" s="136"/>
      <c r="F25" s="410"/>
      <c r="G25" s="410"/>
      <c r="H25" s="136"/>
      <c r="J25" s="494"/>
      <c r="K25" s="494"/>
      <c r="L25" s="494"/>
      <c r="M25" s="494"/>
    </row>
    <row r="26" spans="1:13" ht="15.75">
      <c r="A26" s="127" t="s">
        <v>625</v>
      </c>
      <c r="B26" s="58">
        <f>SUM(B16:B25)</f>
        <v>407850.32</v>
      </c>
      <c r="C26" s="374">
        <f>SUM(C16:C17)</f>
        <v>36.352999999999994</v>
      </c>
      <c r="D26" s="58">
        <f>SUM(D16:D25)</f>
        <v>383369</v>
      </c>
      <c r="E26" s="374">
        <f>SUM(E16:E17)</f>
        <v>35.08</v>
      </c>
      <c r="F26" s="58">
        <f>SUM(F16:F25)</f>
        <v>390076</v>
      </c>
      <c r="G26" s="58">
        <f>SUM(G16:G25)</f>
        <v>66748.32</v>
      </c>
      <c r="H26" s="73">
        <f>SUM(H16:H17)</f>
        <v>36.245000000000005</v>
      </c>
      <c r="J26" s="598" t="str">
        <f>CONCATENATE("Impact On Keeping The Same Mill Rate As For ",H1-1,"")</f>
        <v>Impact On Keeping The Same Mill Rate As For 2011</v>
      </c>
      <c r="K26" s="603"/>
      <c r="L26" s="603"/>
      <c r="M26" s="604"/>
    </row>
    <row r="27" spans="1:13" ht="15.75">
      <c r="A27" s="29" t="s">
        <v>282</v>
      </c>
      <c r="B27" s="409">
        <f>transfers!C28</f>
        <v>24000</v>
      </c>
      <c r="C27" s="504"/>
      <c r="D27" s="409">
        <f>transfers!D28</f>
        <v>28200</v>
      </c>
      <c r="E27" s="504"/>
      <c r="F27" s="409">
        <f>transfers!E28</f>
        <v>30500</v>
      </c>
      <c r="G27" s="59"/>
      <c r="H27" s="52"/>
      <c r="I27" s="482"/>
      <c r="J27" s="489"/>
      <c r="K27" s="485"/>
      <c r="L27" s="485"/>
      <c r="M27" s="490"/>
    </row>
    <row r="28" spans="1:13" ht="16.5" thickBot="1">
      <c r="A28" s="29" t="s">
        <v>283</v>
      </c>
      <c r="B28" s="371">
        <f>B26-B27</f>
        <v>383850.32</v>
      </c>
      <c r="C28" s="22"/>
      <c r="D28" s="371">
        <f>D26-D27</f>
        <v>355169</v>
      </c>
      <c r="E28" s="22"/>
      <c r="F28" s="371">
        <f>F26-F27</f>
        <v>359576</v>
      </c>
      <c r="G28" s="22"/>
      <c r="H28" s="22"/>
      <c r="J28" s="489" t="str">
        <f>CONCATENATE("",H1," Ad Valorem Tax Revenue:")</f>
        <v>2012 Ad Valorem Tax Revenue:</v>
      </c>
      <c r="K28" s="485"/>
      <c r="L28" s="485"/>
      <c r="M28" s="486">
        <f>G26</f>
        <v>66748.32</v>
      </c>
    </row>
    <row r="29" spans="1:13" ht="16.5" thickTop="1">
      <c r="A29" s="29" t="s">
        <v>284</v>
      </c>
      <c r="B29" s="409">
        <f>inputPrYr!E79</f>
        <v>60725</v>
      </c>
      <c r="C29" s="155"/>
      <c r="D29" s="409">
        <f>inputPrYr!E31</f>
        <v>61013</v>
      </c>
      <c r="E29" s="155"/>
      <c r="F29" s="292" t="s">
        <v>251</v>
      </c>
      <c r="G29" s="22"/>
      <c r="H29" s="22"/>
      <c r="J29" s="489" t="str">
        <f>CONCATENATE("",H1-1," Ad Valorem Tax Revenue:")</f>
        <v>2011 Ad Valorem Tax Revenue:</v>
      </c>
      <c r="K29" s="485"/>
      <c r="L29" s="485"/>
      <c r="M29" s="495" t="e">
        <f>ROUND(F31*#REF!/1000,0)</f>
        <v>#REF!</v>
      </c>
    </row>
    <row r="30" spans="1:13" ht="15.75">
      <c r="A30" s="29" t="s">
        <v>285</v>
      </c>
      <c r="B30" s="410"/>
      <c r="C30" s="22"/>
      <c r="D30" s="410"/>
      <c r="E30" s="174"/>
      <c r="F30" s="136"/>
      <c r="G30" s="22"/>
      <c r="H30" s="22"/>
      <c r="J30" s="492" t="s">
        <v>613</v>
      </c>
      <c r="K30" s="493"/>
      <c r="L30" s="493"/>
      <c r="M30" s="487" t="e">
        <f>SUM(M28-M29)</f>
        <v>#REF!</v>
      </c>
    </row>
    <row r="31" spans="1:13" ht="15.75">
      <c r="A31" s="29" t="s">
        <v>286</v>
      </c>
      <c r="B31" s="409">
        <f>inputPrYr!E80</f>
        <v>1504001</v>
      </c>
      <c r="C31" s="61"/>
      <c r="D31" s="409">
        <f>inputOth!E36</f>
        <v>1581314</v>
      </c>
      <c r="E31" s="61"/>
      <c r="F31" s="409">
        <f>inputOth!E7</f>
        <v>1655336</v>
      </c>
      <c r="G31" s="22"/>
      <c r="H31" s="22"/>
      <c r="J31" s="488"/>
      <c r="K31" s="488"/>
      <c r="L31" s="488"/>
      <c r="M31" s="494"/>
    </row>
    <row r="32" spans="1:13" ht="15.75">
      <c r="A32" s="29" t="s">
        <v>287</v>
      </c>
      <c r="B32" s="22"/>
      <c r="C32" s="22"/>
      <c r="D32" s="22"/>
      <c r="E32" s="22"/>
      <c r="F32" s="22"/>
      <c r="G32" s="22"/>
      <c r="H32" s="22"/>
      <c r="J32" s="598" t="s">
        <v>614</v>
      </c>
      <c r="K32" s="601"/>
      <c r="L32" s="601"/>
      <c r="M32" s="602"/>
    </row>
    <row r="33" spans="1:13" ht="15.75">
      <c r="A33" s="29" t="s">
        <v>288</v>
      </c>
      <c r="B33" s="293">
        <f>$H$1-3</f>
        <v>2009</v>
      </c>
      <c r="C33" s="22"/>
      <c r="D33" s="293">
        <f>$H$1-2</f>
        <v>2010</v>
      </c>
      <c r="E33" s="22"/>
      <c r="F33" s="293">
        <f>$H$1-1</f>
        <v>2011</v>
      </c>
      <c r="G33" s="22"/>
      <c r="H33" s="22"/>
      <c r="J33" s="489"/>
      <c r="K33" s="485"/>
      <c r="L33" s="485"/>
      <c r="M33" s="490"/>
    </row>
    <row r="34" spans="1:13" ht="15.75">
      <c r="A34" s="29" t="s">
        <v>289</v>
      </c>
      <c r="B34" s="188">
        <f>inputPrYr!D83</f>
        <v>0</v>
      </c>
      <c r="C34" s="22"/>
      <c r="D34" s="188">
        <f>inputPrYr!E83</f>
        <v>0</v>
      </c>
      <c r="E34" s="22"/>
      <c r="F34" s="188">
        <f>debt!F20</f>
        <v>0</v>
      </c>
      <c r="G34" s="22"/>
      <c r="H34" s="22"/>
      <c r="J34" s="489" t="str">
        <f>CONCATENATE("Current ",H1," Estimated Mill Rate:")</f>
        <v>Current 2012 Estimated Mill Rate:</v>
      </c>
      <c r="K34" s="485"/>
      <c r="L34" s="485"/>
      <c r="M34" s="491">
        <f>H28</f>
        <v>0</v>
      </c>
    </row>
    <row r="35" spans="1:13" ht="15.75">
      <c r="A35" s="29" t="s">
        <v>290</v>
      </c>
      <c r="B35" s="188">
        <f>inputPrYr!D84</f>
        <v>0</v>
      </c>
      <c r="C35" s="22"/>
      <c r="D35" s="188">
        <f>inputPrYr!E84</f>
        <v>0</v>
      </c>
      <c r="E35" s="22"/>
      <c r="F35" s="188">
        <f>debt!F32</f>
        <v>0</v>
      </c>
      <c r="G35" s="22"/>
      <c r="H35" s="22"/>
      <c r="J35" s="489" t="str">
        <f>CONCATENATE("Desired ",H1," Mill Rate:")</f>
        <v>Desired 2012 Mill Rate:</v>
      </c>
      <c r="K35" s="485"/>
      <c r="L35" s="485"/>
      <c r="M35" s="483">
        <v>0</v>
      </c>
    </row>
    <row r="36" spans="1:13" ht="15.75">
      <c r="A36" s="22" t="s">
        <v>309</v>
      </c>
      <c r="B36" s="188">
        <f>inputPrYr!D85</f>
        <v>0</v>
      </c>
      <c r="C36" s="22"/>
      <c r="D36" s="188">
        <f>inputPrYr!E85</f>
        <v>0</v>
      </c>
      <c r="E36" s="22"/>
      <c r="F36" s="188">
        <f>debt!F42</f>
        <v>0</v>
      </c>
      <c r="G36" s="22"/>
      <c r="H36" s="22"/>
      <c r="J36" s="489" t="s">
        <v>615</v>
      </c>
      <c r="K36" s="485"/>
      <c r="L36" s="485"/>
      <c r="M36" s="495">
        <f>ROUND(F31*M35/1000,0)</f>
        <v>0</v>
      </c>
    </row>
    <row r="37" spans="1:13" ht="15.75">
      <c r="A37" s="29" t="s">
        <v>384</v>
      </c>
      <c r="B37" s="188">
        <f>inputPrYr!D86</f>
        <v>16976</v>
      </c>
      <c r="C37" s="22"/>
      <c r="D37" s="188">
        <f>inputPrYr!E86</f>
        <v>8488</v>
      </c>
      <c r="E37" s="22"/>
      <c r="F37" s="188">
        <f>lpform!F28</f>
        <v>0</v>
      </c>
      <c r="G37" s="22"/>
      <c r="H37" s="22"/>
      <c r="J37" s="492" t="str">
        <f>CONCATENATE("",H1," Tax Levy Fund Exp. Changed By:")</f>
        <v>2012 Tax Levy Fund Exp. Changed By:</v>
      </c>
      <c r="K37" s="493"/>
      <c r="L37" s="493"/>
      <c r="M37" s="487">
        <f>IF(M35=0,0,(M36-G26))</f>
        <v>0</v>
      </c>
    </row>
    <row r="38" spans="1:8" ht="16.5" thickBot="1">
      <c r="A38" s="29" t="s">
        <v>291</v>
      </c>
      <c r="B38" s="497">
        <f>SUM(B34:B37)</f>
        <v>16976</v>
      </c>
      <c r="C38" s="22"/>
      <c r="D38" s="497">
        <f>SUM(D34:D37)</f>
        <v>8488</v>
      </c>
      <c r="E38" s="22"/>
      <c r="F38" s="497">
        <f>SUM(F34:F37)</f>
        <v>0</v>
      </c>
      <c r="G38" s="22"/>
      <c r="H38" s="22"/>
    </row>
    <row r="39" spans="1:8" ht="16.5" thickTop="1">
      <c r="A39" s="29" t="s">
        <v>292</v>
      </c>
      <c r="B39" s="22"/>
      <c r="C39" s="22"/>
      <c r="D39" s="22"/>
      <c r="E39" s="22"/>
      <c r="F39" s="22"/>
      <c r="G39" s="22"/>
      <c r="H39" s="22"/>
    </row>
    <row r="40" spans="1:8" ht="15.75">
      <c r="A40" s="22"/>
      <c r="B40" s="22"/>
      <c r="C40" s="22"/>
      <c r="D40" s="22"/>
      <c r="E40" s="22"/>
      <c r="F40" s="22"/>
      <c r="G40" s="22"/>
      <c r="H40" s="22"/>
    </row>
    <row r="41" spans="1:8" ht="15.75">
      <c r="A41" s="597"/>
      <c r="B41" s="597"/>
      <c r="C41" s="22"/>
      <c r="D41" s="22"/>
      <c r="E41" s="22"/>
      <c r="F41" s="22"/>
      <c r="G41" s="22"/>
      <c r="H41" s="22"/>
    </row>
    <row r="42" spans="1:8" ht="15.75">
      <c r="A42" s="150" t="s">
        <v>448</v>
      </c>
      <c r="B42" s="378" t="str">
        <f>inputBudSum!B4</f>
        <v>City Clerk</v>
      </c>
      <c r="C42" s="379"/>
      <c r="D42" s="22"/>
      <c r="E42" s="22"/>
      <c r="F42" s="22"/>
      <c r="G42" s="22"/>
      <c r="H42" s="22"/>
    </row>
    <row r="43" spans="1:8" ht="15.75">
      <c r="A43" s="22"/>
      <c r="B43" s="22"/>
      <c r="C43" s="22"/>
      <c r="D43" s="22"/>
      <c r="E43" s="22"/>
      <c r="F43" s="22"/>
      <c r="G43" s="22"/>
      <c r="H43" s="22"/>
    </row>
    <row r="44" spans="1:8" ht="15.75">
      <c r="A44" s="22"/>
      <c r="B44" s="22"/>
      <c r="C44" s="122" t="s">
        <v>270</v>
      </c>
      <c r="D44" s="247">
        <v>14</v>
      </c>
      <c r="E44" s="22"/>
      <c r="F44" s="22"/>
      <c r="G44" s="22"/>
      <c r="H44" s="22"/>
    </row>
  </sheetData>
  <sheetProtection/>
  <mergeCells count="10">
    <mergeCell ref="A41:B41"/>
    <mergeCell ref="J22:M22"/>
    <mergeCell ref="J32:M32"/>
    <mergeCell ref="J26:M26"/>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D32" sqref="D32"/>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5" t="str">
        <f>inputPrYr!D2</f>
        <v>CITY OF CLIFTON</v>
      </c>
      <c r="B1" s="22"/>
      <c r="C1" s="22"/>
      <c r="D1" s="22"/>
      <c r="E1" s="22"/>
      <c r="F1" s="22">
        <f>inputPrYr!C5</f>
        <v>2012</v>
      </c>
    </row>
    <row r="2" spans="1:6" ht="15.75">
      <c r="A2" s="22"/>
      <c r="B2" s="22"/>
      <c r="C2" s="22"/>
      <c r="D2" s="22"/>
      <c r="E2" s="22"/>
      <c r="F2" s="22"/>
    </row>
    <row r="3" spans="1:6" ht="15.75">
      <c r="A3" s="22"/>
      <c r="B3" s="578" t="str">
        <f>CONCATENATE("",F1," Neighborhood Revitalization Rebate")</f>
        <v>2012 Neighborhood Revitalization Rebate</v>
      </c>
      <c r="C3" s="607"/>
      <c r="D3" s="607"/>
      <c r="E3" s="607"/>
      <c r="F3" s="22"/>
    </row>
    <row r="4" spans="1:6" ht="15.75">
      <c r="A4" s="22"/>
      <c r="B4" s="22"/>
      <c r="C4" s="22"/>
      <c r="D4" s="22"/>
      <c r="E4" s="22"/>
      <c r="F4" s="80"/>
    </row>
    <row r="5" spans="1:6" ht="51.75" customHeight="1">
      <c r="A5" s="22"/>
      <c r="B5" s="295" t="str">
        <f>CONCATENATE("Budgeted Funds          for ",F1,"")</f>
        <v>Budgeted Funds          for 2012</v>
      </c>
      <c r="C5" s="295" t="str">
        <f>CONCATENATE("",F1-1," Ad Valorem before Rebate**")</f>
        <v>2011 Ad Valorem before Rebate**</v>
      </c>
      <c r="D5" s="296" t="str">
        <f>CONCATENATE("",F1-1," Mil Rate before Rebate")</f>
        <v>2011 Mil Rate before Rebate</v>
      </c>
      <c r="E5" s="297" t="str">
        <f>CONCATENATE("Estimate ",F1," NR Rebate")</f>
        <v>Estimate 2012 NR Rebate</v>
      </c>
      <c r="F5" s="80"/>
    </row>
    <row r="6" spans="1:6" ht="18" customHeight="1">
      <c r="A6" s="22"/>
      <c r="B6" s="47" t="s">
        <v>213</v>
      </c>
      <c r="C6" s="298"/>
      <c r="D6" s="299">
        <f>IF(C6&gt;0,C6/$D$24,"")</f>
      </c>
      <c r="E6" s="188">
        <f aca="true" t="shared" si="0" ref="E6:E17">IF(C6&gt;0,ROUND(D6*$D$28,0),"")</f>
      </c>
      <c r="F6" s="80"/>
    </row>
    <row r="7" spans="1:6" ht="15.75">
      <c r="A7" s="22"/>
      <c r="B7" s="47" t="str">
        <f>inputPrYr!B18</f>
        <v>Spec. Park &amp; Rec</v>
      </c>
      <c r="C7" s="298"/>
      <c r="D7" s="299">
        <f aca="true" t="shared" si="1" ref="D7:D17">IF(C7&gt;0,C7/$D$24,"")</f>
      </c>
      <c r="E7" s="188">
        <f t="shared" si="0"/>
      </c>
      <c r="F7" s="80"/>
    </row>
    <row r="8" spans="1:6" ht="15.75">
      <c r="A8" s="22"/>
      <c r="B8" s="70" t="str">
        <f>IF((inputPrYr!$B20&gt;"  "),(inputPrYr!$B20),"  ")</f>
        <v>Library</v>
      </c>
      <c r="C8" s="298"/>
      <c r="D8" s="299">
        <f t="shared" si="1"/>
      </c>
      <c r="E8" s="188">
        <f t="shared" si="0"/>
      </c>
      <c r="F8" s="80"/>
    </row>
    <row r="9" spans="1:6" ht="15.75">
      <c r="A9" s="22"/>
      <c r="B9" s="70" t="str">
        <f>IF((inputPrYr!$B21&gt;"  "),(inputPrYr!$B21),"  ")</f>
        <v>  </v>
      </c>
      <c r="C9" s="298"/>
      <c r="D9" s="299">
        <f t="shared" si="1"/>
      </c>
      <c r="E9" s="188">
        <f t="shared" si="0"/>
      </c>
      <c r="F9" s="80"/>
    </row>
    <row r="10" spans="1:6" ht="15.75">
      <c r="A10" s="22"/>
      <c r="B10" s="70" t="str">
        <f>IF((inputPrYr!$B22&gt;"  "),(inputPrYr!$B22),"  ")</f>
        <v>  </v>
      </c>
      <c r="C10" s="298"/>
      <c r="D10" s="299">
        <f t="shared" si="1"/>
      </c>
      <c r="E10" s="188">
        <f t="shared" si="0"/>
      </c>
      <c r="F10" s="80"/>
    </row>
    <row r="11" spans="1:6" ht="15.75">
      <c r="A11" s="22"/>
      <c r="B11" s="70" t="str">
        <f>IF((inputPrYr!$B23&gt;"  "),(inputPrYr!$B23),"  ")</f>
        <v>  </v>
      </c>
      <c r="C11" s="298"/>
      <c r="D11" s="299">
        <f t="shared" si="1"/>
      </c>
      <c r="E11" s="188">
        <f t="shared" si="0"/>
      </c>
      <c r="F11" s="80"/>
    </row>
    <row r="12" spans="1:6" ht="15.75">
      <c r="A12" s="22"/>
      <c r="B12" s="70" t="str">
        <f>IF((inputPrYr!$B24&gt;"  "),(inputPrYr!$B24),"  ")</f>
        <v>  </v>
      </c>
      <c r="C12" s="300"/>
      <c r="D12" s="299">
        <f t="shared" si="1"/>
      </c>
      <c r="E12" s="188">
        <f t="shared" si="0"/>
      </c>
      <c r="F12" s="80"/>
    </row>
    <row r="13" spans="1:6" ht="15.75">
      <c r="A13" s="22"/>
      <c r="B13" s="70" t="str">
        <f>IF((inputPrYr!$B25&gt;"  "),(inputPrYr!$B25),"  ")</f>
        <v>  </v>
      </c>
      <c r="C13" s="300"/>
      <c r="D13" s="299">
        <f t="shared" si="1"/>
      </c>
      <c r="E13" s="188">
        <f t="shared" si="0"/>
      </c>
      <c r="F13" s="80"/>
    </row>
    <row r="14" spans="1:6" ht="15.75">
      <c r="A14" s="22"/>
      <c r="B14" s="70" t="str">
        <f>IF((inputPrYr!$B26&gt;"  "),(inputPrYr!$B26),"  ")</f>
        <v>  </v>
      </c>
      <c r="C14" s="300"/>
      <c r="D14" s="299">
        <f t="shared" si="1"/>
      </c>
      <c r="E14" s="188">
        <f t="shared" si="0"/>
      </c>
      <c r="F14" s="80"/>
    </row>
    <row r="15" spans="1:6" ht="15.75">
      <c r="A15" s="22"/>
      <c r="B15" s="70" t="str">
        <f>IF((inputPrYr!$B27&gt;"  "),(inputPrYr!$B27),"  ")</f>
        <v>  </v>
      </c>
      <c r="C15" s="300"/>
      <c r="D15" s="299">
        <f t="shared" si="1"/>
      </c>
      <c r="E15" s="188">
        <f t="shared" si="0"/>
      </c>
      <c r="F15" s="80"/>
    </row>
    <row r="16" spans="1:6" ht="15.75">
      <c r="A16" s="22"/>
      <c r="B16" s="70" t="str">
        <f>IF((inputPrYr!$B28&gt;"  "),(inputPrYr!$B28),"  ")</f>
        <v>  </v>
      </c>
      <c r="C16" s="300"/>
      <c r="D16" s="299">
        <f t="shared" si="1"/>
      </c>
      <c r="E16" s="188">
        <f t="shared" si="0"/>
      </c>
      <c r="F16" s="80"/>
    </row>
    <row r="17" spans="1:6" ht="15.75">
      <c r="A17" s="22"/>
      <c r="B17" s="70" t="str">
        <f>IF((inputPrYr!$B29&gt;"  "),(inputPrYr!$B29),"  ")</f>
        <v>  </v>
      </c>
      <c r="C17" s="300"/>
      <c r="D17" s="299">
        <f t="shared" si="1"/>
      </c>
      <c r="E17" s="188">
        <f t="shared" si="0"/>
      </c>
      <c r="F17" s="80"/>
    </row>
    <row r="18" spans="1:6" ht="15.75">
      <c r="A18" s="22"/>
      <c r="B18" s="70" t="str">
        <f>IF((inputPrYr!$B30&gt;"  "),(inputPrYr!$B30),"  ")</f>
        <v>  </v>
      </c>
      <c r="C18" s="300"/>
      <c r="D18" s="299">
        <f>IF(C18&gt;0,C18/$D$24,"")</f>
      </c>
      <c r="E18" s="188">
        <f>IF(C18&gt;0,ROUND(D18*$D$28,0),"")</f>
      </c>
      <c r="F18" s="80"/>
    </row>
    <row r="19" spans="1:6" ht="17.25" customHeight="1" thickBot="1">
      <c r="A19" s="22"/>
      <c r="B19" s="48" t="s">
        <v>257</v>
      </c>
      <c r="C19" s="301">
        <f>SUM(C6:C18)</f>
        <v>0</v>
      </c>
      <c r="D19" s="302">
        <f>SUM(D6:D18)</f>
        <v>0</v>
      </c>
      <c r="E19" s="301">
        <f>SUM(E6:E18)</f>
        <v>0</v>
      </c>
      <c r="F19" s="80"/>
    </row>
    <row r="20" spans="1:6" ht="16.5" thickTop="1">
      <c r="A20" s="22"/>
      <c r="B20" s="22"/>
      <c r="C20" s="22"/>
      <c r="D20" s="22"/>
      <c r="E20" s="22"/>
      <c r="F20" s="80"/>
    </row>
    <row r="21" spans="1:6" ht="15.75">
      <c r="A21" s="22"/>
      <c r="B21" s="22"/>
      <c r="C21" s="22"/>
      <c r="D21" s="22"/>
      <c r="E21" s="22"/>
      <c r="F21" s="80"/>
    </row>
    <row r="22" spans="1:6" ht="18.75" customHeight="1">
      <c r="A22" s="608" t="str">
        <f>CONCATENATE("",F1-1," July 1 Valuation:")</f>
        <v>2011 July 1 Valuation:</v>
      </c>
      <c r="B22" s="594"/>
      <c r="C22" s="608"/>
      <c r="D22" s="294">
        <f>inputOth!E7</f>
        <v>1655336</v>
      </c>
      <c r="E22" s="22"/>
      <c r="F22" s="80"/>
    </row>
    <row r="23" spans="1:6" ht="15.75">
      <c r="A23" s="22"/>
      <c r="B23" s="22"/>
      <c r="C23" s="22"/>
      <c r="D23" s="22"/>
      <c r="E23" s="22"/>
      <c r="F23" s="80"/>
    </row>
    <row r="24" spans="1:6" ht="15.75">
      <c r="A24" s="22"/>
      <c r="B24" s="608" t="s">
        <v>4</v>
      </c>
      <c r="C24" s="608"/>
      <c r="D24" s="303">
        <f>IF(D22&gt;0,(D22*0.001),"")</f>
        <v>1655.336</v>
      </c>
      <c r="E24" s="22"/>
      <c r="F24" s="80"/>
    </row>
    <row r="25" spans="1:6" ht="15.75">
      <c r="A25" s="22"/>
      <c r="B25" s="122"/>
      <c r="C25" s="122"/>
      <c r="D25" s="304"/>
      <c r="E25" s="22"/>
      <c r="F25" s="80"/>
    </row>
    <row r="26" spans="1:6" ht="15.75">
      <c r="A26" s="606" t="s">
        <v>5</v>
      </c>
      <c r="B26" s="571"/>
      <c r="C26" s="571"/>
      <c r="D26" s="305">
        <f>inputOth!E17</f>
        <v>0</v>
      </c>
      <c r="E26" s="87"/>
      <c r="F26" s="87"/>
    </row>
    <row r="27" spans="1:6" ht="15">
      <c r="A27" s="87"/>
      <c r="B27" s="87"/>
      <c r="C27" s="87"/>
      <c r="D27" s="306"/>
      <c r="E27" s="87"/>
      <c r="F27" s="87"/>
    </row>
    <row r="28" spans="1:6" ht="15.75">
      <c r="A28" s="87"/>
      <c r="B28" s="606" t="s">
        <v>6</v>
      </c>
      <c r="C28" s="594"/>
      <c r="D28" s="30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4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46" t="s">
        <v>595</v>
      </c>
      <c r="B33" s="87"/>
      <c r="C33" s="87"/>
      <c r="D33" s="87"/>
      <c r="E33" s="87"/>
      <c r="F33" s="87"/>
    </row>
    <row r="34" spans="1:6" ht="15.75">
      <c r="A34" s="346"/>
      <c r="B34" s="87"/>
      <c r="C34" s="87"/>
      <c r="D34" s="87"/>
      <c r="E34" s="87"/>
      <c r="F34" s="87"/>
    </row>
    <row r="35" spans="1:6" ht="15.75">
      <c r="A35" s="346"/>
      <c r="B35" s="87"/>
      <c r="C35" s="87"/>
      <c r="D35" s="87"/>
      <c r="E35" s="87"/>
      <c r="F35" s="87"/>
    </row>
    <row r="36" spans="1:6" ht="15.75">
      <c r="A36" s="346"/>
      <c r="B36" s="87"/>
      <c r="C36" s="87"/>
      <c r="D36" s="87"/>
      <c r="E36" s="87"/>
      <c r="F36" s="87"/>
    </row>
    <row r="37" spans="1:6" ht="15.75">
      <c r="A37" s="346"/>
      <c r="B37" s="87"/>
      <c r="C37" s="87"/>
      <c r="D37" s="87"/>
      <c r="E37" s="87"/>
      <c r="F37" s="87"/>
    </row>
    <row r="38" spans="1:6" ht="15.75">
      <c r="A38" s="346"/>
      <c r="B38" s="87"/>
      <c r="C38" s="87"/>
      <c r="D38" s="87"/>
      <c r="E38" s="87"/>
      <c r="F38" s="87"/>
    </row>
    <row r="39" spans="1:6" ht="15">
      <c r="A39" s="87"/>
      <c r="B39" s="87"/>
      <c r="C39" s="87"/>
      <c r="D39" s="87"/>
      <c r="E39" s="87"/>
      <c r="F39" s="87"/>
    </row>
    <row r="40" spans="1:6" ht="15.75">
      <c r="A40" s="87"/>
      <c r="B40" s="245" t="s">
        <v>275</v>
      </c>
      <c r="C40" s="247"/>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1"/>
  <sheetViews>
    <sheetView zoomScalePageLayoutView="0" workbookViewId="0" topLeftCell="A1">
      <selection activeCell="J7" sqref="J7"/>
    </sheetView>
  </sheetViews>
  <sheetFormatPr defaultColWidth="8.796875" defaultRowHeight="15"/>
  <sheetData>
    <row r="1" spans="1:7" ht="16.5" customHeight="1">
      <c r="A1" s="609" t="s">
        <v>165</v>
      </c>
      <c r="B1" s="609"/>
      <c r="C1" s="609"/>
      <c r="D1" s="609"/>
      <c r="E1" s="609"/>
      <c r="F1" s="609"/>
      <c r="G1" s="609"/>
    </row>
    <row r="2" spans="1:7" ht="16.5" customHeight="1">
      <c r="A2" s="609"/>
      <c r="B2" s="609"/>
      <c r="C2" s="609"/>
      <c r="D2" s="609"/>
      <c r="E2" s="609"/>
      <c r="F2" s="609"/>
      <c r="G2" s="609"/>
    </row>
    <row r="3" spans="1:7" ht="16.5" customHeight="1">
      <c r="A3" s="610"/>
      <c r="B3" s="610"/>
      <c r="C3" s="610"/>
      <c r="D3" s="610"/>
      <c r="E3" s="610"/>
      <c r="F3" s="610"/>
      <c r="G3" s="610"/>
    </row>
    <row r="4" spans="1:7" ht="16.5" customHeight="1">
      <c r="A4" s="611" t="str">
        <f>CONCATENATE("AN ORDINANCE ATTESTING TO AN INCREASE IN TAX REVENUES FOR BUDGET YEAR ",(inputPrYr!C5)," FOR THE  ",(inputPrYr!$D$2),".")</f>
        <v>AN ORDINANCE ATTESTING TO AN INCREASE IN TAX REVENUES FOR BUDGET YEAR 2012 FOR THE  CITY OF CLIFTON.</v>
      </c>
      <c r="B4" s="611"/>
      <c r="C4" s="611"/>
      <c r="D4" s="611"/>
      <c r="E4" s="611"/>
      <c r="F4" s="611"/>
      <c r="G4" s="611"/>
    </row>
    <row r="5" spans="1:7" ht="16.5" customHeight="1">
      <c r="A5" s="611"/>
      <c r="B5" s="611"/>
      <c r="C5" s="611"/>
      <c r="D5" s="611"/>
      <c r="E5" s="611"/>
      <c r="F5" s="611"/>
      <c r="G5" s="611"/>
    </row>
    <row r="6" spans="1:7" ht="16.5" customHeight="1">
      <c r="A6" s="609"/>
      <c r="B6" s="609"/>
      <c r="C6" s="609"/>
      <c r="D6" s="609"/>
      <c r="E6" s="609"/>
      <c r="F6" s="609"/>
      <c r="G6" s="609"/>
    </row>
    <row r="7" spans="1:14" ht="16.5" customHeight="1">
      <c r="A7" s="611" t="str">
        <f>CONCATENATE("WHEREAS ",(inputPrYr!$D$2)," must continue to provide services to protect the health, safety, and welfare of the citizens of this community; and")</f>
        <v>WHEREAS CITY OF CLIFTON must continue to provide services to protect the health, safety, and welfare of the citizens of this community; and</v>
      </c>
      <c r="B7" s="611"/>
      <c r="C7" s="611"/>
      <c r="D7" s="611"/>
      <c r="E7" s="611"/>
      <c r="F7" s="611"/>
      <c r="G7" s="611"/>
      <c r="H7" s="2"/>
      <c r="I7" s="2"/>
      <c r="J7" s="2"/>
      <c r="K7" s="2"/>
      <c r="L7" s="2"/>
      <c r="M7" s="2"/>
      <c r="N7" s="2"/>
    </row>
    <row r="8" spans="1:14" ht="16.5" customHeight="1">
      <c r="A8" s="611"/>
      <c r="B8" s="611"/>
      <c r="C8" s="611"/>
      <c r="D8" s="611"/>
      <c r="E8" s="611"/>
      <c r="F8" s="611"/>
      <c r="G8" s="611"/>
      <c r="H8" s="2"/>
      <c r="I8" s="2"/>
      <c r="J8" s="2"/>
      <c r="K8" s="2"/>
      <c r="L8" s="2"/>
      <c r="M8" s="2"/>
      <c r="N8" s="2"/>
    </row>
    <row r="9" spans="1:7" ht="16.5" customHeight="1">
      <c r="A9" s="4"/>
      <c r="B9" s="4"/>
      <c r="C9" s="4"/>
      <c r="D9" s="4"/>
      <c r="E9" s="4"/>
      <c r="F9" s="4"/>
      <c r="G9" s="4"/>
    </row>
    <row r="10" spans="1:7" ht="16.5" customHeight="1">
      <c r="A10" s="611" t="s">
        <v>386</v>
      </c>
      <c r="B10" s="611"/>
      <c r="C10" s="611"/>
      <c r="D10" s="611"/>
      <c r="E10" s="611"/>
      <c r="F10" s="611"/>
      <c r="G10" s="611"/>
    </row>
    <row r="11" spans="1:7" ht="16.5" customHeight="1">
      <c r="A11" s="611"/>
      <c r="B11" s="611"/>
      <c r="C11" s="611"/>
      <c r="D11" s="611"/>
      <c r="E11" s="611"/>
      <c r="F11" s="611"/>
      <c r="G11" s="611"/>
    </row>
    <row r="12" spans="1:7" ht="16.5" customHeight="1">
      <c r="A12" s="4"/>
      <c r="B12" s="4"/>
      <c r="C12" s="4"/>
      <c r="D12" s="4"/>
      <c r="E12" s="4"/>
      <c r="F12" s="4"/>
      <c r="G12" s="4"/>
    </row>
    <row r="13" spans="1:14" ht="16.5" customHeight="1">
      <c r="A13" s="611" t="str">
        <f>CONCATENATE("NOW THEREFORE, be it ordained by the Governing Body of the ",(inputPrYr!$D$2),":")</f>
        <v>NOW THEREFORE, be it ordained by the Governing Body of the CITY OF CLIFTON:</v>
      </c>
      <c r="B13" s="611"/>
      <c r="C13" s="611"/>
      <c r="D13" s="611"/>
      <c r="E13" s="611"/>
      <c r="F13" s="611"/>
      <c r="G13" s="611"/>
      <c r="H13" s="2"/>
      <c r="I13" s="2"/>
      <c r="J13" s="2"/>
      <c r="K13" s="2"/>
      <c r="L13" s="2"/>
      <c r="M13" s="2"/>
      <c r="N13" s="2"/>
    </row>
    <row r="14" spans="1:14" ht="16.5" customHeight="1">
      <c r="A14" s="611"/>
      <c r="B14" s="611"/>
      <c r="C14" s="611"/>
      <c r="D14" s="611"/>
      <c r="E14" s="611"/>
      <c r="F14" s="611"/>
      <c r="G14" s="611"/>
      <c r="H14" s="2"/>
      <c r="I14" s="2"/>
      <c r="J14" s="2"/>
      <c r="K14" s="2"/>
      <c r="L14" s="2"/>
      <c r="M14" s="2"/>
      <c r="N14" s="2"/>
    </row>
    <row r="15" spans="1:14" ht="16.5" customHeight="1">
      <c r="A15" s="61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CLIFTON  has scheduled a public hearing and has prepared the proposed budget necessary to fund city services from January 1, 2012 until December 31, 2012.</v>
      </c>
      <c r="B15" s="611"/>
      <c r="C15" s="611"/>
      <c r="D15" s="611"/>
      <c r="E15" s="611"/>
      <c r="F15" s="611"/>
      <c r="G15" s="611"/>
      <c r="H15" s="2"/>
      <c r="I15" s="2"/>
      <c r="J15" s="2"/>
      <c r="K15" s="2"/>
      <c r="L15" s="2"/>
      <c r="M15" s="2"/>
      <c r="N15" s="2"/>
    </row>
    <row r="16" spans="1:14" ht="16.5" customHeight="1">
      <c r="A16" s="611"/>
      <c r="B16" s="611"/>
      <c r="C16" s="611"/>
      <c r="D16" s="611"/>
      <c r="E16" s="611"/>
      <c r="F16" s="611"/>
      <c r="G16" s="611"/>
      <c r="H16" s="2"/>
      <c r="I16" s="2"/>
      <c r="J16" s="2"/>
      <c r="K16" s="2"/>
      <c r="L16" s="2"/>
      <c r="M16" s="2"/>
      <c r="N16" s="2"/>
    </row>
    <row r="17" spans="1:14" ht="16.5" customHeight="1">
      <c r="A17" s="611"/>
      <c r="B17" s="611"/>
      <c r="C17" s="611"/>
      <c r="D17" s="611"/>
      <c r="E17" s="611"/>
      <c r="F17" s="611"/>
      <c r="G17" s="611"/>
      <c r="H17" s="3"/>
      <c r="I17" s="3"/>
      <c r="J17" s="3"/>
      <c r="K17" s="3"/>
      <c r="L17" s="3"/>
      <c r="M17" s="3"/>
      <c r="N17" s="3"/>
    </row>
    <row r="18" spans="1:7" ht="16.5" customHeight="1">
      <c r="A18" s="6"/>
      <c r="B18" s="6"/>
      <c r="C18" s="6"/>
      <c r="D18" s="6"/>
      <c r="E18" s="6"/>
      <c r="F18" s="6"/>
      <c r="G18" s="6"/>
    </row>
    <row r="19" spans="1:7" ht="16.5" customHeight="1">
      <c r="A19" s="613" t="s">
        <v>456</v>
      </c>
      <c r="B19" s="613"/>
      <c r="C19" s="613"/>
      <c r="D19" s="613"/>
      <c r="E19" s="613"/>
      <c r="F19" s="613"/>
      <c r="G19" s="613"/>
    </row>
    <row r="20" spans="1:7" ht="16.5" customHeight="1">
      <c r="A20" s="613" t="s">
        <v>457</v>
      </c>
      <c r="B20" s="613"/>
      <c r="C20" s="613"/>
      <c r="D20" s="613"/>
      <c r="E20" s="613"/>
      <c r="F20" s="613"/>
      <c r="G20" s="613"/>
    </row>
    <row r="21" spans="1:7" ht="16.5" customHeight="1">
      <c r="A21" s="613" t="str">
        <f>CONCATENATE("necessary to budget property tax revenues in an amount exceeding the levy in the ",(inputPrYr!C5-1),"")</f>
        <v>necessary to budget property tax revenues in an amount exceeding the levy in the 2011</v>
      </c>
      <c r="B21" s="613"/>
      <c r="C21" s="613"/>
      <c r="D21" s="613"/>
      <c r="E21" s="613"/>
      <c r="F21" s="613"/>
      <c r="G21" s="613"/>
    </row>
    <row r="22" spans="1:7" ht="16.5" customHeight="1">
      <c r="A22" s="5" t="s">
        <v>458</v>
      </c>
      <c r="B22" s="5"/>
      <c r="C22" s="5"/>
      <c r="D22" s="5"/>
      <c r="E22" s="5"/>
      <c r="F22" s="5"/>
      <c r="G22" s="5"/>
    </row>
    <row r="23" spans="1:7" ht="16.5" customHeight="1">
      <c r="A23" s="6"/>
      <c r="B23" s="6"/>
      <c r="C23" s="6"/>
      <c r="D23" s="6"/>
      <c r="E23" s="6"/>
      <c r="F23" s="6"/>
      <c r="G23" s="6"/>
    </row>
    <row r="24" spans="1:7" ht="16.5" customHeight="1">
      <c r="A24" s="611" t="s">
        <v>387</v>
      </c>
      <c r="B24" s="611"/>
      <c r="C24" s="611"/>
      <c r="D24" s="611"/>
      <c r="E24" s="611"/>
      <c r="F24" s="611"/>
      <c r="G24" s="611"/>
    </row>
    <row r="25" spans="1:7" ht="16.5" customHeight="1">
      <c r="A25" s="611"/>
      <c r="B25" s="611"/>
      <c r="C25" s="611"/>
      <c r="D25" s="611"/>
      <c r="E25" s="611"/>
      <c r="F25" s="611"/>
      <c r="G25" s="611"/>
    </row>
    <row r="26" spans="1:7" ht="16.5" customHeight="1">
      <c r="A26" s="6"/>
      <c r="B26" s="6"/>
      <c r="C26" s="6"/>
      <c r="D26" s="6"/>
      <c r="E26" s="6"/>
      <c r="F26" s="6"/>
      <c r="G26" s="6"/>
    </row>
    <row r="27" spans="1:7" ht="16.5" customHeight="1">
      <c r="A27" s="611" t="str">
        <f>CONCATENATE("Passed and approved by the Governing Body on this ______ day of __________, ",(inputPrYr!C5-1),".")</f>
        <v>Passed and approved by the Governing Body on this ______ day of __________, 2011.</v>
      </c>
      <c r="B27" s="611"/>
      <c r="C27" s="611"/>
      <c r="D27" s="611"/>
      <c r="E27" s="611"/>
      <c r="F27" s="611"/>
      <c r="G27" s="611"/>
    </row>
    <row r="28" spans="1:7" ht="16.5" customHeight="1">
      <c r="A28" s="611"/>
      <c r="B28" s="611"/>
      <c r="C28" s="611"/>
      <c r="D28" s="611"/>
      <c r="E28" s="611"/>
      <c r="F28" s="611"/>
      <c r="G28" s="611"/>
    </row>
    <row r="29" spans="1:7" ht="16.5" customHeight="1">
      <c r="A29" s="1"/>
      <c r="B29" s="1"/>
      <c r="C29" s="1"/>
      <c r="D29" s="1"/>
      <c r="E29" s="1"/>
      <c r="F29" s="1"/>
      <c r="G29" s="1"/>
    </row>
    <row r="30" spans="1:7" ht="16.5" customHeight="1">
      <c r="A30" s="612" t="s">
        <v>388</v>
      </c>
      <c r="B30" s="612"/>
      <c r="C30" s="612"/>
      <c r="D30" s="612"/>
      <c r="E30" s="612"/>
      <c r="F30" s="612"/>
      <c r="G30" s="612"/>
    </row>
    <row r="31" spans="1:7" ht="16.5" customHeight="1">
      <c r="A31" s="612" t="s">
        <v>389</v>
      </c>
      <c r="B31" s="612"/>
      <c r="C31" s="612"/>
      <c r="D31" s="612"/>
      <c r="E31" s="612"/>
      <c r="F31" s="612"/>
      <c r="G31" s="612"/>
    </row>
    <row r="32" spans="1:7" ht="16.5" customHeight="1">
      <c r="A32" s="1" t="s">
        <v>390</v>
      </c>
      <c r="B32" s="1"/>
      <c r="C32" s="1"/>
      <c r="D32" s="1"/>
      <c r="E32" s="1"/>
      <c r="F32" s="1"/>
      <c r="G32" s="1"/>
    </row>
    <row r="33" spans="1:7" ht="16.5" customHeight="1">
      <c r="A33" s="1"/>
      <c r="B33" s="1" t="s">
        <v>391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392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393</v>
      </c>
      <c r="B40" s="1"/>
      <c r="C40" s="1"/>
      <c r="D40" s="1"/>
      <c r="E40" s="1"/>
      <c r="F40" s="1"/>
      <c r="G40" s="1"/>
    </row>
    <row r="41" spans="1:7" ht="15.75">
      <c r="A41" s="1"/>
      <c r="B41" s="1"/>
      <c r="C41" s="1"/>
      <c r="D41" s="1"/>
      <c r="E41" s="1"/>
      <c r="F41" s="1"/>
      <c r="G41" s="1"/>
    </row>
  </sheetData>
  <sheetProtection/>
  <mergeCells count="16">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 ref="A7:G8"/>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D32" sqref="D32"/>
    </sheetView>
  </sheetViews>
  <sheetFormatPr defaultColWidth="8.796875" defaultRowHeight="15"/>
  <cols>
    <col min="1" max="1" width="71.296875" style="0" customWidth="1"/>
  </cols>
  <sheetData>
    <row r="3" spans="1:12" ht="15">
      <c r="A3" s="331" t="s">
        <v>27</v>
      </c>
      <c r="B3" s="331"/>
      <c r="C3" s="331"/>
      <c r="D3" s="331"/>
      <c r="E3" s="331"/>
      <c r="F3" s="331"/>
      <c r="G3" s="331"/>
      <c r="H3" s="331"/>
      <c r="I3" s="331"/>
      <c r="J3" s="331"/>
      <c r="K3" s="331"/>
      <c r="L3" s="331"/>
    </row>
    <row r="5" ht="15">
      <c r="A5" s="332" t="s">
        <v>28</v>
      </c>
    </row>
    <row r="6" ht="15">
      <c r="A6" s="332" t="str">
        <f>CONCATENATE(inputPrYr!C5-2," 'total expenditures' exceed your ",inputPrYr!C5-2," 'budget authority.'")</f>
        <v>2010 'total expenditures' exceed your 2010 'budget authority.'</v>
      </c>
    </row>
    <row r="7" ht="15">
      <c r="A7" s="332"/>
    </row>
    <row r="8" ht="15">
      <c r="A8" s="332" t="s">
        <v>29</v>
      </c>
    </row>
    <row r="9" ht="15">
      <c r="A9" s="332" t="s">
        <v>30</v>
      </c>
    </row>
    <row r="10" ht="15">
      <c r="A10" s="332" t="s">
        <v>31</v>
      </c>
    </row>
    <row r="11" ht="15">
      <c r="A11" s="332"/>
    </row>
    <row r="12" ht="15">
      <c r="A12" s="332"/>
    </row>
    <row r="13" ht="15">
      <c r="A13" s="333" t="s">
        <v>32</v>
      </c>
    </row>
    <row r="15" ht="15">
      <c r="A15" s="332" t="s">
        <v>33</v>
      </c>
    </row>
    <row r="16" ht="15">
      <c r="A16" s="332" t="str">
        <f>CONCATENATE("(i.e. an audit has not been completed, or the ",inputPrYr!C5," adopted")</f>
        <v>(i.e. an audit has not been completed, or the 2012 adopted</v>
      </c>
    </row>
    <row r="17" ht="15">
      <c r="A17" s="332" t="s">
        <v>34</v>
      </c>
    </row>
    <row r="18" ht="15">
      <c r="A18" s="332" t="s">
        <v>35</v>
      </c>
    </row>
    <row r="19" ht="15">
      <c r="A19" s="332" t="s">
        <v>36</v>
      </c>
    </row>
    <row r="21" ht="15">
      <c r="A21" s="333" t="s">
        <v>37</v>
      </c>
    </row>
    <row r="22" ht="15">
      <c r="A22" s="333"/>
    </row>
    <row r="23" ht="15">
      <c r="A23" s="332" t="s">
        <v>38</v>
      </c>
    </row>
    <row r="24" ht="15">
      <c r="A24" s="332" t="s">
        <v>39</v>
      </c>
    </row>
    <row r="25" ht="15">
      <c r="A25" s="332" t="str">
        <f>CONCATENATE("particular fund.  If your ",inputPrYr!C5-2," budget was amended, did you")</f>
        <v>particular fund.  If your 2010 budget was amended, did you</v>
      </c>
    </row>
    <row r="26" ht="15">
      <c r="A26" s="332" t="s">
        <v>40</v>
      </c>
    </row>
    <row r="27" ht="15">
      <c r="A27" s="332"/>
    </row>
    <row r="28" ht="15">
      <c r="A28" s="332" t="str">
        <f>CONCATENATE("Next, look to see if any of your ",inputPrYr!C5-2," expenditures can be")</f>
        <v>Next, look to see if any of your 2010 expenditures can be</v>
      </c>
    </row>
    <row r="29" ht="15">
      <c r="A29" s="332" t="s">
        <v>41</v>
      </c>
    </row>
    <row r="30" ht="15">
      <c r="A30" s="332" t="s">
        <v>42</v>
      </c>
    </row>
    <row r="31" ht="15">
      <c r="A31" s="332" t="s">
        <v>43</v>
      </c>
    </row>
    <row r="32" ht="15">
      <c r="A32" s="332"/>
    </row>
    <row r="33" ht="15">
      <c r="A33" s="332" t="str">
        <f>CONCATENATE("Additionally, do your ",inputPrYr!C5-2," receipts contain a reimbursement")</f>
        <v>Additionally, do your 2010 receipts contain a reimbursement</v>
      </c>
    </row>
    <row r="34" ht="15">
      <c r="A34" s="332" t="s">
        <v>44</v>
      </c>
    </row>
    <row r="35" ht="15">
      <c r="A35" s="332" t="s">
        <v>45</v>
      </c>
    </row>
    <row r="36" ht="15">
      <c r="A36" s="332"/>
    </row>
    <row r="37" ht="15">
      <c r="A37" s="332" t="s">
        <v>46</v>
      </c>
    </row>
    <row r="38" ht="15">
      <c r="A38" s="332" t="s">
        <v>47</v>
      </c>
    </row>
    <row r="39" ht="15">
      <c r="A39" s="332" t="s">
        <v>48</v>
      </c>
    </row>
    <row r="40" ht="15">
      <c r="A40" s="332" t="s">
        <v>49</v>
      </c>
    </row>
    <row r="41" ht="15">
      <c r="A41" s="332" t="s">
        <v>50</v>
      </c>
    </row>
    <row r="42" ht="15">
      <c r="A42" s="332" t="s">
        <v>51</v>
      </c>
    </row>
    <row r="43" ht="15">
      <c r="A43" s="332" t="s">
        <v>52</v>
      </c>
    </row>
    <row r="44" ht="15">
      <c r="A44" s="332" t="s">
        <v>53</v>
      </c>
    </row>
    <row r="45" ht="15">
      <c r="A45" s="332"/>
    </row>
    <row r="46" ht="15">
      <c r="A46" s="332" t="s">
        <v>54</v>
      </c>
    </row>
    <row r="47" ht="15">
      <c r="A47" s="332" t="s">
        <v>55</v>
      </c>
    </row>
    <row r="48" ht="15">
      <c r="A48" s="332" t="s">
        <v>56</v>
      </c>
    </row>
    <row r="49" ht="15">
      <c r="A49" s="332"/>
    </row>
    <row r="50" ht="15">
      <c r="A50" s="332" t="s">
        <v>57</v>
      </c>
    </row>
    <row r="51" ht="15">
      <c r="A51" s="332" t="s">
        <v>58</v>
      </c>
    </row>
    <row r="52" ht="15">
      <c r="A52" s="332" t="s">
        <v>59</v>
      </c>
    </row>
    <row r="53" ht="15">
      <c r="A53" s="332"/>
    </row>
    <row r="54" ht="15">
      <c r="A54" s="333" t="s">
        <v>60</v>
      </c>
    </row>
    <row r="55" ht="15">
      <c r="A55" s="332"/>
    </row>
    <row r="56" ht="15">
      <c r="A56" s="332" t="s">
        <v>61</v>
      </c>
    </row>
    <row r="57" ht="15">
      <c r="A57" s="332" t="s">
        <v>62</v>
      </c>
    </row>
    <row r="58" ht="15">
      <c r="A58" s="332" t="s">
        <v>63</v>
      </c>
    </row>
    <row r="59" ht="15">
      <c r="A59" s="332" t="s">
        <v>64</v>
      </c>
    </row>
    <row r="60" ht="15">
      <c r="A60" s="332" t="s">
        <v>65</v>
      </c>
    </row>
    <row r="61" ht="15">
      <c r="A61" s="332" t="s">
        <v>66</v>
      </c>
    </row>
    <row r="62" ht="15">
      <c r="A62" s="332" t="s">
        <v>67</v>
      </c>
    </row>
    <row r="63" ht="15">
      <c r="A63" s="332" t="s">
        <v>68</v>
      </c>
    </row>
    <row r="64" ht="15">
      <c r="A64" s="332" t="s">
        <v>69</v>
      </c>
    </row>
    <row r="65" ht="15">
      <c r="A65" s="332" t="s">
        <v>70</v>
      </c>
    </row>
    <row r="66" ht="15">
      <c r="A66" s="332" t="s">
        <v>71</v>
      </c>
    </row>
    <row r="67" ht="15">
      <c r="A67" s="332" t="s">
        <v>72</v>
      </c>
    </row>
    <row r="68" ht="15">
      <c r="A68" s="332" t="s">
        <v>73</v>
      </c>
    </row>
    <row r="69" ht="15">
      <c r="A69" s="332"/>
    </row>
    <row r="70" ht="15">
      <c r="A70" s="332" t="s">
        <v>74</v>
      </c>
    </row>
    <row r="71" ht="15">
      <c r="A71" s="332" t="s">
        <v>75</v>
      </c>
    </row>
    <row r="72" ht="15">
      <c r="A72" s="332" t="s">
        <v>76</v>
      </c>
    </row>
    <row r="73" ht="15">
      <c r="A73" s="332"/>
    </row>
    <row r="74" ht="15">
      <c r="A74" s="333" t="str">
        <f>CONCATENATE("What if the ",inputPrYr!C5-2," financial records have been closed?")</f>
        <v>What if the 2010 financial records have been closed?</v>
      </c>
    </row>
    <row r="76" ht="15">
      <c r="A76" s="332" t="s">
        <v>77</v>
      </c>
    </row>
    <row r="77" ht="15">
      <c r="A77" s="332" t="str">
        <f>CONCATENATE("(i.e. an audit for ",inputPrYr!C5-2," has been completed, or the ",inputPrYr!C5)</f>
        <v>(i.e. an audit for 2010 has been completed, or the 2012</v>
      </c>
    </row>
    <row r="78" ht="15">
      <c r="A78" s="332" t="s">
        <v>78</v>
      </c>
    </row>
    <row r="79" ht="15">
      <c r="A79" s="332" t="s">
        <v>79</v>
      </c>
    </row>
    <row r="80" ht="15">
      <c r="A80" s="332"/>
    </row>
    <row r="81" ht="15">
      <c r="A81" s="332" t="s">
        <v>80</v>
      </c>
    </row>
    <row r="82" ht="15">
      <c r="A82" s="332" t="s">
        <v>81</v>
      </c>
    </row>
    <row r="83" ht="15">
      <c r="A83" s="332" t="s">
        <v>82</v>
      </c>
    </row>
    <row r="84" ht="15">
      <c r="A84" s="332"/>
    </row>
    <row r="85" ht="15">
      <c r="A85" s="332" t="s">
        <v>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D32" sqref="D32"/>
    </sheetView>
  </sheetViews>
  <sheetFormatPr defaultColWidth="8.796875" defaultRowHeight="15"/>
  <cols>
    <col min="1" max="1" width="71.296875" style="0" customWidth="1"/>
  </cols>
  <sheetData>
    <row r="3" spans="1:10" ht="15">
      <c r="A3" s="331" t="s">
        <v>84</v>
      </c>
      <c r="B3" s="331"/>
      <c r="C3" s="331"/>
      <c r="D3" s="331"/>
      <c r="E3" s="331"/>
      <c r="F3" s="331"/>
      <c r="G3" s="331"/>
      <c r="H3" s="334"/>
      <c r="I3" s="334"/>
      <c r="J3" s="334"/>
    </row>
    <row r="5" ht="15">
      <c r="A5" s="332" t="s">
        <v>85</v>
      </c>
    </row>
    <row r="6" ht="15">
      <c r="A6" t="str">
        <f>CONCATENATE(inputPrYr!C5-2," expenditures show that you finished the year with a ")</f>
        <v>2010 expenditures show that you finished the year with a </v>
      </c>
    </row>
    <row r="7" ht="15">
      <c r="A7" t="s">
        <v>86</v>
      </c>
    </row>
    <row r="9" ht="15">
      <c r="A9" t="s">
        <v>87</v>
      </c>
    </row>
    <row r="10" ht="15">
      <c r="A10" t="s">
        <v>88</v>
      </c>
    </row>
    <row r="11" ht="15">
      <c r="A11" t="s">
        <v>89</v>
      </c>
    </row>
    <row r="13" ht="15">
      <c r="A13" s="333" t="s">
        <v>90</v>
      </c>
    </row>
    <row r="14" ht="15">
      <c r="A14" s="333"/>
    </row>
    <row r="15" ht="15">
      <c r="A15" s="332" t="s">
        <v>91</v>
      </c>
    </row>
    <row r="16" ht="15">
      <c r="A16" s="332" t="s">
        <v>92</v>
      </c>
    </row>
    <row r="17" ht="15">
      <c r="A17" s="332" t="s">
        <v>93</v>
      </c>
    </row>
    <row r="18" ht="15">
      <c r="A18" s="332"/>
    </row>
    <row r="19" ht="15">
      <c r="A19" s="333" t="s">
        <v>94</v>
      </c>
    </row>
    <row r="20" ht="15">
      <c r="A20" s="333"/>
    </row>
    <row r="21" ht="15">
      <c r="A21" s="332" t="s">
        <v>95</v>
      </c>
    </row>
    <row r="22" ht="15">
      <c r="A22" s="332" t="s">
        <v>96</v>
      </c>
    </row>
    <row r="23" ht="15">
      <c r="A23" s="332" t="s">
        <v>97</v>
      </c>
    </row>
    <row r="24" ht="15">
      <c r="A24" s="332"/>
    </row>
    <row r="25" ht="15">
      <c r="A25" s="333" t="s">
        <v>98</v>
      </c>
    </row>
    <row r="26" ht="15">
      <c r="A26" s="333"/>
    </row>
    <row r="27" ht="15">
      <c r="A27" s="332" t="s">
        <v>99</v>
      </c>
    </row>
    <row r="28" ht="15">
      <c r="A28" s="332" t="s">
        <v>100</v>
      </c>
    </row>
    <row r="29" ht="15">
      <c r="A29" s="332" t="s">
        <v>101</v>
      </c>
    </row>
    <row r="30" ht="15">
      <c r="A30" s="332"/>
    </row>
    <row r="31" ht="15">
      <c r="A31" s="333" t="s">
        <v>102</v>
      </c>
    </row>
    <row r="32" ht="15">
      <c r="A32" s="333"/>
    </row>
    <row r="33" spans="1:8" ht="15">
      <c r="A33" s="332" t="str">
        <f>CONCATENATE("If your financial records for ",inputPrYr!C5-2," are not closed")</f>
        <v>If your financial records for 2010 are not closed</v>
      </c>
      <c r="B33" s="332"/>
      <c r="C33" s="332"/>
      <c r="D33" s="332"/>
      <c r="E33" s="332"/>
      <c r="F33" s="332"/>
      <c r="G33" s="332"/>
      <c r="H33" s="332"/>
    </row>
    <row r="34" spans="1:8" ht="15">
      <c r="A34" s="332" t="str">
        <f>CONCATENATE("(i.e. an audit has not been completed, or the ",inputPrYr!C5," adopted ")</f>
        <v>(i.e. an audit has not been completed, or the 2012 adopted </v>
      </c>
      <c r="B34" s="332"/>
      <c r="C34" s="332"/>
      <c r="D34" s="332"/>
      <c r="E34" s="332"/>
      <c r="F34" s="332"/>
      <c r="G34" s="332"/>
      <c r="H34" s="332"/>
    </row>
    <row r="35" spans="1:8" ht="15">
      <c r="A35" s="332" t="s">
        <v>103</v>
      </c>
      <c r="B35" s="332"/>
      <c r="C35" s="332"/>
      <c r="D35" s="332"/>
      <c r="E35" s="332"/>
      <c r="F35" s="332"/>
      <c r="G35" s="332"/>
      <c r="H35" s="332"/>
    </row>
    <row r="36" spans="1:8" ht="15">
      <c r="A36" s="332" t="s">
        <v>104</v>
      </c>
      <c r="B36" s="332"/>
      <c r="C36" s="332"/>
      <c r="D36" s="332"/>
      <c r="E36" s="332"/>
      <c r="F36" s="332"/>
      <c r="G36" s="332"/>
      <c r="H36" s="332"/>
    </row>
    <row r="37" spans="1:8" ht="15">
      <c r="A37" s="332" t="s">
        <v>105</v>
      </c>
      <c r="B37" s="332"/>
      <c r="C37" s="332"/>
      <c r="D37" s="332"/>
      <c r="E37" s="332"/>
      <c r="F37" s="332"/>
      <c r="G37" s="332"/>
      <c r="H37" s="332"/>
    </row>
    <row r="38" spans="1:8" ht="15">
      <c r="A38" s="332" t="s">
        <v>106</v>
      </c>
      <c r="B38" s="332"/>
      <c r="C38" s="332"/>
      <c r="D38" s="332"/>
      <c r="E38" s="332"/>
      <c r="F38" s="332"/>
      <c r="G38" s="332"/>
      <c r="H38" s="332"/>
    </row>
    <row r="39" spans="1:8" ht="15">
      <c r="A39" s="332" t="s">
        <v>107</v>
      </c>
      <c r="B39" s="332"/>
      <c r="C39" s="332"/>
      <c r="D39" s="332"/>
      <c r="E39" s="332"/>
      <c r="F39" s="332"/>
      <c r="G39" s="332"/>
      <c r="H39" s="332"/>
    </row>
    <row r="40" spans="1:8" ht="15">
      <c r="A40" s="332"/>
      <c r="B40" s="332"/>
      <c r="C40" s="332"/>
      <c r="D40" s="332"/>
      <c r="E40" s="332"/>
      <c r="F40" s="332"/>
      <c r="G40" s="332"/>
      <c r="H40" s="332"/>
    </row>
    <row r="41" spans="1:8" ht="15">
      <c r="A41" s="332" t="s">
        <v>108</v>
      </c>
      <c r="B41" s="332"/>
      <c r="C41" s="332"/>
      <c r="D41" s="332"/>
      <c r="E41" s="332"/>
      <c r="F41" s="332"/>
      <c r="G41" s="332"/>
      <c r="H41" s="332"/>
    </row>
    <row r="42" spans="1:8" ht="15">
      <c r="A42" s="332" t="s">
        <v>109</v>
      </c>
      <c r="B42" s="332"/>
      <c r="C42" s="332"/>
      <c r="D42" s="332"/>
      <c r="E42" s="332"/>
      <c r="F42" s="332"/>
      <c r="G42" s="332"/>
      <c r="H42" s="332"/>
    </row>
    <row r="43" spans="1:8" ht="15">
      <c r="A43" s="332" t="s">
        <v>110</v>
      </c>
      <c r="B43" s="332"/>
      <c r="C43" s="332"/>
      <c r="D43" s="332"/>
      <c r="E43" s="332"/>
      <c r="F43" s="332"/>
      <c r="G43" s="332"/>
      <c r="H43" s="332"/>
    </row>
    <row r="44" spans="1:8" ht="15">
      <c r="A44" s="332" t="s">
        <v>111</v>
      </c>
      <c r="B44" s="332"/>
      <c r="C44" s="332"/>
      <c r="D44" s="332"/>
      <c r="E44" s="332"/>
      <c r="F44" s="332"/>
      <c r="G44" s="332"/>
      <c r="H44" s="332"/>
    </row>
    <row r="45" spans="1:8" ht="15">
      <c r="A45" s="332"/>
      <c r="B45" s="332"/>
      <c r="C45" s="332"/>
      <c r="D45" s="332"/>
      <c r="E45" s="332"/>
      <c r="F45" s="332"/>
      <c r="G45" s="332"/>
      <c r="H45" s="332"/>
    </row>
    <row r="46" spans="1:8" ht="15">
      <c r="A46" s="332" t="s">
        <v>112</v>
      </c>
      <c r="B46" s="332"/>
      <c r="C46" s="332"/>
      <c r="D46" s="332"/>
      <c r="E46" s="332"/>
      <c r="F46" s="332"/>
      <c r="G46" s="332"/>
      <c r="H46" s="332"/>
    </row>
    <row r="47" spans="1:8" ht="15">
      <c r="A47" s="332" t="s">
        <v>113</v>
      </c>
      <c r="B47" s="332"/>
      <c r="C47" s="332"/>
      <c r="D47" s="332"/>
      <c r="E47" s="332"/>
      <c r="F47" s="332"/>
      <c r="G47" s="332"/>
      <c r="H47" s="332"/>
    </row>
    <row r="48" spans="1:8" ht="15">
      <c r="A48" s="332" t="s">
        <v>114</v>
      </c>
      <c r="B48" s="332"/>
      <c r="C48" s="332"/>
      <c r="D48" s="332"/>
      <c r="E48" s="332"/>
      <c r="F48" s="332"/>
      <c r="G48" s="332"/>
      <c r="H48" s="332"/>
    </row>
    <row r="49" spans="1:8" ht="15">
      <c r="A49" s="332" t="s">
        <v>115</v>
      </c>
      <c r="B49" s="332"/>
      <c r="C49" s="332"/>
      <c r="D49" s="332"/>
      <c r="E49" s="332"/>
      <c r="F49" s="332"/>
      <c r="G49" s="332"/>
      <c r="H49" s="332"/>
    </row>
    <row r="50" spans="1:8" ht="15">
      <c r="A50" s="332" t="s">
        <v>116</v>
      </c>
      <c r="B50" s="332"/>
      <c r="C50" s="332"/>
      <c r="D50" s="332"/>
      <c r="E50" s="332"/>
      <c r="F50" s="332"/>
      <c r="G50" s="332"/>
      <c r="H50" s="332"/>
    </row>
    <row r="51" spans="1:8" ht="15">
      <c r="A51" s="332"/>
      <c r="B51" s="332"/>
      <c r="C51" s="332"/>
      <c r="D51" s="332"/>
      <c r="E51" s="332"/>
      <c r="F51" s="332"/>
      <c r="G51" s="332"/>
      <c r="H51" s="332"/>
    </row>
    <row r="52" spans="1:8" ht="15">
      <c r="A52" s="333" t="s">
        <v>117</v>
      </c>
      <c r="B52" s="333"/>
      <c r="C52" s="333"/>
      <c r="D52" s="333"/>
      <c r="E52" s="333"/>
      <c r="F52" s="333"/>
      <c r="G52" s="333"/>
      <c r="H52" s="332"/>
    </row>
    <row r="53" spans="1:8" ht="15">
      <c r="A53" s="333" t="s">
        <v>118</v>
      </c>
      <c r="B53" s="333"/>
      <c r="C53" s="333"/>
      <c r="D53" s="333"/>
      <c r="E53" s="333"/>
      <c r="F53" s="333"/>
      <c r="G53" s="333"/>
      <c r="H53" s="332"/>
    </row>
    <row r="54" spans="1:8" ht="15">
      <c r="A54" s="332"/>
      <c r="B54" s="332"/>
      <c r="C54" s="332"/>
      <c r="D54" s="332"/>
      <c r="E54" s="332"/>
      <c r="F54" s="332"/>
      <c r="G54" s="332"/>
      <c r="H54" s="332"/>
    </row>
    <row r="55" spans="1:8" ht="15">
      <c r="A55" s="332" t="s">
        <v>119</v>
      </c>
      <c r="B55" s="332"/>
      <c r="C55" s="332"/>
      <c r="D55" s="332"/>
      <c r="E55" s="332"/>
      <c r="F55" s="332"/>
      <c r="G55" s="332"/>
      <c r="H55" s="332"/>
    </row>
    <row r="56" spans="1:8" ht="15">
      <c r="A56" s="332" t="s">
        <v>120</v>
      </c>
      <c r="B56" s="332"/>
      <c r="C56" s="332"/>
      <c r="D56" s="332"/>
      <c r="E56" s="332"/>
      <c r="F56" s="332"/>
      <c r="G56" s="332"/>
      <c r="H56" s="332"/>
    </row>
    <row r="57" spans="1:8" ht="15">
      <c r="A57" s="332" t="s">
        <v>121</v>
      </c>
      <c r="B57" s="332"/>
      <c r="C57" s="332"/>
      <c r="D57" s="332"/>
      <c r="E57" s="332"/>
      <c r="F57" s="332"/>
      <c r="G57" s="332"/>
      <c r="H57" s="332"/>
    </row>
    <row r="58" spans="1:8" ht="15">
      <c r="A58" s="332" t="s">
        <v>122</v>
      </c>
      <c r="B58" s="332"/>
      <c r="C58" s="332"/>
      <c r="D58" s="332"/>
      <c r="E58" s="332"/>
      <c r="F58" s="332"/>
      <c r="G58" s="332"/>
      <c r="H58" s="332"/>
    </row>
    <row r="59" spans="1:8" ht="15">
      <c r="A59" s="332"/>
      <c r="B59" s="332"/>
      <c r="C59" s="332"/>
      <c r="D59" s="332"/>
      <c r="E59" s="332"/>
      <c r="F59" s="332"/>
      <c r="G59" s="332"/>
      <c r="H59" s="332"/>
    </row>
    <row r="60" spans="1:8" ht="15">
      <c r="A60" s="332" t="s">
        <v>123</v>
      </c>
      <c r="B60" s="332"/>
      <c r="C60" s="332"/>
      <c r="D60" s="332"/>
      <c r="E60" s="332"/>
      <c r="F60" s="332"/>
      <c r="G60" s="332"/>
      <c r="H60" s="332"/>
    </row>
    <row r="61" spans="1:8" ht="15">
      <c r="A61" s="332" t="s">
        <v>124</v>
      </c>
      <c r="B61" s="332"/>
      <c r="C61" s="332"/>
      <c r="D61" s="332"/>
      <c r="E61" s="332"/>
      <c r="F61" s="332"/>
      <c r="G61" s="332"/>
      <c r="H61" s="332"/>
    </row>
    <row r="62" spans="1:8" ht="15">
      <c r="A62" s="332" t="s">
        <v>125</v>
      </c>
      <c r="B62" s="332"/>
      <c r="C62" s="332"/>
      <c r="D62" s="332"/>
      <c r="E62" s="332"/>
      <c r="F62" s="332"/>
      <c r="G62" s="332"/>
      <c r="H62" s="332"/>
    </row>
    <row r="63" spans="1:8" ht="15">
      <c r="A63" s="332" t="s">
        <v>126</v>
      </c>
      <c r="B63" s="332"/>
      <c r="C63" s="332"/>
      <c r="D63" s="332"/>
      <c r="E63" s="332"/>
      <c r="F63" s="332"/>
      <c r="G63" s="332"/>
      <c r="H63" s="332"/>
    </row>
    <row r="64" spans="1:8" ht="15">
      <c r="A64" s="332" t="s">
        <v>127</v>
      </c>
      <c r="B64" s="332"/>
      <c r="C64" s="332"/>
      <c r="D64" s="332"/>
      <c r="E64" s="332"/>
      <c r="F64" s="332"/>
      <c r="G64" s="332"/>
      <c r="H64" s="332"/>
    </row>
    <row r="65" spans="1:8" ht="15">
      <c r="A65" s="332" t="s">
        <v>128</v>
      </c>
      <c r="B65" s="332"/>
      <c r="C65" s="332"/>
      <c r="D65" s="332"/>
      <c r="E65" s="332"/>
      <c r="F65" s="332"/>
      <c r="G65" s="332"/>
      <c r="H65" s="332"/>
    </row>
    <row r="66" spans="1:8" ht="15">
      <c r="A66" s="332"/>
      <c r="B66" s="332"/>
      <c r="C66" s="332"/>
      <c r="D66" s="332"/>
      <c r="E66" s="332"/>
      <c r="F66" s="332"/>
      <c r="G66" s="332"/>
      <c r="H66" s="332"/>
    </row>
    <row r="67" spans="1:8" ht="15">
      <c r="A67" s="332" t="s">
        <v>129</v>
      </c>
      <c r="B67" s="332"/>
      <c r="C67" s="332"/>
      <c r="D67" s="332"/>
      <c r="E67" s="332"/>
      <c r="F67" s="332"/>
      <c r="G67" s="332"/>
      <c r="H67" s="332"/>
    </row>
    <row r="68" spans="1:8" ht="15">
      <c r="A68" s="332" t="s">
        <v>130</v>
      </c>
      <c r="B68" s="332"/>
      <c r="C68" s="332"/>
      <c r="D68" s="332"/>
      <c r="E68" s="332"/>
      <c r="F68" s="332"/>
      <c r="G68" s="332"/>
      <c r="H68" s="332"/>
    </row>
    <row r="69" spans="1:8" ht="15">
      <c r="A69" s="332" t="s">
        <v>131</v>
      </c>
      <c r="B69" s="332"/>
      <c r="C69" s="332"/>
      <c r="D69" s="332"/>
      <c r="E69" s="332"/>
      <c r="F69" s="332"/>
      <c r="G69" s="332"/>
      <c r="H69" s="332"/>
    </row>
    <row r="70" spans="1:8" ht="15">
      <c r="A70" s="332" t="s">
        <v>132</v>
      </c>
      <c r="B70" s="332"/>
      <c r="C70" s="332"/>
      <c r="D70" s="332"/>
      <c r="E70" s="332"/>
      <c r="F70" s="332"/>
      <c r="G70" s="332"/>
      <c r="H70" s="332"/>
    </row>
    <row r="71" spans="1:8" ht="15">
      <c r="A71" s="332" t="s">
        <v>133</v>
      </c>
      <c r="B71" s="332"/>
      <c r="C71" s="332"/>
      <c r="D71" s="332"/>
      <c r="E71" s="332"/>
      <c r="F71" s="332"/>
      <c r="G71" s="332"/>
      <c r="H71" s="332"/>
    </row>
    <row r="72" spans="1:8" ht="15">
      <c r="A72" s="332" t="s">
        <v>134</v>
      </c>
      <c r="B72" s="332"/>
      <c r="C72" s="332"/>
      <c r="D72" s="332"/>
      <c r="E72" s="332"/>
      <c r="F72" s="332"/>
      <c r="G72" s="332"/>
      <c r="H72" s="332"/>
    </row>
    <row r="73" spans="1:8" ht="15">
      <c r="A73" s="332" t="s">
        <v>135</v>
      </c>
      <c r="B73" s="332"/>
      <c r="C73" s="332"/>
      <c r="D73" s="332"/>
      <c r="E73" s="332"/>
      <c r="F73" s="332"/>
      <c r="G73" s="332"/>
      <c r="H73" s="332"/>
    </row>
    <row r="74" spans="1:8" ht="15">
      <c r="A74" s="332"/>
      <c r="B74" s="332"/>
      <c r="C74" s="332"/>
      <c r="D74" s="332"/>
      <c r="E74" s="332"/>
      <c r="F74" s="332"/>
      <c r="G74" s="332"/>
      <c r="H74" s="332"/>
    </row>
    <row r="75" spans="1:8" ht="15">
      <c r="A75" s="332" t="s">
        <v>136</v>
      </c>
      <c r="B75" s="332"/>
      <c r="C75" s="332"/>
      <c r="D75" s="332"/>
      <c r="E75" s="332"/>
      <c r="F75" s="332"/>
      <c r="G75" s="332"/>
      <c r="H75" s="332"/>
    </row>
    <row r="76" spans="1:8" ht="15">
      <c r="A76" s="332" t="s">
        <v>137</v>
      </c>
      <c r="B76" s="332"/>
      <c r="C76" s="332"/>
      <c r="D76" s="332"/>
      <c r="E76" s="332"/>
      <c r="F76" s="332"/>
      <c r="G76" s="332"/>
      <c r="H76" s="332"/>
    </row>
    <row r="77" spans="1:8" ht="15">
      <c r="A77" s="332" t="s">
        <v>138</v>
      </c>
      <c r="B77" s="332"/>
      <c r="C77" s="332"/>
      <c r="D77" s="332"/>
      <c r="E77" s="332"/>
      <c r="F77" s="332"/>
      <c r="G77" s="332"/>
      <c r="H77" s="332"/>
    </row>
    <row r="78" spans="1:8" ht="15">
      <c r="A78" s="332"/>
      <c r="B78" s="332"/>
      <c r="C78" s="332"/>
      <c r="D78" s="332"/>
      <c r="E78" s="332"/>
      <c r="F78" s="332"/>
      <c r="G78" s="332"/>
      <c r="H78" s="332"/>
    </row>
    <row r="79" ht="15">
      <c r="A79" s="332" t="s">
        <v>83</v>
      </c>
    </row>
    <row r="80" ht="15">
      <c r="A80" s="333"/>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1" ht="15">
      <c r="A91"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3" ht="15">
      <c r="A103" s="332"/>
    </row>
    <row r="104" ht="15">
      <c r="A104" s="332"/>
    </row>
    <row r="105" ht="15">
      <c r="A105" s="332"/>
    </row>
    <row r="107" ht="15">
      <c r="A107" s="333"/>
    </row>
    <row r="108" ht="15">
      <c r="A108" s="333"/>
    </row>
    <row r="109" ht="15">
      <c r="A109"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D32" sqref="D32"/>
    </sheetView>
  </sheetViews>
  <sheetFormatPr defaultColWidth="8.796875" defaultRowHeight="15"/>
  <cols>
    <col min="1" max="1" width="71.296875" style="0" customWidth="1"/>
  </cols>
  <sheetData>
    <row r="3" spans="1:12" ht="15">
      <c r="A3" s="331" t="s">
        <v>139</v>
      </c>
      <c r="B3" s="331"/>
      <c r="C3" s="331"/>
      <c r="D3" s="331"/>
      <c r="E3" s="331"/>
      <c r="F3" s="331"/>
      <c r="G3" s="331"/>
      <c r="H3" s="331"/>
      <c r="I3" s="331"/>
      <c r="J3" s="331"/>
      <c r="K3" s="331"/>
      <c r="L3" s="331"/>
    </row>
    <row r="4" spans="1:12" ht="15">
      <c r="A4" s="331"/>
      <c r="B4" s="331"/>
      <c r="C4" s="331"/>
      <c r="D4" s="331"/>
      <c r="E4" s="331"/>
      <c r="F4" s="331"/>
      <c r="G4" s="331"/>
      <c r="H4" s="331"/>
      <c r="I4" s="331"/>
      <c r="J4" s="331"/>
      <c r="K4" s="331"/>
      <c r="L4" s="331"/>
    </row>
    <row r="5" spans="1:12" ht="15">
      <c r="A5" s="332" t="s">
        <v>28</v>
      </c>
      <c r="I5" s="331"/>
      <c r="J5" s="331"/>
      <c r="K5" s="331"/>
      <c r="L5" s="331"/>
    </row>
    <row r="6" spans="1:12" ht="15">
      <c r="A6" s="332" t="str">
        <f>CONCATENATE("estimated ",inputPrYr!C5-1," 'total expenditures' exceed your ",inputPrYr!C5-1,"")</f>
        <v>estimated 2011 'total expenditures' exceed your 2011</v>
      </c>
      <c r="I6" s="331"/>
      <c r="J6" s="331"/>
      <c r="K6" s="331"/>
      <c r="L6" s="331"/>
    </row>
    <row r="7" spans="1:12" ht="15">
      <c r="A7" s="335" t="s">
        <v>140</v>
      </c>
      <c r="I7" s="331"/>
      <c r="J7" s="331"/>
      <c r="K7" s="331"/>
      <c r="L7" s="331"/>
    </row>
    <row r="8" spans="1:12" ht="15">
      <c r="A8" s="332"/>
      <c r="I8" s="331"/>
      <c r="J8" s="331"/>
      <c r="K8" s="331"/>
      <c r="L8" s="331"/>
    </row>
    <row r="9" spans="1:12" ht="15">
      <c r="A9" s="332" t="s">
        <v>141</v>
      </c>
      <c r="I9" s="331"/>
      <c r="J9" s="331"/>
      <c r="K9" s="331"/>
      <c r="L9" s="331"/>
    </row>
    <row r="10" spans="1:12" ht="15">
      <c r="A10" s="332" t="s">
        <v>142</v>
      </c>
      <c r="I10" s="331"/>
      <c r="J10" s="331"/>
      <c r="K10" s="331"/>
      <c r="L10" s="331"/>
    </row>
    <row r="11" spans="1:12" ht="15">
      <c r="A11" s="332" t="s">
        <v>143</v>
      </c>
      <c r="I11" s="331"/>
      <c r="J11" s="331"/>
      <c r="K11" s="331"/>
      <c r="L11" s="331"/>
    </row>
    <row r="12" spans="1:12" ht="15">
      <c r="A12" s="332" t="s">
        <v>144</v>
      </c>
      <c r="I12" s="331"/>
      <c r="J12" s="331"/>
      <c r="K12" s="331"/>
      <c r="L12" s="331"/>
    </row>
    <row r="13" spans="1:12" ht="15">
      <c r="A13" s="332" t="s">
        <v>145</v>
      </c>
      <c r="I13" s="331"/>
      <c r="J13" s="331"/>
      <c r="K13" s="331"/>
      <c r="L13" s="331"/>
    </row>
    <row r="14" spans="1:12" ht="15">
      <c r="A14" s="331"/>
      <c r="B14" s="331"/>
      <c r="C14" s="331"/>
      <c r="D14" s="331"/>
      <c r="E14" s="331"/>
      <c r="F14" s="331"/>
      <c r="G14" s="331"/>
      <c r="H14" s="331"/>
      <c r="I14" s="331"/>
      <c r="J14" s="331"/>
      <c r="K14" s="331"/>
      <c r="L14" s="331"/>
    </row>
    <row r="15" ht="15">
      <c r="A15" s="333" t="s">
        <v>146</v>
      </c>
    </row>
    <row r="16" ht="15">
      <c r="A16" s="333" t="s">
        <v>147</v>
      </c>
    </row>
    <row r="17" ht="15">
      <c r="A17" s="333"/>
    </row>
    <row r="18" spans="1:7" ht="15">
      <c r="A18" s="332" t="s">
        <v>148</v>
      </c>
      <c r="B18" s="332"/>
      <c r="C18" s="332"/>
      <c r="D18" s="332"/>
      <c r="E18" s="332"/>
      <c r="F18" s="332"/>
      <c r="G18" s="332"/>
    </row>
    <row r="19" spans="1:7" ht="15">
      <c r="A19" s="332" t="str">
        <f>CONCATENATE("your ",inputPrYr!C5-1," numbers to see what steps might be necessary to")</f>
        <v>your 2011 numbers to see what steps might be necessary to</v>
      </c>
      <c r="B19" s="332"/>
      <c r="C19" s="332"/>
      <c r="D19" s="332"/>
      <c r="E19" s="332"/>
      <c r="F19" s="332"/>
      <c r="G19" s="332"/>
    </row>
    <row r="20" spans="1:7" ht="15">
      <c r="A20" s="332" t="s">
        <v>149</v>
      </c>
      <c r="B20" s="332"/>
      <c r="C20" s="332"/>
      <c r="D20" s="332"/>
      <c r="E20" s="332"/>
      <c r="F20" s="332"/>
      <c r="G20" s="332"/>
    </row>
    <row r="21" spans="1:7" ht="15">
      <c r="A21" s="332" t="s">
        <v>150</v>
      </c>
      <c r="B21" s="332"/>
      <c r="C21" s="332"/>
      <c r="D21" s="332"/>
      <c r="E21" s="332"/>
      <c r="F21" s="332"/>
      <c r="G21" s="332"/>
    </row>
    <row r="22" ht="15">
      <c r="A22" s="332"/>
    </row>
    <row r="23" ht="15">
      <c r="A23" s="333" t="s">
        <v>151</v>
      </c>
    </row>
    <row r="24" ht="15">
      <c r="A24" s="333"/>
    </row>
    <row r="25" ht="15">
      <c r="A25" s="332" t="s">
        <v>152</v>
      </c>
    </row>
    <row r="26" spans="1:6" ht="15">
      <c r="A26" s="332" t="s">
        <v>153</v>
      </c>
      <c r="B26" s="332"/>
      <c r="C26" s="332"/>
      <c r="D26" s="332"/>
      <c r="E26" s="332"/>
      <c r="F26" s="332"/>
    </row>
    <row r="27" spans="1:6" ht="15">
      <c r="A27" s="332" t="s">
        <v>154</v>
      </c>
      <c r="B27" s="332"/>
      <c r="C27" s="332"/>
      <c r="D27" s="332"/>
      <c r="E27" s="332"/>
      <c r="F27" s="332"/>
    </row>
    <row r="28" spans="1:6" ht="15">
      <c r="A28" s="332" t="s">
        <v>155</v>
      </c>
      <c r="B28" s="332"/>
      <c r="C28" s="332"/>
      <c r="D28" s="332"/>
      <c r="E28" s="332"/>
      <c r="F28" s="332"/>
    </row>
    <row r="29" spans="1:6" ht="15">
      <c r="A29" s="332"/>
      <c r="B29" s="332"/>
      <c r="C29" s="332"/>
      <c r="D29" s="332"/>
      <c r="E29" s="332"/>
      <c r="F29" s="332"/>
    </row>
    <row r="30" spans="1:7" ht="15">
      <c r="A30" s="333" t="s">
        <v>156</v>
      </c>
      <c r="B30" s="333"/>
      <c r="C30" s="333"/>
      <c r="D30" s="333"/>
      <c r="E30" s="333"/>
      <c r="F30" s="333"/>
      <c r="G30" s="333"/>
    </row>
    <row r="31" spans="1:7" ht="15">
      <c r="A31" s="333" t="s">
        <v>157</v>
      </c>
      <c r="B31" s="333"/>
      <c r="C31" s="333"/>
      <c r="D31" s="333"/>
      <c r="E31" s="333"/>
      <c r="F31" s="333"/>
      <c r="G31" s="333"/>
    </row>
    <row r="32" spans="1:6" ht="15">
      <c r="A32" s="332"/>
      <c r="B32" s="332"/>
      <c r="C32" s="332"/>
      <c r="D32" s="332"/>
      <c r="E32" s="332"/>
      <c r="F32" s="332"/>
    </row>
    <row r="33" spans="1:6" ht="15">
      <c r="A33" s="336" t="str">
        <f>CONCATENATE("Well, let's look to see if any of your ",inputPrYr!C5-1," expenditures can")</f>
        <v>Well, let's look to see if any of your 2011 expenditures can</v>
      </c>
      <c r="B33" s="332"/>
      <c r="C33" s="332"/>
      <c r="D33" s="332"/>
      <c r="E33" s="332"/>
      <c r="F33" s="332"/>
    </row>
    <row r="34" spans="1:6" ht="15">
      <c r="A34" s="336" t="s">
        <v>158</v>
      </c>
      <c r="B34" s="332"/>
      <c r="C34" s="332"/>
      <c r="D34" s="332"/>
      <c r="E34" s="332"/>
      <c r="F34" s="332"/>
    </row>
    <row r="35" spans="1:6" ht="15">
      <c r="A35" s="336" t="s">
        <v>42</v>
      </c>
      <c r="B35" s="332"/>
      <c r="C35" s="332"/>
      <c r="D35" s="332"/>
      <c r="E35" s="332"/>
      <c r="F35" s="332"/>
    </row>
    <row r="36" spans="1:6" ht="15">
      <c r="A36" s="336" t="s">
        <v>43</v>
      </c>
      <c r="B36" s="332"/>
      <c r="C36" s="332"/>
      <c r="D36" s="332"/>
      <c r="E36" s="332"/>
      <c r="F36" s="332"/>
    </row>
    <row r="37" spans="1:6" ht="15">
      <c r="A37" s="336"/>
      <c r="B37" s="332"/>
      <c r="C37" s="332"/>
      <c r="D37" s="332"/>
      <c r="E37" s="332"/>
      <c r="F37" s="332"/>
    </row>
    <row r="38" spans="1:6" ht="15">
      <c r="A38" s="336" t="str">
        <f>CONCATENATE("Additionally, do your ",inputPrYr!C5-1," receipts contain a reimbursement")</f>
        <v>Additionally, do your 2011 receipts contain a reimbursement</v>
      </c>
      <c r="B38" s="332"/>
      <c r="C38" s="332"/>
      <c r="D38" s="332"/>
      <c r="E38" s="332"/>
      <c r="F38" s="332"/>
    </row>
    <row r="39" spans="1:6" ht="15">
      <c r="A39" s="336" t="s">
        <v>44</v>
      </c>
      <c r="B39" s="332"/>
      <c r="C39" s="332"/>
      <c r="D39" s="332"/>
      <c r="E39" s="332"/>
      <c r="F39" s="332"/>
    </row>
    <row r="40" spans="1:6" ht="15">
      <c r="A40" s="336" t="s">
        <v>45</v>
      </c>
      <c r="B40" s="332"/>
      <c r="C40" s="332"/>
      <c r="D40" s="332"/>
      <c r="E40" s="332"/>
      <c r="F40" s="332"/>
    </row>
    <row r="41" spans="1:6" ht="15">
      <c r="A41" s="336"/>
      <c r="B41" s="332"/>
      <c r="C41" s="332"/>
      <c r="D41" s="332"/>
      <c r="E41" s="332"/>
      <c r="F41" s="332"/>
    </row>
    <row r="42" spans="1:6" ht="15">
      <c r="A42" s="336" t="s">
        <v>46</v>
      </c>
      <c r="B42" s="332"/>
      <c r="C42" s="332"/>
      <c r="D42" s="332"/>
      <c r="E42" s="332"/>
      <c r="F42" s="332"/>
    </row>
    <row r="43" spans="1:6" ht="15">
      <c r="A43" s="336" t="s">
        <v>47</v>
      </c>
      <c r="B43" s="332"/>
      <c r="C43" s="332"/>
      <c r="D43" s="332"/>
      <c r="E43" s="332"/>
      <c r="F43" s="332"/>
    </row>
    <row r="44" spans="1:6" ht="15">
      <c r="A44" s="336" t="s">
        <v>48</v>
      </c>
      <c r="B44" s="332"/>
      <c r="C44" s="332"/>
      <c r="D44" s="332"/>
      <c r="E44" s="332"/>
      <c r="F44" s="332"/>
    </row>
    <row r="45" spans="1:6" ht="15">
      <c r="A45" s="336" t="s">
        <v>159</v>
      </c>
      <c r="B45" s="332"/>
      <c r="C45" s="332"/>
      <c r="D45" s="332"/>
      <c r="E45" s="332"/>
      <c r="F45" s="332"/>
    </row>
    <row r="46" spans="1:6" ht="15">
      <c r="A46" s="336" t="s">
        <v>50</v>
      </c>
      <c r="B46" s="332"/>
      <c r="C46" s="332"/>
      <c r="D46" s="332"/>
      <c r="E46" s="332"/>
      <c r="F46" s="332"/>
    </row>
    <row r="47" spans="1:6" ht="15">
      <c r="A47" s="336" t="s">
        <v>160</v>
      </c>
      <c r="B47" s="332"/>
      <c r="C47" s="332"/>
      <c r="D47" s="332"/>
      <c r="E47" s="332"/>
      <c r="F47" s="332"/>
    </row>
    <row r="48" spans="1:6" ht="15">
      <c r="A48" s="336" t="s">
        <v>161</v>
      </c>
      <c r="B48" s="332"/>
      <c r="C48" s="332"/>
      <c r="D48" s="332"/>
      <c r="E48" s="332"/>
      <c r="F48" s="332"/>
    </row>
    <row r="49" spans="1:6" ht="15">
      <c r="A49" s="336" t="s">
        <v>53</v>
      </c>
      <c r="B49" s="332"/>
      <c r="C49" s="332"/>
      <c r="D49" s="332"/>
      <c r="E49" s="332"/>
      <c r="F49" s="332"/>
    </row>
    <row r="50" spans="1:6" ht="15">
      <c r="A50" s="336"/>
      <c r="B50" s="332"/>
      <c r="C50" s="332"/>
      <c r="D50" s="332"/>
      <c r="E50" s="332"/>
      <c r="F50" s="332"/>
    </row>
    <row r="51" spans="1:6" ht="15">
      <c r="A51" s="336" t="s">
        <v>54</v>
      </c>
      <c r="B51" s="332"/>
      <c r="C51" s="332"/>
      <c r="D51" s="332"/>
      <c r="E51" s="332"/>
      <c r="F51" s="332"/>
    </row>
    <row r="52" spans="1:6" ht="15">
      <c r="A52" s="336" t="s">
        <v>55</v>
      </c>
      <c r="B52" s="332"/>
      <c r="C52" s="332"/>
      <c r="D52" s="332"/>
      <c r="E52" s="332"/>
      <c r="F52" s="332"/>
    </row>
    <row r="53" spans="1:6" ht="15">
      <c r="A53" s="336" t="s">
        <v>56</v>
      </c>
      <c r="B53" s="332"/>
      <c r="C53" s="332"/>
      <c r="D53" s="332"/>
      <c r="E53" s="332"/>
      <c r="F53" s="332"/>
    </row>
    <row r="54" spans="1:6" ht="15">
      <c r="A54" s="336"/>
      <c r="B54" s="332"/>
      <c r="C54" s="332"/>
      <c r="D54" s="332"/>
      <c r="E54" s="332"/>
      <c r="F54" s="332"/>
    </row>
    <row r="55" spans="1:6" ht="15">
      <c r="A55" s="336" t="s">
        <v>162</v>
      </c>
      <c r="B55" s="332"/>
      <c r="C55" s="332"/>
      <c r="D55" s="332"/>
      <c r="E55" s="332"/>
      <c r="F55" s="332"/>
    </row>
    <row r="56" spans="1:6" ht="15">
      <c r="A56" s="336" t="s">
        <v>163</v>
      </c>
      <c r="B56" s="332"/>
      <c r="C56" s="332"/>
      <c r="D56" s="332"/>
      <c r="E56" s="332"/>
      <c r="F56" s="332"/>
    </row>
    <row r="57" spans="1:6" ht="15">
      <c r="A57" s="336" t="s">
        <v>164</v>
      </c>
      <c r="B57" s="332"/>
      <c r="C57" s="332"/>
      <c r="D57" s="332"/>
      <c r="E57" s="332"/>
      <c r="F57" s="332"/>
    </row>
    <row r="58" spans="1:6" ht="15">
      <c r="A58" s="336" t="s">
        <v>715</v>
      </c>
      <c r="B58" s="332"/>
      <c r="C58" s="332"/>
      <c r="D58" s="332"/>
      <c r="E58" s="332"/>
      <c r="F58" s="332"/>
    </row>
    <row r="59" spans="1:6" ht="15">
      <c r="A59" s="336" t="s">
        <v>716</v>
      </c>
      <c r="B59" s="332"/>
      <c r="C59" s="332"/>
      <c r="D59" s="332"/>
      <c r="E59" s="332"/>
      <c r="F59" s="332"/>
    </row>
    <row r="60" spans="1:6" ht="15">
      <c r="A60" s="336"/>
      <c r="B60" s="332"/>
      <c r="C60" s="332"/>
      <c r="D60" s="332"/>
      <c r="E60" s="332"/>
      <c r="F60" s="332"/>
    </row>
    <row r="61" spans="1:6" ht="15">
      <c r="A61" s="337" t="s">
        <v>717</v>
      </c>
      <c r="B61" s="332"/>
      <c r="C61" s="332"/>
      <c r="D61" s="332"/>
      <c r="E61" s="332"/>
      <c r="F61" s="332"/>
    </row>
    <row r="62" spans="1:6" ht="15">
      <c r="A62" s="337" t="s">
        <v>718</v>
      </c>
      <c r="B62" s="332"/>
      <c r="C62" s="332"/>
      <c r="D62" s="332"/>
      <c r="E62" s="332"/>
      <c r="F62" s="332"/>
    </row>
    <row r="63" spans="1:6" ht="15">
      <c r="A63" s="337" t="s">
        <v>719</v>
      </c>
      <c r="B63" s="332"/>
      <c r="C63" s="332"/>
      <c r="D63" s="332"/>
      <c r="E63" s="332"/>
      <c r="F63" s="332"/>
    </row>
    <row r="64" ht="15">
      <c r="A64" s="337" t="s">
        <v>720</v>
      </c>
    </row>
    <row r="65" ht="15">
      <c r="A65" s="337" t="s">
        <v>721</v>
      </c>
    </row>
    <row r="66" ht="15">
      <c r="A66" s="337" t="s">
        <v>722</v>
      </c>
    </row>
    <row r="68" ht="15">
      <c r="A68" s="332" t="s">
        <v>723</v>
      </c>
    </row>
    <row r="69" ht="15">
      <c r="A69" s="332" t="s">
        <v>724</v>
      </c>
    </row>
    <row r="70" ht="15">
      <c r="A70" s="332" t="s">
        <v>725</v>
      </c>
    </row>
    <row r="71" ht="15">
      <c r="A71" s="332" t="s">
        <v>726</v>
      </c>
    </row>
    <row r="72" ht="15">
      <c r="A72" s="332" t="s">
        <v>515</v>
      </c>
    </row>
    <row r="73" ht="15">
      <c r="A73" s="332" t="s">
        <v>516</v>
      </c>
    </row>
    <row r="75" ht="15">
      <c r="A75" s="332" t="s">
        <v>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D32" sqref="D32"/>
    </sheetView>
  </sheetViews>
  <sheetFormatPr defaultColWidth="8.796875" defaultRowHeight="15"/>
  <cols>
    <col min="1" max="1" width="71.296875" style="0" customWidth="1"/>
  </cols>
  <sheetData>
    <row r="3" spans="1:7" ht="15">
      <c r="A3" s="331" t="s">
        <v>517</v>
      </c>
      <c r="B3" s="331"/>
      <c r="C3" s="331"/>
      <c r="D3" s="331"/>
      <c r="E3" s="331"/>
      <c r="F3" s="331"/>
      <c r="G3" s="331"/>
    </row>
    <row r="4" spans="1:7" ht="15">
      <c r="A4" s="331"/>
      <c r="B4" s="331"/>
      <c r="C4" s="331"/>
      <c r="D4" s="331"/>
      <c r="E4" s="331"/>
      <c r="F4" s="331"/>
      <c r="G4" s="331"/>
    </row>
    <row r="5" ht="15">
      <c r="A5" s="332" t="s">
        <v>85</v>
      </c>
    </row>
    <row r="6" ht="15">
      <c r="A6" s="332" t="str">
        <f>CONCATENATE(inputPrYr!C5," estimated expenditures show that at the end of this year")</f>
        <v>2012 estimated expenditures show that at the end of this year</v>
      </c>
    </row>
    <row r="7" ht="15">
      <c r="A7" s="332" t="s">
        <v>518</v>
      </c>
    </row>
    <row r="8" ht="15">
      <c r="A8" s="332" t="s">
        <v>519</v>
      </c>
    </row>
    <row r="10" ht="15">
      <c r="A10" t="s">
        <v>87</v>
      </c>
    </row>
    <row r="11" ht="15">
      <c r="A11" t="s">
        <v>88</v>
      </c>
    </row>
    <row r="12" ht="15">
      <c r="A12" t="s">
        <v>89</v>
      </c>
    </row>
    <row r="13" spans="1:7" ht="15">
      <c r="A13" s="331"/>
      <c r="B13" s="331"/>
      <c r="C13" s="331"/>
      <c r="D13" s="331"/>
      <c r="E13" s="331"/>
      <c r="F13" s="331"/>
      <c r="G13" s="331"/>
    </row>
    <row r="14" ht="15">
      <c r="A14" s="333" t="s">
        <v>520</v>
      </c>
    </row>
    <row r="15" ht="15">
      <c r="A15" s="332"/>
    </row>
    <row r="16" ht="15">
      <c r="A16" s="332" t="s">
        <v>521</v>
      </c>
    </row>
    <row r="17" ht="15">
      <c r="A17" s="332" t="s">
        <v>522</v>
      </c>
    </row>
    <row r="18" ht="15">
      <c r="A18" s="332" t="s">
        <v>523</v>
      </c>
    </row>
    <row r="19" ht="15">
      <c r="A19" s="332"/>
    </row>
    <row r="20" ht="15">
      <c r="A20" s="332" t="s">
        <v>524</v>
      </c>
    </row>
    <row r="21" ht="15">
      <c r="A21" s="332" t="s">
        <v>525</v>
      </c>
    </row>
    <row r="22" ht="15">
      <c r="A22" s="332" t="s">
        <v>526</v>
      </c>
    </row>
    <row r="23" ht="15">
      <c r="A23" s="332" t="s">
        <v>527</v>
      </c>
    </row>
    <row r="24" ht="15">
      <c r="A24" s="332"/>
    </row>
    <row r="25" ht="15">
      <c r="A25" s="333" t="s">
        <v>151</v>
      </c>
    </row>
    <row r="26" ht="15">
      <c r="A26" s="333"/>
    </row>
    <row r="27" ht="15">
      <c r="A27" s="332" t="s">
        <v>152</v>
      </c>
    </row>
    <row r="28" spans="1:6" ht="15">
      <c r="A28" s="332" t="s">
        <v>153</v>
      </c>
      <c r="B28" s="332"/>
      <c r="C28" s="332"/>
      <c r="D28" s="332"/>
      <c r="E28" s="332"/>
      <c r="F28" s="332"/>
    </row>
    <row r="29" spans="1:6" ht="15">
      <c r="A29" s="332" t="s">
        <v>154</v>
      </c>
      <c r="B29" s="332"/>
      <c r="C29" s="332"/>
      <c r="D29" s="332"/>
      <c r="E29" s="332"/>
      <c r="F29" s="332"/>
    </row>
    <row r="30" spans="1:6" ht="15">
      <c r="A30" s="332" t="s">
        <v>155</v>
      </c>
      <c r="B30" s="332"/>
      <c r="C30" s="332"/>
      <c r="D30" s="332"/>
      <c r="E30" s="332"/>
      <c r="F30" s="332"/>
    </row>
    <row r="31" ht="15">
      <c r="A31" s="332"/>
    </row>
    <row r="32" spans="1:7" ht="15">
      <c r="A32" s="333" t="s">
        <v>156</v>
      </c>
      <c r="B32" s="333"/>
      <c r="C32" s="333"/>
      <c r="D32" s="333"/>
      <c r="E32" s="333"/>
      <c r="F32" s="333"/>
      <c r="G32" s="333"/>
    </row>
    <row r="33" spans="1:7" ht="15">
      <c r="A33" s="333" t="s">
        <v>157</v>
      </c>
      <c r="B33" s="333"/>
      <c r="C33" s="333"/>
      <c r="D33" s="333"/>
      <c r="E33" s="333"/>
      <c r="F33" s="333"/>
      <c r="G33" s="333"/>
    </row>
    <row r="34" spans="1:7" ht="15">
      <c r="A34" s="333"/>
      <c r="B34" s="333"/>
      <c r="C34" s="333"/>
      <c r="D34" s="333"/>
      <c r="E34" s="333"/>
      <c r="F34" s="333"/>
      <c r="G34" s="333"/>
    </row>
    <row r="35" spans="1:7" ht="15">
      <c r="A35" s="332" t="s">
        <v>528</v>
      </c>
      <c r="B35" s="332"/>
      <c r="C35" s="332"/>
      <c r="D35" s="332"/>
      <c r="E35" s="332"/>
      <c r="F35" s="332"/>
      <c r="G35" s="332"/>
    </row>
    <row r="36" spans="1:7" ht="15">
      <c r="A36" s="332" t="s">
        <v>529</v>
      </c>
      <c r="B36" s="332"/>
      <c r="C36" s="332"/>
      <c r="D36" s="332"/>
      <c r="E36" s="332"/>
      <c r="F36" s="332"/>
      <c r="G36" s="332"/>
    </row>
    <row r="37" spans="1:7" ht="15">
      <c r="A37" s="332" t="s">
        <v>530</v>
      </c>
      <c r="B37" s="332"/>
      <c r="C37" s="332"/>
      <c r="D37" s="332"/>
      <c r="E37" s="332"/>
      <c r="F37" s="332"/>
      <c r="G37" s="332"/>
    </row>
    <row r="38" spans="1:7" ht="15">
      <c r="A38" s="332" t="s">
        <v>531</v>
      </c>
      <c r="B38" s="332"/>
      <c r="C38" s="332"/>
      <c r="D38" s="332"/>
      <c r="E38" s="332"/>
      <c r="F38" s="332"/>
      <c r="G38" s="332"/>
    </row>
    <row r="39" spans="1:7" ht="15">
      <c r="A39" s="332" t="s">
        <v>532</v>
      </c>
      <c r="B39" s="332"/>
      <c r="C39" s="332"/>
      <c r="D39" s="332"/>
      <c r="E39" s="332"/>
      <c r="F39" s="332"/>
      <c r="G39" s="332"/>
    </row>
    <row r="40" spans="1:7" ht="15">
      <c r="A40" s="333"/>
      <c r="B40" s="333"/>
      <c r="C40" s="333"/>
      <c r="D40" s="333"/>
      <c r="E40" s="333"/>
      <c r="F40" s="333"/>
      <c r="G40" s="333"/>
    </row>
    <row r="41" spans="1:6" ht="15">
      <c r="A41" s="336" t="str">
        <f>CONCATENATE("So, let's look to see if any of your ",inputPrYr!C5-1," expenditures can")</f>
        <v>So, let's look to see if any of your 2011 expenditures can</v>
      </c>
      <c r="B41" s="332"/>
      <c r="C41" s="332"/>
      <c r="D41" s="332"/>
      <c r="E41" s="332"/>
      <c r="F41" s="332"/>
    </row>
    <row r="42" spans="1:6" ht="15">
      <c r="A42" s="336" t="s">
        <v>158</v>
      </c>
      <c r="B42" s="332"/>
      <c r="C42" s="332"/>
      <c r="D42" s="332"/>
      <c r="E42" s="332"/>
      <c r="F42" s="332"/>
    </row>
    <row r="43" spans="1:6" ht="15">
      <c r="A43" s="336" t="s">
        <v>42</v>
      </c>
      <c r="B43" s="332"/>
      <c r="C43" s="332"/>
      <c r="D43" s="332"/>
      <c r="E43" s="332"/>
      <c r="F43" s="332"/>
    </row>
    <row r="44" spans="1:6" ht="15">
      <c r="A44" s="336" t="s">
        <v>43</v>
      </c>
      <c r="B44" s="332"/>
      <c r="C44" s="332"/>
      <c r="D44" s="332"/>
      <c r="E44" s="332"/>
      <c r="F44" s="332"/>
    </row>
    <row r="45" ht="15">
      <c r="A45" s="332"/>
    </row>
    <row r="46" spans="1:6" ht="15">
      <c r="A46" s="336" t="str">
        <f>CONCATENATE("Additionally, do your ",inputPrYr!C5-1," receipts contain a reimbursement")</f>
        <v>Additionally, do your 2011 receipts contain a reimbursement</v>
      </c>
      <c r="B46" s="332"/>
      <c r="C46" s="332"/>
      <c r="D46" s="332"/>
      <c r="E46" s="332"/>
      <c r="F46" s="332"/>
    </row>
    <row r="47" spans="1:6" ht="15">
      <c r="A47" s="336" t="s">
        <v>44</v>
      </c>
      <c r="B47" s="332"/>
      <c r="C47" s="332"/>
      <c r="D47" s="332"/>
      <c r="E47" s="332"/>
      <c r="F47" s="332"/>
    </row>
    <row r="48" spans="1:6" ht="15">
      <c r="A48" s="336" t="s">
        <v>45</v>
      </c>
      <c r="B48" s="332"/>
      <c r="C48" s="332"/>
      <c r="D48" s="332"/>
      <c r="E48" s="332"/>
      <c r="F48" s="332"/>
    </row>
    <row r="49" spans="1:7" ht="15">
      <c r="A49" s="332"/>
      <c r="B49" s="332"/>
      <c r="C49" s="332"/>
      <c r="D49" s="332"/>
      <c r="E49" s="332"/>
      <c r="F49" s="332"/>
      <c r="G49" s="332"/>
    </row>
    <row r="50" spans="1:7" ht="15">
      <c r="A50" s="332" t="s">
        <v>112</v>
      </c>
      <c r="B50" s="332"/>
      <c r="C50" s="332"/>
      <c r="D50" s="332"/>
      <c r="E50" s="332"/>
      <c r="F50" s="332"/>
      <c r="G50" s="332"/>
    </row>
    <row r="51" spans="1:7" ht="15">
      <c r="A51" s="332" t="s">
        <v>113</v>
      </c>
      <c r="B51" s="332"/>
      <c r="C51" s="332"/>
      <c r="D51" s="332"/>
      <c r="E51" s="332"/>
      <c r="F51" s="332"/>
      <c r="G51" s="332"/>
    </row>
    <row r="52" spans="1:7" ht="15">
      <c r="A52" s="332" t="s">
        <v>114</v>
      </c>
      <c r="B52" s="332"/>
      <c r="C52" s="332"/>
      <c r="D52" s="332"/>
      <c r="E52" s="332"/>
      <c r="F52" s="332"/>
      <c r="G52" s="332"/>
    </row>
    <row r="53" spans="1:7" ht="15">
      <c r="A53" s="332" t="s">
        <v>115</v>
      </c>
      <c r="B53" s="332"/>
      <c r="C53" s="332"/>
      <c r="D53" s="332"/>
      <c r="E53" s="332"/>
      <c r="F53" s="332"/>
      <c r="G53" s="332"/>
    </row>
    <row r="54" spans="1:7" ht="15">
      <c r="A54" s="332" t="s">
        <v>116</v>
      </c>
      <c r="B54" s="332"/>
      <c r="C54" s="332"/>
      <c r="D54" s="332"/>
      <c r="E54" s="332"/>
      <c r="F54" s="332"/>
      <c r="G54" s="332"/>
    </row>
    <row r="55" spans="1:7" ht="15">
      <c r="A55" s="332"/>
      <c r="B55" s="332"/>
      <c r="C55" s="332"/>
      <c r="D55" s="332"/>
      <c r="E55" s="332"/>
      <c r="F55" s="332"/>
      <c r="G55" s="332"/>
    </row>
    <row r="56" spans="1:6" ht="15">
      <c r="A56" s="336" t="s">
        <v>54</v>
      </c>
      <c r="B56" s="332"/>
      <c r="C56" s="332"/>
      <c r="D56" s="332"/>
      <c r="E56" s="332"/>
      <c r="F56" s="332"/>
    </row>
    <row r="57" spans="1:6" ht="15">
      <c r="A57" s="336" t="s">
        <v>55</v>
      </c>
      <c r="B57" s="332"/>
      <c r="C57" s="332"/>
      <c r="D57" s="332"/>
      <c r="E57" s="332"/>
      <c r="F57" s="332"/>
    </row>
    <row r="58" spans="1:6" ht="15">
      <c r="A58" s="336" t="s">
        <v>56</v>
      </c>
      <c r="B58" s="332"/>
      <c r="C58" s="332"/>
      <c r="D58" s="332"/>
      <c r="E58" s="332"/>
      <c r="F58" s="332"/>
    </row>
    <row r="59" spans="1:6" ht="15">
      <c r="A59" s="336"/>
      <c r="B59" s="332"/>
      <c r="C59" s="332"/>
      <c r="D59" s="332"/>
      <c r="E59" s="332"/>
      <c r="F59" s="332"/>
    </row>
    <row r="60" spans="1:7" ht="15">
      <c r="A60" s="332" t="s">
        <v>533</v>
      </c>
      <c r="B60" s="332"/>
      <c r="C60" s="332"/>
      <c r="D60" s="332"/>
      <c r="E60" s="332"/>
      <c r="F60" s="332"/>
      <c r="G60" s="332"/>
    </row>
    <row r="61" spans="1:7" ht="15">
      <c r="A61" s="332" t="s">
        <v>534</v>
      </c>
      <c r="B61" s="332"/>
      <c r="C61" s="332"/>
      <c r="D61" s="332"/>
      <c r="E61" s="332"/>
      <c r="F61" s="332"/>
      <c r="G61" s="332"/>
    </row>
    <row r="62" spans="1:7" ht="15">
      <c r="A62" s="332" t="s">
        <v>535</v>
      </c>
      <c r="B62" s="332"/>
      <c r="C62" s="332"/>
      <c r="D62" s="332"/>
      <c r="E62" s="332"/>
      <c r="F62" s="332"/>
      <c r="G62" s="332"/>
    </row>
    <row r="63" spans="1:7" ht="15">
      <c r="A63" s="332" t="s">
        <v>536</v>
      </c>
      <c r="B63" s="332"/>
      <c r="C63" s="332"/>
      <c r="D63" s="332"/>
      <c r="E63" s="332"/>
      <c r="F63" s="332"/>
      <c r="G63" s="332"/>
    </row>
    <row r="64" spans="1:7" ht="15">
      <c r="A64" s="332" t="s">
        <v>537</v>
      </c>
      <c r="B64" s="332"/>
      <c r="C64" s="332"/>
      <c r="D64" s="332"/>
      <c r="E64" s="332"/>
      <c r="F64" s="332"/>
      <c r="G64" s="332"/>
    </row>
    <row r="66" spans="1:6" ht="15">
      <c r="A66" s="336" t="s">
        <v>162</v>
      </c>
      <c r="B66" s="332"/>
      <c r="C66" s="332"/>
      <c r="D66" s="332"/>
      <c r="E66" s="332"/>
      <c r="F66" s="332"/>
    </row>
    <row r="67" spans="1:6" ht="15">
      <c r="A67" s="336" t="s">
        <v>163</v>
      </c>
      <c r="B67" s="332"/>
      <c r="C67" s="332"/>
      <c r="D67" s="332"/>
      <c r="E67" s="332"/>
      <c r="F67" s="332"/>
    </row>
    <row r="68" spans="1:6" ht="15">
      <c r="A68" s="336" t="s">
        <v>164</v>
      </c>
      <c r="B68" s="332"/>
      <c r="C68" s="332"/>
      <c r="D68" s="332"/>
      <c r="E68" s="332"/>
      <c r="F68" s="332"/>
    </row>
    <row r="69" spans="1:6" ht="15">
      <c r="A69" s="336" t="s">
        <v>715</v>
      </c>
      <c r="B69" s="332"/>
      <c r="C69" s="332"/>
      <c r="D69" s="332"/>
      <c r="E69" s="332"/>
      <c r="F69" s="332"/>
    </row>
    <row r="70" spans="1:6" ht="15">
      <c r="A70" s="336" t="s">
        <v>716</v>
      </c>
      <c r="B70" s="332"/>
      <c r="C70" s="332"/>
      <c r="D70" s="332"/>
      <c r="E70" s="332"/>
      <c r="F70" s="332"/>
    </row>
    <row r="71" ht="15">
      <c r="A71" s="332"/>
    </row>
    <row r="72" ht="15">
      <c r="A72" s="332" t="s">
        <v>83</v>
      </c>
    </row>
    <row r="73" ht="15">
      <c r="A73" s="332"/>
    </row>
    <row r="74" ht="15">
      <c r="A74" s="332"/>
    </row>
    <row r="75" ht="15">
      <c r="A75" s="332"/>
    </row>
    <row r="78" ht="15">
      <c r="A78" s="333"/>
    </row>
    <row r="80" ht="15">
      <c r="A80" s="332"/>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2" ht="15">
      <c r="A102" s="332"/>
    </row>
    <row r="103" ht="15">
      <c r="A103" s="332"/>
    </row>
    <row r="104" ht="15">
      <c r="A104" s="332"/>
    </row>
    <row r="105" ht="15">
      <c r="A105" s="332"/>
    </row>
    <row r="106" ht="15">
      <c r="A106" s="33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D32" sqref="D32"/>
    </sheetView>
  </sheetViews>
  <sheetFormatPr defaultColWidth="8.796875" defaultRowHeight="15"/>
  <cols>
    <col min="1" max="1" width="71.296875" style="0" customWidth="1"/>
  </cols>
  <sheetData>
    <row r="3" spans="1:7" ht="15">
      <c r="A3" s="331" t="s">
        <v>538</v>
      </c>
      <c r="B3" s="331"/>
      <c r="C3" s="331"/>
      <c r="D3" s="331"/>
      <c r="E3" s="331"/>
      <c r="F3" s="331"/>
      <c r="G3" s="331"/>
    </row>
    <row r="4" spans="1:7" ht="15">
      <c r="A4" s="331" t="s">
        <v>539</v>
      </c>
      <c r="B4" s="331"/>
      <c r="C4" s="331"/>
      <c r="D4" s="331"/>
      <c r="E4" s="331"/>
      <c r="F4" s="331"/>
      <c r="G4" s="331"/>
    </row>
    <row r="5" spans="1:7" ht="15">
      <c r="A5" s="331"/>
      <c r="B5" s="331"/>
      <c r="C5" s="331"/>
      <c r="D5" s="331"/>
      <c r="E5" s="331"/>
      <c r="F5" s="331"/>
      <c r="G5" s="331"/>
    </row>
    <row r="6" spans="1:7" ht="15">
      <c r="A6" s="331"/>
      <c r="B6" s="331"/>
      <c r="C6" s="331"/>
      <c r="D6" s="331"/>
      <c r="E6" s="331"/>
      <c r="F6" s="331"/>
      <c r="G6" s="331"/>
    </row>
    <row r="7" ht="15">
      <c r="A7" s="332" t="s">
        <v>28</v>
      </c>
    </row>
    <row r="8" ht="15">
      <c r="A8" s="332" t="str">
        <f>CONCATENATE("estimated ",inputPrYr!C5," 'total expenditures' exceed your ",inputPrYr!C5,"")</f>
        <v>estimated 2012 'total expenditures' exceed your 2012</v>
      </c>
    </row>
    <row r="9" ht="15">
      <c r="A9" s="335" t="s">
        <v>540</v>
      </c>
    </row>
    <row r="10" ht="15">
      <c r="A10" s="332"/>
    </row>
    <row r="11" ht="15">
      <c r="A11" s="332" t="s">
        <v>541</v>
      </c>
    </row>
    <row r="12" ht="15">
      <c r="A12" s="332" t="s">
        <v>542</v>
      </c>
    </row>
    <row r="13" ht="15">
      <c r="A13" s="332" t="s">
        <v>543</v>
      </c>
    </row>
    <row r="14" ht="15">
      <c r="A14" s="332"/>
    </row>
    <row r="15" ht="15">
      <c r="A15" s="333" t="s">
        <v>544</v>
      </c>
    </row>
    <row r="16" spans="1:7" ht="15">
      <c r="A16" s="331"/>
      <c r="B16" s="331"/>
      <c r="C16" s="331"/>
      <c r="D16" s="331"/>
      <c r="E16" s="331"/>
      <c r="F16" s="331"/>
      <c r="G16" s="331"/>
    </row>
    <row r="17" spans="1:8" ht="15">
      <c r="A17" s="338" t="s">
        <v>545</v>
      </c>
      <c r="B17" s="339"/>
      <c r="C17" s="339"/>
      <c r="D17" s="339"/>
      <c r="E17" s="339"/>
      <c r="F17" s="339"/>
      <c r="G17" s="339"/>
      <c r="H17" s="339"/>
    </row>
    <row r="18" spans="1:7" ht="15">
      <c r="A18" s="332" t="s">
        <v>546</v>
      </c>
      <c r="B18" s="340"/>
      <c r="C18" s="340"/>
      <c r="D18" s="340"/>
      <c r="E18" s="340"/>
      <c r="F18" s="340"/>
      <c r="G18" s="340"/>
    </row>
    <row r="19" ht="15">
      <c r="A19" s="332" t="s">
        <v>547</v>
      </c>
    </row>
    <row r="20" ht="15">
      <c r="A20" s="332" t="s">
        <v>548</v>
      </c>
    </row>
    <row r="22" ht="15">
      <c r="A22" s="333" t="s">
        <v>549</v>
      </c>
    </row>
    <row r="24" ht="15">
      <c r="A24" s="332" t="s">
        <v>550</v>
      </c>
    </row>
    <row r="25" ht="15">
      <c r="A25" s="332" t="s">
        <v>551</v>
      </c>
    </row>
    <row r="26" ht="15">
      <c r="A26" s="332" t="s">
        <v>552</v>
      </c>
    </row>
    <row r="28" ht="15">
      <c r="A28" s="333" t="s">
        <v>553</v>
      </c>
    </row>
    <row r="30" ht="15">
      <c r="A30" t="s">
        <v>554</v>
      </c>
    </row>
    <row r="31" ht="15">
      <c r="A31" t="s">
        <v>555</v>
      </c>
    </row>
    <row r="32" ht="15">
      <c r="A32" t="s">
        <v>556</v>
      </c>
    </row>
    <row r="33" ht="15">
      <c r="A33" s="332" t="s">
        <v>557</v>
      </c>
    </row>
    <row r="35" ht="15">
      <c r="A35" t="s">
        <v>558</v>
      </c>
    </row>
    <row r="36" ht="15">
      <c r="A36" t="s">
        <v>559</v>
      </c>
    </row>
    <row r="37" ht="15">
      <c r="A37" t="s">
        <v>560</v>
      </c>
    </row>
    <row r="38" ht="15">
      <c r="A38" t="s">
        <v>561</v>
      </c>
    </row>
    <row r="40" ht="15">
      <c r="A40" t="s">
        <v>562</v>
      </c>
    </row>
    <row r="41" ht="15">
      <c r="A41" t="s">
        <v>563</v>
      </c>
    </row>
    <row r="42" ht="15">
      <c r="A42" t="s">
        <v>564</v>
      </c>
    </row>
    <row r="43" ht="15">
      <c r="A43" t="s">
        <v>565</v>
      </c>
    </row>
    <row r="44" ht="15">
      <c r="A44" t="s">
        <v>566</v>
      </c>
    </row>
    <row r="45" ht="15">
      <c r="A45" t="s">
        <v>567</v>
      </c>
    </row>
    <row r="47" ht="15">
      <c r="A47" t="s">
        <v>568</v>
      </c>
    </row>
    <row r="48" ht="15">
      <c r="A48" t="s">
        <v>569</v>
      </c>
    </row>
    <row r="49" ht="15">
      <c r="A49" s="332" t="s">
        <v>570</v>
      </c>
    </row>
    <row r="50" ht="15">
      <c r="A50" s="332" t="s">
        <v>571</v>
      </c>
    </row>
    <row r="52" ht="15">
      <c r="A52" t="s">
        <v>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D32" sqref="D32"/>
    </sheetView>
  </sheetViews>
  <sheetFormatPr defaultColWidth="8.796875" defaultRowHeight="15"/>
  <cols>
    <col min="1" max="1" width="7.59765625" style="475"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75" customWidth="1"/>
    <col min="13" max="14" width="8.8984375" style="475" customWidth="1"/>
    <col min="15" max="15" width="9.8984375" style="475" bestFit="1" customWidth="1"/>
    <col min="16" max="16384" width="8.8984375" style="475" customWidth="1"/>
  </cols>
  <sheetData>
    <row r="1" spans="1:12" ht="14.25">
      <c r="A1" s="411"/>
      <c r="B1" s="411"/>
      <c r="C1" s="411"/>
      <c r="D1" s="411"/>
      <c r="E1" s="411"/>
      <c r="F1" s="411"/>
      <c r="G1" s="411"/>
      <c r="H1" s="411"/>
      <c r="I1" s="411"/>
      <c r="J1" s="411"/>
      <c r="K1" s="411"/>
      <c r="L1" s="411"/>
    </row>
    <row r="2" spans="1:12" ht="14.25">
      <c r="A2" s="411"/>
      <c r="B2" s="411"/>
      <c r="C2" s="411"/>
      <c r="D2" s="411"/>
      <c r="E2" s="411"/>
      <c r="F2" s="411"/>
      <c r="G2" s="411"/>
      <c r="H2" s="411"/>
      <c r="I2" s="411"/>
      <c r="J2" s="411"/>
      <c r="K2" s="411"/>
      <c r="L2" s="411"/>
    </row>
    <row r="3" spans="1:12" ht="14.25">
      <c r="A3" s="411"/>
      <c r="B3" s="411"/>
      <c r="C3" s="411"/>
      <c r="D3" s="411"/>
      <c r="E3" s="411"/>
      <c r="F3" s="411"/>
      <c r="G3" s="411"/>
      <c r="H3" s="411"/>
      <c r="I3" s="411"/>
      <c r="J3" s="411"/>
      <c r="K3" s="411"/>
      <c r="L3" s="411"/>
    </row>
    <row r="4" spans="1:12" ht="14.25">
      <c r="A4" s="411"/>
      <c r="L4" s="411"/>
    </row>
    <row r="5" spans="1:12" ht="15" customHeight="1">
      <c r="A5" s="411"/>
      <c r="L5" s="411"/>
    </row>
    <row r="6" spans="1:12" ht="33" customHeight="1">
      <c r="A6" s="411"/>
      <c r="B6" s="633" t="s">
        <v>846</v>
      </c>
      <c r="C6" s="630"/>
      <c r="D6" s="630"/>
      <c r="E6" s="630"/>
      <c r="F6" s="630"/>
      <c r="G6" s="630"/>
      <c r="H6" s="630"/>
      <c r="I6" s="630"/>
      <c r="J6" s="630"/>
      <c r="K6" s="630"/>
      <c r="L6" s="413"/>
    </row>
    <row r="7" spans="1:12" ht="40.5" customHeight="1">
      <c r="A7" s="411"/>
      <c r="B7" s="640" t="s">
        <v>847</v>
      </c>
      <c r="C7" s="641"/>
      <c r="D7" s="641"/>
      <c r="E7" s="641"/>
      <c r="F7" s="641"/>
      <c r="G7" s="641"/>
      <c r="H7" s="641"/>
      <c r="I7" s="641"/>
      <c r="J7" s="641"/>
      <c r="K7" s="641"/>
      <c r="L7" s="411"/>
    </row>
    <row r="8" spans="1:12" ht="14.25">
      <c r="A8" s="411"/>
      <c r="B8" s="635" t="s">
        <v>848</v>
      </c>
      <c r="C8" s="635"/>
      <c r="D8" s="635"/>
      <c r="E8" s="635"/>
      <c r="F8" s="635"/>
      <c r="G8" s="635"/>
      <c r="H8" s="635"/>
      <c r="I8" s="635"/>
      <c r="J8" s="635"/>
      <c r="K8" s="635"/>
      <c r="L8" s="411"/>
    </row>
    <row r="9" spans="1:12" ht="14.25">
      <c r="A9" s="411"/>
      <c r="L9" s="411"/>
    </row>
    <row r="10" spans="1:12" ht="14.25">
      <c r="A10" s="411"/>
      <c r="B10" s="635" t="s">
        <v>849</v>
      </c>
      <c r="C10" s="635"/>
      <c r="D10" s="635"/>
      <c r="E10" s="635"/>
      <c r="F10" s="635"/>
      <c r="G10" s="635"/>
      <c r="H10" s="635"/>
      <c r="I10" s="635"/>
      <c r="J10" s="635"/>
      <c r="K10" s="635"/>
      <c r="L10" s="411"/>
    </row>
    <row r="11" spans="1:12" ht="14.25">
      <c r="A11" s="411"/>
      <c r="B11" s="511"/>
      <c r="C11" s="511"/>
      <c r="D11" s="511"/>
      <c r="E11" s="511"/>
      <c r="F11" s="511"/>
      <c r="G11" s="511"/>
      <c r="H11" s="511"/>
      <c r="I11" s="511"/>
      <c r="J11" s="511"/>
      <c r="K11" s="511"/>
      <c r="L11" s="411"/>
    </row>
    <row r="12" spans="1:12" ht="32.25" customHeight="1">
      <c r="A12" s="411"/>
      <c r="B12" s="634" t="s">
        <v>850</v>
      </c>
      <c r="C12" s="634"/>
      <c r="D12" s="634"/>
      <c r="E12" s="634"/>
      <c r="F12" s="634"/>
      <c r="G12" s="634"/>
      <c r="H12" s="634"/>
      <c r="I12" s="634"/>
      <c r="J12" s="634"/>
      <c r="K12" s="634"/>
      <c r="L12" s="411"/>
    </row>
    <row r="13" spans="1:12" ht="14.25">
      <c r="A13" s="411"/>
      <c r="L13" s="411"/>
    </row>
    <row r="14" spans="1:12" ht="14.25">
      <c r="A14" s="411"/>
      <c r="B14" s="414" t="s">
        <v>851</v>
      </c>
      <c r="L14" s="411"/>
    </row>
    <row r="15" spans="1:12" ht="14.25">
      <c r="A15" s="411"/>
      <c r="L15" s="411"/>
    </row>
    <row r="16" spans="1:12" ht="14.25">
      <c r="A16" s="411"/>
      <c r="B16" s="412" t="s">
        <v>852</v>
      </c>
      <c r="L16" s="411"/>
    </row>
    <row r="17" spans="1:12" ht="14.25">
      <c r="A17" s="411"/>
      <c r="B17" s="412" t="s">
        <v>853</v>
      </c>
      <c r="L17" s="411"/>
    </row>
    <row r="18" spans="1:12" ht="14.25">
      <c r="A18" s="411"/>
      <c r="L18" s="411"/>
    </row>
    <row r="19" spans="1:12" ht="14.25">
      <c r="A19" s="411"/>
      <c r="B19" s="414" t="s">
        <v>854</v>
      </c>
      <c r="L19" s="411"/>
    </row>
    <row r="20" spans="1:12" ht="14.25">
      <c r="A20" s="411"/>
      <c r="B20" s="414"/>
      <c r="L20" s="411"/>
    </row>
    <row r="21" spans="1:12" ht="14.25">
      <c r="A21" s="411"/>
      <c r="B21" s="412" t="s">
        <v>855</v>
      </c>
      <c r="L21" s="411"/>
    </row>
    <row r="22" spans="1:12" ht="14.25">
      <c r="A22" s="411"/>
      <c r="L22" s="411"/>
    </row>
    <row r="23" spans="1:12" ht="14.25">
      <c r="A23" s="411"/>
      <c r="B23" s="412" t="s">
        <v>856</v>
      </c>
      <c r="E23" s="412" t="s">
        <v>857</v>
      </c>
      <c r="F23" s="624">
        <v>133685008</v>
      </c>
      <c r="G23" s="624"/>
      <c r="L23" s="411"/>
    </row>
    <row r="24" spans="1:12" ht="14.25">
      <c r="A24" s="411"/>
      <c r="L24" s="411"/>
    </row>
    <row r="25" spans="1:12" ht="14.25">
      <c r="A25" s="411"/>
      <c r="C25" s="639">
        <f>F23</f>
        <v>133685008</v>
      </c>
      <c r="D25" s="639"/>
      <c r="E25" s="412" t="s">
        <v>858</v>
      </c>
      <c r="F25" s="415">
        <v>1000</v>
      </c>
      <c r="G25" s="415" t="s">
        <v>857</v>
      </c>
      <c r="H25" s="512">
        <f>F23/F25</f>
        <v>133685.008</v>
      </c>
      <c r="L25" s="411"/>
    </row>
    <row r="26" spans="1:12" ht="15" thickBot="1">
      <c r="A26" s="411"/>
      <c r="L26" s="411"/>
    </row>
    <row r="27" spans="1:12" ht="14.25">
      <c r="A27" s="411"/>
      <c r="B27" s="416" t="s">
        <v>851</v>
      </c>
      <c r="C27" s="417"/>
      <c r="D27" s="417"/>
      <c r="E27" s="417"/>
      <c r="F27" s="417"/>
      <c r="G27" s="417"/>
      <c r="H27" s="417"/>
      <c r="I27" s="417"/>
      <c r="J27" s="417"/>
      <c r="K27" s="418"/>
      <c r="L27" s="411"/>
    </row>
    <row r="28" spans="1:12" ht="14.25">
      <c r="A28" s="411"/>
      <c r="B28" s="419">
        <f>F23</f>
        <v>133685008</v>
      </c>
      <c r="C28" s="420" t="s">
        <v>859</v>
      </c>
      <c r="D28" s="420"/>
      <c r="E28" s="420" t="s">
        <v>858</v>
      </c>
      <c r="F28" s="517">
        <v>1000</v>
      </c>
      <c r="G28" s="517" t="s">
        <v>857</v>
      </c>
      <c r="H28" s="421">
        <f>B28/F28</f>
        <v>133685.008</v>
      </c>
      <c r="I28" s="420" t="s">
        <v>860</v>
      </c>
      <c r="J28" s="420"/>
      <c r="K28" s="422"/>
      <c r="L28" s="411"/>
    </row>
    <row r="29" spans="1:12" ht="15" thickBot="1">
      <c r="A29" s="411"/>
      <c r="B29" s="423"/>
      <c r="C29" s="424"/>
      <c r="D29" s="424"/>
      <c r="E29" s="424"/>
      <c r="F29" s="424"/>
      <c r="G29" s="424"/>
      <c r="H29" s="424"/>
      <c r="I29" s="424"/>
      <c r="J29" s="424"/>
      <c r="K29" s="425"/>
      <c r="L29" s="411"/>
    </row>
    <row r="30" spans="1:12" ht="40.5" customHeight="1">
      <c r="A30" s="411"/>
      <c r="B30" s="625" t="s">
        <v>847</v>
      </c>
      <c r="C30" s="625"/>
      <c r="D30" s="625"/>
      <c r="E30" s="625"/>
      <c r="F30" s="625"/>
      <c r="G30" s="625"/>
      <c r="H30" s="625"/>
      <c r="I30" s="625"/>
      <c r="J30" s="625"/>
      <c r="K30" s="625"/>
      <c r="L30" s="411"/>
    </row>
    <row r="31" spans="1:12" ht="14.25">
      <c r="A31" s="411"/>
      <c r="B31" s="635" t="s">
        <v>861</v>
      </c>
      <c r="C31" s="635"/>
      <c r="D31" s="635"/>
      <c r="E31" s="635"/>
      <c r="F31" s="635"/>
      <c r="G31" s="635"/>
      <c r="H31" s="635"/>
      <c r="I31" s="635"/>
      <c r="J31" s="635"/>
      <c r="K31" s="635"/>
      <c r="L31" s="411"/>
    </row>
    <row r="32" spans="1:12" ht="14.25">
      <c r="A32" s="411"/>
      <c r="L32" s="411"/>
    </row>
    <row r="33" spans="1:12" ht="14.25">
      <c r="A33" s="411"/>
      <c r="B33" s="635" t="s">
        <v>862</v>
      </c>
      <c r="C33" s="635"/>
      <c r="D33" s="635"/>
      <c r="E33" s="635"/>
      <c r="F33" s="635"/>
      <c r="G33" s="635"/>
      <c r="H33" s="635"/>
      <c r="I33" s="635"/>
      <c r="J33" s="635"/>
      <c r="K33" s="635"/>
      <c r="L33" s="411"/>
    </row>
    <row r="34" spans="1:12" ht="14.25">
      <c r="A34" s="411"/>
      <c r="L34" s="411"/>
    </row>
    <row r="35" spans="1:12" ht="89.25" customHeight="1">
      <c r="A35" s="411"/>
      <c r="B35" s="634" t="s">
        <v>863</v>
      </c>
      <c r="C35" s="628"/>
      <c r="D35" s="628"/>
      <c r="E35" s="628"/>
      <c r="F35" s="628"/>
      <c r="G35" s="628"/>
      <c r="H35" s="628"/>
      <c r="I35" s="628"/>
      <c r="J35" s="628"/>
      <c r="K35" s="628"/>
      <c r="L35" s="411"/>
    </row>
    <row r="36" spans="1:12" ht="14.25">
      <c r="A36" s="411"/>
      <c r="L36" s="411"/>
    </row>
    <row r="37" spans="1:12" ht="14.25">
      <c r="A37" s="411"/>
      <c r="B37" s="414" t="s">
        <v>864</v>
      </c>
      <c r="L37" s="411"/>
    </row>
    <row r="38" spans="1:12" ht="14.25">
      <c r="A38" s="411"/>
      <c r="L38" s="411"/>
    </row>
    <row r="39" spans="1:12" ht="14.25">
      <c r="A39" s="411"/>
      <c r="B39" s="412" t="s">
        <v>865</v>
      </c>
      <c r="L39" s="411"/>
    </row>
    <row r="40" spans="1:12" ht="14.25">
      <c r="A40" s="411"/>
      <c r="L40" s="411"/>
    </row>
    <row r="41" spans="1:12" ht="14.25">
      <c r="A41" s="411"/>
      <c r="C41" s="638">
        <v>3120000</v>
      </c>
      <c r="D41" s="638"/>
      <c r="E41" s="412" t="s">
        <v>858</v>
      </c>
      <c r="F41" s="415">
        <v>1000</v>
      </c>
      <c r="G41" s="415" t="s">
        <v>857</v>
      </c>
      <c r="H41" s="426">
        <f>C41/F41</f>
        <v>3120</v>
      </c>
      <c r="L41" s="411"/>
    </row>
    <row r="42" spans="1:12" ht="14.25">
      <c r="A42" s="411"/>
      <c r="L42" s="411"/>
    </row>
    <row r="43" spans="1:12" ht="14.25">
      <c r="A43" s="411"/>
      <c r="B43" s="412" t="s">
        <v>866</v>
      </c>
      <c r="L43" s="411"/>
    </row>
    <row r="44" spans="1:12" ht="14.25">
      <c r="A44" s="411"/>
      <c r="L44" s="411"/>
    </row>
    <row r="45" spans="1:12" ht="14.25">
      <c r="A45" s="411"/>
      <c r="B45" s="412" t="s">
        <v>867</v>
      </c>
      <c r="L45" s="411"/>
    </row>
    <row r="46" spans="1:12" ht="15" thickBot="1">
      <c r="A46" s="411"/>
      <c r="L46" s="411"/>
    </row>
    <row r="47" spans="1:12" ht="14.25">
      <c r="A47" s="411"/>
      <c r="B47" s="427" t="s">
        <v>851</v>
      </c>
      <c r="C47" s="417"/>
      <c r="D47" s="417"/>
      <c r="E47" s="417"/>
      <c r="F47" s="417"/>
      <c r="G47" s="417"/>
      <c r="H47" s="417"/>
      <c r="I47" s="417"/>
      <c r="J47" s="417"/>
      <c r="K47" s="418"/>
      <c r="L47" s="411"/>
    </row>
    <row r="48" spans="1:12" ht="14.25">
      <c r="A48" s="411"/>
      <c r="B48" s="624">
        <v>133685008</v>
      </c>
      <c r="C48" s="624"/>
      <c r="D48" s="420" t="s">
        <v>868</v>
      </c>
      <c r="E48" s="420" t="s">
        <v>858</v>
      </c>
      <c r="F48" s="517">
        <v>1000</v>
      </c>
      <c r="G48" s="517" t="s">
        <v>857</v>
      </c>
      <c r="H48" s="421">
        <f>B48/F48</f>
        <v>133685.008</v>
      </c>
      <c r="I48" s="420" t="s">
        <v>869</v>
      </c>
      <c r="J48" s="420"/>
      <c r="K48" s="422"/>
      <c r="L48" s="411"/>
    </row>
    <row r="49" spans="1:12" ht="14.25">
      <c r="A49" s="411"/>
      <c r="B49" s="428"/>
      <c r="C49" s="420"/>
      <c r="D49" s="420"/>
      <c r="E49" s="420"/>
      <c r="F49" s="420"/>
      <c r="G49" s="420"/>
      <c r="H49" s="420"/>
      <c r="I49" s="420"/>
      <c r="J49" s="420"/>
      <c r="K49" s="422"/>
      <c r="L49" s="411"/>
    </row>
    <row r="50" spans="1:12" ht="14.25">
      <c r="A50" s="411"/>
      <c r="B50" s="429">
        <v>7067793</v>
      </c>
      <c r="C50" s="420" t="s">
        <v>870</v>
      </c>
      <c r="D50" s="420"/>
      <c r="E50" s="420" t="s">
        <v>858</v>
      </c>
      <c r="F50" s="421">
        <f>H48</f>
        <v>133685.008</v>
      </c>
      <c r="G50" s="636" t="s">
        <v>871</v>
      </c>
      <c r="H50" s="637"/>
      <c r="I50" s="517" t="s">
        <v>857</v>
      </c>
      <c r="J50" s="430">
        <f>B50/F50</f>
        <v>52.8690023342034</v>
      </c>
      <c r="K50" s="422"/>
      <c r="L50" s="411"/>
    </row>
    <row r="51" spans="1:15" ht="15" thickBot="1">
      <c r="A51" s="411"/>
      <c r="B51" s="423"/>
      <c r="C51" s="424"/>
      <c r="D51" s="424"/>
      <c r="E51" s="424"/>
      <c r="F51" s="424"/>
      <c r="G51" s="424"/>
      <c r="H51" s="424"/>
      <c r="I51" s="642" t="s">
        <v>872</v>
      </c>
      <c r="J51" s="642"/>
      <c r="K51" s="643"/>
      <c r="L51" s="411"/>
      <c r="O51" s="535"/>
    </row>
    <row r="52" spans="1:12" ht="40.5" customHeight="1">
      <c r="A52" s="411"/>
      <c r="B52" s="625" t="s">
        <v>847</v>
      </c>
      <c r="C52" s="625"/>
      <c r="D52" s="625"/>
      <c r="E52" s="625"/>
      <c r="F52" s="625"/>
      <c r="G52" s="625"/>
      <c r="H52" s="625"/>
      <c r="I52" s="625"/>
      <c r="J52" s="625"/>
      <c r="K52" s="625"/>
      <c r="L52" s="411"/>
    </row>
    <row r="53" spans="1:12" ht="14.25">
      <c r="A53" s="411"/>
      <c r="B53" s="635" t="s">
        <v>873</v>
      </c>
      <c r="C53" s="635"/>
      <c r="D53" s="635"/>
      <c r="E53" s="635"/>
      <c r="F53" s="635"/>
      <c r="G53" s="635"/>
      <c r="H53" s="635"/>
      <c r="I53" s="635"/>
      <c r="J53" s="635"/>
      <c r="K53" s="635"/>
      <c r="L53" s="411"/>
    </row>
    <row r="54" spans="1:12" ht="14.25">
      <c r="A54" s="411"/>
      <c r="B54" s="511"/>
      <c r="C54" s="511"/>
      <c r="D54" s="511"/>
      <c r="E54" s="511"/>
      <c r="F54" s="511"/>
      <c r="G54" s="511"/>
      <c r="H54" s="511"/>
      <c r="I54" s="511"/>
      <c r="J54" s="511"/>
      <c r="K54" s="511"/>
      <c r="L54" s="411"/>
    </row>
    <row r="55" spans="1:12" ht="14.25">
      <c r="A55" s="411"/>
      <c r="B55" s="633" t="s">
        <v>874</v>
      </c>
      <c r="C55" s="633"/>
      <c r="D55" s="633"/>
      <c r="E55" s="633"/>
      <c r="F55" s="633"/>
      <c r="G55" s="633"/>
      <c r="H55" s="633"/>
      <c r="I55" s="633"/>
      <c r="J55" s="633"/>
      <c r="K55" s="633"/>
      <c r="L55" s="411"/>
    </row>
    <row r="56" spans="1:12" ht="15" customHeight="1">
      <c r="A56" s="411"/>
      <c r="L56" s="411"/>
    </row>
    <row r="57" spans="1:24" ht="74.25" customHeight="1">
      <c r="A57" s="411"/>
      <c r="B57" s="634" t="s">
        <v>875</v>
      </c>
      <c r="C57" s="628"/>
      <c r="D57" s="628"/>
      <c r="E57" s="628"/>
      <c r="F57" s="628"/>
      <c r="G57" s="628"/>
      <c r="H57" s="628"/>
      <c r="I57" s="628"/>
      <c r="J57" s="628"/>
      <c r="K57" s="628"/>
      <c r="L57" s="411"/>
      <c r="M57" s="431"/>
      <c r="N57" s="432"/>
      <c r="O57" s="432"/>
      <c r="P57" s="432"/>
      <c r="Q57" s="432"/>
      <c r="R57" s="432"/>
      <c r="S57" s="432"/>
      <c r="T57" s="432"/>
      <c r="U57" s="432"/>
      <c r="V57" s="432"/>
      <c r="W57" s="432"/>
      <c r="X57" s="432"/>
    </row>
    <row r="58" spans="1:24" ht="15" customHeight="1">
      <c r="A58" s="411"/>
      <c r="B58" s="634"/>
      <c r="C58" s="628"/>
      <c r="D58" s="628"/>
      <c r="E58" s="628"/>
      <c r="F58" s="628"/>
      <c r="G58" s="628"/>
      <c r="H58" s="628"/>
      <c r="I58" s="628"/>
      <c r="J58" s="628"/>
      <c r="K58" s="628"/>
      <c r="L58" s="411"/>
      <c r="M58" s="431"/>
      <c r="N58" s="432"/>
      <c r="O58" s="432"/>
      <c r="P58" s="432"/>
      <c r="Q58" s="432"/>
      <c r="R58" s="432"/>
      <c r="S58" s="432"/>
      <c r="T58" s="432"/>
      <c r="U58" s="432"/>
      <c r="V58" s="432"/>
      <c r="W58" s="432"/>
      <c r="X58" s="432"/>
    </row>
    <row r="59" spans="1:24" ht="14.25">
      <c r="A59" s="411"/>
      <c r="B59" s="414" t="s">
        <v>864</v>
      </c>
      <c r="L59" s="411"/>
      <c r="M59" s="432"/>
      <c r="N59" s="432"/>
      <c r="O59" s="432"/>
      <c r="P59" s="432"/>
      <c r="Q59" s="432"/>
      <c r="R59" s="432"/>
      <c r="S59" s="432"/>
      <c r="T59" s="432"/>
      <c r="U59" s="432"/>
      <c r="V59" s="432"/>
      <c r="W59" s="432"/>
      <c r="X59" s="432"/>
    </row>
    <row r="60" spans="1:24" ht="14.25">
      <c r="A60" s="411"/>
      <c r="L60" s="411"/>
      <c r="M60" s="432"/>
      <c r="N60" s="432"/>
      <c r="O60" s="432"/>
      <c r="P60" s="432"/>
      <c r="Q60" s="432"/>
      <c r="R60" s="432"/>
      <c r="S60" s="432"/>
      <c r="T60" s="432"/>
      <c r="U60" s="432"/>
      <c r="V60" s="432"/>
      <c r="W60" s="432"/>
      <c r="X60" s="432"/>
    </row>
    <row r="61" spans="1:24" ht="14.25">
      <c r="A61" s="411"/>
      <c r="B61" s="412" t="s">
        <v>876</v>
      </c>
      <c r="L61" s="411"/>
      <c r="M61" s="432"/>
      <c r="N61" s="432"/>
      <c r="O61" s="432"/>
      <c r="P61" s="432"/>
      <c r="Q61" s="432"/>
      <c r="R61" s="432"/>
      <c r="S61" s="432"/>
      <c r="T61" s="432"/>
      <c r="U61" s="432"/>
      <c r="V61" s="432"/>
      <c r="W61" s="432"/>
      <c r="X61" s="432"/>
    </row>
    <row r="62" spans="1:24" ht="14.25">
      <c r="A62" s="411"/>
      <c r="B62" s="412" t="s">
        <v>877</v>
      </c>
      <c r="L62" s="411"/>
      <c r="M62" s="432"/>
      <c r="N62" s="432"/>
      <c r="O62" s="432"/>
      <c r="P62" s="432"/>
      <c r="Q62" s="432"/>
      <c r="R62" s="432"/>
      <c r="S62" s="432"/>
      <c r="T62" s="432"/>
      <c r="U62" s="432"/>
      <c r="V62" s="432"/>
      <c r="W62" s="432"/>
      <c r="X62" s="432"/>
    </row>
    <row r="63" spans="1:24" ht="14.25">
      <c r="A63" s="411"/>
      <c r="B63" s="412" t="s">
        <v>878</v>
      </c>
      <c r="L63" s="411"/>
      <c r="M63" s="432"/>
      <c r="N63" s="432"/>
      <c r="O63" s="432"/>
      <c r="P63" s="432"/>
      <c r="Q63" s="432"/>
      <c r="R63" s="432"/>
      <c r="S63" s="432"/>
      <c r="T63" s="432"/>
      <c r="U63" s="432"/>
      <c r="V63" s="432"/>
      <c r="W63" s="432"/>
      <c r="X63" s="432"/>
    </row>
    <row r="64" spans="1:24" ht="14.25">
      <c r="A64" s="411"/>
      <c r="L64" s="411"/>
      <c r="M64" s="432"/>
      <c r="N64" s="432"/>
      <c r="O64" s="432"/>
      <c r="P64" s="432"/>
      <c r="Q64" s="432"/>
      <c r="R64" s="432"/>
      <c r="S64" s="432"/>
      <c r="T64" s="432"/>
      <c r="U64" s="432"/>
      <c r="V64" s="432"/>
      <c r="W64" s="432"/>
      <c r="X64" s="432"/>
    </row>
    <row r="65" spans="1:24" ht="14.25">
      <c r="A65" s="411"/>
      <c r="B65" s="412" t="s">
        <v>879</v>
      </c>
      <c r="L65" s="411"/>
      <c r="M65" s="432"/>
      <c r="N65" s="432"/>
      <c r="O65" s="432"/>
      <c r="P65" s="432"/>
      <c r="Q65" s="432"/>
      <c r="R65" s="432"/>
      <c r="S65" s="432"/>
      <c r="T65" s="432"/>
      <c r="U65" s="432"/>
      <c r="V65" s="432"/>
      <c r="W65" s="432"/>
      <c r="X65" s="432"/>
    </row>
    <row r="66" spans="1:24" ht="14.25">
      <c r="A66" s="411"/>
      <c r="B66" s="412" t="s">
        <v>880</v>
      </c>
      <c r="L66" s="411"/>
      <c r="M66" s="432"/>
      <c r="N66" s="432"/>
      <c r="O66" s="432"/>
      <c r="P66" s="432"/>
      <c r="Q66" s="432"/>
      <c r="R66" s="432"/>
      <c r="S66" s="432"/>
      <c r="T66" s="432"/>
      <c r="U66" s="432"/>
      <c r="V66" s="432"/>
      <c r="W66" s="432"/>
      <c r="X66" s="432"/>
    </row>
    <row r="67" spans="1:24" ht="14.25">
      <c r="A67" s="411"/>
      <c r="L67" s="411"/>
      <c r="M67" s="432"/>
      <c r="N67" s="432"/>
      <c r="O67" s="432"/>
      <c r="P67" s="432"/>
      <c r="Q67" s="432"/>
      <c r="R67" s="432"/>
      <c r="S67" s="432"/>
      <c r="T67" s="432"/>
      <c r="U67" s="432"/>
      <c r="V67" s="432"/>
      <c r="W67" s="432"/>
      <c r="X67" s="432"/>
    </row>
    <row r="68" spans="1:24" ht="14.25">
      <c r="A68" s="411"/>
      <c r="B68" s="412" t="s">
        <v>881</v>
      </c>
      <c r="L68" s="411"/>
      <c r="M68" s="433"/>
      <c r="N68" s="434"/>
      <c r="O68" s="434"/>
      <c r="P68" s="434"/>
      <c r="Q68" s="434"/>
      <c r="R68" s="434"/>
      <c r="S68" s="434"/>
      <c r="T68" s="434"/>
      <c r="U68" s="434"/>
      <c r="V68" s="434"/>
      <c r="W68" s="434"/>
      <c r="X68" s="432"/>
    </row>
    <row r="69" spans="1:24" ht="14.25">
      <c r="A69" s="411"/>
      <c r="B69" s="412" t="s">
        <v>882</v>
      </c>
      <c r="L69" s="411"/>
      <c r="M69" s="432"/>
      <c r="N69" s="432"/>
      <c r="O69" s="432"/>
      <c r="P69" s="432"/>
      <c r="Q69" s="432"/>
      <c r="R69" s="432"/>
      <c r="S69" s="432"/>
      <c r="T69" s="432"/>
      <c r="U69" s="432"/>
      <c r="V69" s="432"/>
      <c r="W69" s="432"/>
      <c r="X69" s="432"/>
    </row>
    <row r="70" spans="1:24" ht="14.25">
      <c r="A70" s="411"/>
      <c r="B70" s="412" t="s">
        <v>883</v>
      </c>
      <c r="L70" s="411"/>
      <c r="M70" s="432"/>
      <c r="N70" s="432"/>
      <c r="O70" s="432"/>
      <c r="P70" s="432"/>
      <c r="Q70" s="432"/>
      <c r="R70" s="432"/>
      <c r="S70" s="432"/>
      <c r="T70" s="432"/>
      <c r="U70" s="432"/>
      <c r="V70" s="432"/>
      <c r="W70" s="432"/>
      <c r="X70" s="432"/>
    </row>
    <row r="71" spans="1:12" ht="15" thickBot="1">
      <c r="A71" s="411"/>
      <c r="B71" s="420"/>
      <c r="C71" s="420"/>
      <c r="D71" s="420"/>
      <c r="E71" s="420"/>
      <c r="F71" s="420"/>
      <c r="G71" s="420"/>
      <c r="H71" s="420"/>
      <c r="I71" s="420"/>
      <c r="J71" s="420"/>
      <c r="K71" s="420"/>
      <c r="L71" s="411"/>
    </row>
    <row r="72" spans="1:12" ht="14.25">
      <c r="A72" s="411"/>
      <c r="B72" s="416" t="s">
        <v>851</v>
      </c>
      <c r="C72" s="417"/>
      <c r="D72" s="417"/>
      <c r="E72" s="417"/>
      <c r="F72" s="417"/>
      <c r="G72" s="417"/>
      <c r="H72" s="417"/>
      <c r="I72" s="417"/>
      <c r="J72" s="417"/>
      <c r="K72" s="418"/>
      <c r="L72" s="435"/>
    </row>
    <row r="73" spans="1:12" ht="14.25">
      <c r="A73" s="411"/>
      <c r="B73" s="428"/>
      <c r="C73" s="420" t="s">
        <v>859</v>
      </c>
      <c r="D73" s="420"/>
      <c r="E73" s="420"/>
      <c r="F73" s="420"/>
      <c r="G73" s="420"/>
      <c r="H73" s="420"/>
      <c r="I73" s="420"/>
      <c r="J73" s="420"/>
      <c r="K73" s="422"/>
      <c r="L73" s="435"/>
    </row>
    <row r="74" spans="1:12" ht="14.25">
      <c r="A74" s="411"/>
      <c r="B74" s="428" t="s">
        <v>884</v>
      </c>
      <c r="C74" s="624">
        <v>133685008</v>
      </c>
      <c r="D74" s="624"/>
      <c r="E74" s="517" t="s">
        <v>858</v>
      </c>
      <c r="F74" s="517">
        <v>1000</v>
      </c>
      <c r="G74" s="517" t="s">
        <v>857</v>
      </c>
      <c r="H74" s="515">
        <f>C74/F74</f>
        <v>133685.008</v>
      </c>
      <c r="I74" s="420" t="s">
        <v>885</v>
      </c>
      <c r="J74" s="420"/>
      <c r="K74" s="422"/>
      <c r="L74" s="435"/>
    </row>
    <row r="75" spans="1:12" ht="14.25">
      <c r="A75" s="411"/>
      <c r="B75" s="428"/>
      <c r="C75" s="420"/>
      <c r="D75" s="420"/>
      <c r="E75" s="517"/>
      <c r="F75" s="420"/>
      <c r="G75" s="420"/>
      <c r="H75" s="420"/>
      <c r="I75" s="420"/>
      <c r="J75" s="420"/>
      <c r="K75" s="422"/>
      <c r="L75" s="435"/>
    </row>
    <row r="76" spans="1:12" ht="14.25">
      <c r="A76" s="411"/>
      <c r="B76" s="428"/>
      <c r="C76" s="420" t="s">
        <v>886</v>
      </c>
      <c r="D76" s="420"/>
      <c r="E76" s="517"/>
      <c r="F76" s="420" t="s">
        <v>885</v>
      </c>
      <c r="G76" s="420"/>
      <c r="H76" s="420"/>
      <c r="I76" s="420"/>
      <c r="J76" s="420"/>
      <c r="K76" s="422"/>
      <c r="L76" s="435"/>
    </row>
    <row r="77" spans="1:12" ht="14.25">
      <c r="A77" s="411"/>
      <c r="B77" s="428" t="s">
        <v>889</v>
      </c>
      <c r="C77" s="624">
        <v>5000</v>
      </c>
      <c r="D77" s="624"/>
      <c r="E77" s="517" t="s">
        <v>858</v>
      </c>
      <c r="F77" s="515">
        <f>H74</f>
        <v>133685.008</v>
      </c>
      <c r="G77" s="517" t="s">
        <v>857</v>
      </c>
      <c r="H77" s="430">
        <f>C77/F77</f>
        <v>0.03740135169083432</v>
      </c>
      <c r="I77" s="420" t="s">
        <v>887</v>
      </c>
      <c r="J77" s="420"/>
      <c r="K77" s="422"/>
      <c r="L77" s="435"/>
    </row>
    <row r="78" spans="1:12" ht="14.25">
      <c r="A78" s="411"/>
      <c r="B78" s="428"/>
      <c r="C78" s="420"/>
      <c r="D78" s="420"/>
      <c r="E78" s="517"/>
      <c r="F78" s="420"/>
      <c r="G78" s="420"/>
      <c r="H78" s="420"/>
      <c r="I78" s="420"/>
      <c r="J78" s="420"/>
      <c r="K78" s="422"/>
      <c r="L78" s="435"/>
    </row>
    <row r="79" spans="1:12" ht="14.25">
      <c r="A79" s="411"/>
      <c r="B79" s="436"/>
      <c r="C79" s="437" t="s">
        <v>888</v>
      </c>
      <c r="D79" s="437"/>
      <c r="E79" s="516"/>
      <c r="F79" s="437"/>
      <c r="G79" s="437"/>
      <c r="H79" s="437"/>
      <c r="I79" s="437"/>
      <c r="J79" s="437"/>
      <c r="K79" s="438"/>
      <c r="L79" s="435"/>
    </row>
    <row r="80" spans="1:12" ht="14.25">
      <c r="A80" s="411"/>
      <c r="B80" s="428" t="s">
        <v>652</v>
      </c>
      <c r="C80" s="624">
        <v>100000</v>
      </c>
      <c r="D80" s="624"/>
      <c r="E80" s="517" t="s">
        <v>251</v>
      </c>
      <c r="F80" s="517">
        <v>0.115</v>
      </c>
      <c r="G80" s="517" t="s">
        <v>857</v>
      </c>
      <c r="H80" s="515">
        <f>C80*F80</f>
        <v>11500</v>
      </c>
      <c r="I80" s="420" t="s">
        <v>890</v>
      </c>
      <c r="J80" s="420"/>
      <c r="K80" s="422"/>
      <c r="L80" s="435"/>
    </row>
    <row r="81" spans="1:12" ht="14.25">
      <c r="A81" s="411"/>
      <c r="B81" s="428"/>
      <c r="C81" s="420"/>
      <c r="D81" s="420"/>
      <c r="E81" s="517"/>
      <c r="F81" s="420"/>
      <c r="G81" s="420"/>
      <c r="H81" s="420"/>
      <c r="I81" s="420"/>
      <c r="J81" s="420"/>
      <c r="K81" s="422"/>
      <c r="L81" s="435"/>
    </row>
    <row r="82" spans="1:12" ht="14.25">
      <c r="A82" s="411"/>
      <c r="B82" s="436"/>
      <c r="C82" s="437" t="s">
        <v>891</v>
      </c>
      <c r="D82" s="437"/>
      <c r="E82" s="516"/>
      <c r="F82" s="437" t="s">
        <v>887</v>
      </c>
      <c r="G82" s="437"/>
      <c r="H82" s="437"/>
      <c r="I82" s="437"/>
      <c r="J82" s="437" t="s">
        <v>892</v>
      </c>
      <c r="K82" s="438"/>
      <c r="L82" s="435"/>
    </row>
    <row r="83" spans="1:12" ht="14.25">
      <c r="A83" s="411"/>
      <c r="B83" s="428" t="s">
        <v>653</v>
      </c>
      <c r="C83" s="622">
        <f>H80</f>
        <v>11500</v>
      </c>
      <c r="D83" s="622"/>
      <c r="E83" s="517" t="s">
        <v>251</v>
      </c>
      <c r="F83" s="430">
        <f>H77</f>
        <v>0.03740135169083432</v>
      </c>
      <c r="G83" s="517" t="s">
        <v>858</v>
      </c>
      <c r="H83" s="517">
        <v>1000</v>
      </c>
      <c r="I83" s="517" t="s">
        <v>857</v>
      </c>
      <c r="J83" s="439">
        <f>C83*F83/H83</f>
        <v>0.43011554444459466</v>
      </c>
      <c r="K83" s="422"/>
      <c r="L83" s="435"/>
    </row>
    <row r="84" spans="1:12" ht="15" thickBot="1">
      <c r="A84" s="411"/>
      <c r="B84" s="423"/>
      <c r="C84" s="440"/>
      <c r="D84" s="440"/>
      <c r="E84" s="441"/>
      <c r="F84" s="442"/>
      <c r="G84" s="441"/>
      <c r="H84" s="441"/>
      <c r="I84" s="441"/>
      <c r="J84" s="443"/>
      <c r="K84" s="425"/>
      <c r="L84" s="435"/>
    </row>
    <row r="85" spans="1:12" ht="40.5" customHeight="1">
      <c r="A85" s="411"/>
      <c r="B85" s="625" t="s">
        <v>847</v>
      </c>
      <c r="C85" s="625"/>
      <c r="D85" s="625"/>
      <c r="E85" s="625"/>
      <c r="F85" s="625"/>
      <c r="G85" s="625"/>
      <c r="H85" s="625"/>
      <c r="I85" s="625"/>
      <c r="J85" s="625"/>
      <c r="K85" s="625"/>
      <c r="L85" s="411"/>
    </row>
    <row r="86" spans="1:12" ht="14.25">
      <c r="A86" s="411"/>
      <c r="B86" s="633" t="s">
        <v>893</v>
      </c>
      <c r="C86" s="633"/>
      <c r="D86" s="633"/>
      <c r="E86" s="633"/>
      <c r="F86" s="633"/>
      <c r="G86" s="633"/>
      <c r="H86" s="633"/>
      <c r="I86" s="633"/>
      <c r="J86" s="633"/>
      <c r="K86" s="633"/>
      <c r="L86" s="411"/>
    </row>
    <row r="87" spans="1:12" ht="14.25">
      <c r="A87" s="411"/>
      <c r="B87" s="444"/>
      <c r="C87" s="444"/>
      <c r="D87" s="444"/>
      <c r="E87" s="444"/>
      <c r="F87" s="444"/>
      <c r="G87" s="444"/>
      <c r="H87" s="444"/>
      <c r="I87" s="444"/>
      <c r="J87" s="444"/>
      <c r="K87" s="444"/>
      <c r="L87" s="411"/>
    </row>
    <row r="88" spans="1:12" ht="14.25">
      <c r="A88" s="411"/>
      <c r="B88" s="633" t="s">
        <v>894</v>
      </c>
      <c r="C88" s="633"/>
      <c r="D88" s="633"/>
      <c r="E88" s="633"/>
      <c r="F88" s="633"/>
      <c r="G88" s="633"/>
      <c r="H88" s="633"/>
      <c r="I88" s="633"/>
      <c r="J88" s="633"/>
      <c r="K88" s="633"/>
      <c r="L88" s="411"/>
    </row>
    <row r="89" spans="1:12" ht="14.25">
      <c r="A89" s="411"/>
      <c r="B89" s="510"/>
      <c r="C89" s="510"/>
      <c r="D89" s="510"/>
      <c r="E89" s="510"/>
      <c r="F89" s="510"/>
      <c r="G89" s="510"/>
      <c r="H89" s="510"/>
      <c r="I89" s="510"/>
      <c r="J89" s="510"/>
      <c r="K89" s="510"/>
      <c r="L89" s="411"/>
    </row>
    <row r="90" spans="1:12" ht="45" customHeight="1">
      <c r="A90" s="411"/>
      <c r="B90" s="634" t="s">
        <v>895</v>
      </c>
      <c r="C90" s="634"/>
      <c r="D90" s="634"/>
      <c r="E90" s="634"/>
      <c r="F90" s="634"/>
      <c r="G90" s="634"/>
      <c r="H90" s="634"/>
      <c r="I90" s="634"/>
      <c r="J90" s="634"/>
      <c r="K90" s="634"/>
      <c r="L90" s="411"/>
    </row>
    <row r="91" spans="1:12" ht="15" customHeight="1" thickBot="1">
      <c r="A91" s="411"/>
      <c r="L91" s="411"/>
    </row>
    <row r="92" spans="1:12" ht="15" customHeight="1">
      <c r="A92" s="411"/>
      <c r="B92" s="445" t="s">
        <v>851</v>
      </c>
      <c r="C92" s="446"/>
      <c r="D92" s="446"/>
      <c r="E92" s="446"/>
      <c r="F92" s="446"/>
      <c r="G92" s="446"/>
      <c r="H92" s="446"/>
      <c r="I92" s="446"/>
      <c r="J92" s="446"/>
      <c r="K92" s="447"/>
      <c r="L92" s="411"/>
    </row>
    <row r="93" spans="1:12" ht="15" customHeight="1">
      <c r="A93" s="411"/>
      <c r="B93" s="448"/>
      <c r="C93" s="513" t="s">
        <v>859</v>
      </c>
      <c r="D93" s="513"/>
      <c r="E93" s="513"/>
      <c r="F93" s="513"/>
      <c r="G93" s="513"/>
      <c r="H93" s="513"/>
      <c r="I93" s="513"/>
      <c r="J93" s="513"/>
      <c r="K93" s="449"/>
      <c r="L93" s="411"/>
    </row>
    <row r="94" spans="1:12" ht="15" customHeight="1">
      <c r="A94" s="411"/>
      <c r="B94" s="448" t="s">
        <v>884</v>
      </c>
      <c r="C94" s="624">
        <v>133685008</v>
      </c>
      <c r="D94" s="624"/>
      <c r="E94" s="517" t="s">
        <v>858</v>
      </c>
      <c r="F94" s="517">
        <v>1000</v>
      </c>
      <c r="G94" s="517" t="s">
        <v>857</v>
      </c>
      <c r="H94" s="515">
        <f>C94/F94</f>
        <v>133685.008</v>
      </c>
      <c r="I94" s="513" t="s">
        <v>885</v>
      </c>
      <c r="J94" s="513"/>
      <c r="K94" s="449"/>
      <c r="L94" s="411"/>
    </row>
    <row r="95" spans="1:12" ht="15" customHeight="1">
      <c r="A95" s="411"/>
      <c r="B95" s="448"/>
      <c r="C95" s="513"/>
      <c r="D95" s="513"/>
      <c r="E95" s="517"/>
      <c r="F95" s="513"/>
      <c r="G95" s="513"/>
      <c r="H95" s="513"/>
      <c r="I95" s="513"/>
      <c r="J95" s="513"/>
      <c r="K95" s="449"/>
      <c r="L95" s="411"/>
    </row>
    <row r="96" spans="1:12" ht="15" customHeight="1">
      <c r="A96" s="411"/>
      <c r="B96" s="448"/>
      <c r="C96" s="513" t="s">
        <v>886</v>
      </c>
      <c r="D96" s="513"/>
      <c r="E96" s="517"/>
      <c r="F96" s="513" t="s">
        <v>885</v>
      </c>
      <c r="G96" s="513"/>
      <c r="H96" s="513"/>
      <c r="I96" s="513"/>
      <c r="J96" s="513"/>
      <c r="K96" s="449"/>
      <c r="L96" s="411"/>
    </row>
    <row r="97" spans="1:12" ht="15" customHeight="1">
      <c r="A97" s="411"/>
      <c r="B97" s="448" t="s">
        <v>889</v>
      </c>
      <c r="C97" s="624">
        <v>50000</v>
      </c>
      <c r="D97" s="624"/>
      <c r="E97" s="517" t="s">
        <v>858</v>
      </c>
      <c r="F97" s="515">
        <f>H94</f>
        <v>133685.008</v>
      </c>
      <c r="G97" s="517" t="s">
        <v>857</v>
      </c>
      <c r="H97" s="430">
        <f>C97/F97</f>
        <v>0.3740135169083432</v>
      </c>
      <c r="I97" s="513" t="s">
        <v>887</v>
      </c>
      <c r="J97" s="513"/>
      <c r="K97" s="449"/>
      <c r="L97" s="411"/>
    </row>
    <row r="98" spans="1:12" ht="15" customHeight="1">
      <c r="A98" s="411"/>
      <c r="B98" s="448"/>
      <c r="C98" s="513"/>
      <c r="D98" s="513"/>
      <c r="E98" s="517"/>
      <c r="F98" s="513"/>
      <c r="G98" s="513"/>
      <c r="H98" s="513"/>
      <c r="I98" s="513"/>
      <c r="J98" s="513"/>
      <c r="K98" s="449"/>
      <c r="L98" s="411"/>
    </row>
    <row r="99" spans="1:12" ht="15" customHeight="1">
      <c r="A99" s="411"/>
      <c r="B99" s="450"/>
      <c r="C99" s="451" t="s">
        <v>896</v>
      </c>
      <c r="D99" s="451"/>
      <c r="E99" s="516"/>
      <c r="F99" s="451"/>
      <c r="G99" s="451"/>
      <c r="H99" s="451"/>
      <c r="I99" s="451"/>
      <c r="J99" s="451"/>
      <c r="K99" s="452"/>
      <c r="L99" s="411"/>
    </row>
    <row r="100" spans="1:12" ht="15" customHeight="1">
      <c r="A100" s="411"/>
      <c r="B100" s="448" t="s">
        <v>652</v>
      </c>
      <c r="C100" s="624">
        <v>2500000</v>
      </c>
      <c r="D100" s="624"/>
      <c r="E100" s="517" t="s">
        <v>251</v>
      </c>
      <c r="F100" s="453">
        <v>0.3</v>
      </c>
      <c r="G100" s="517" t="s">
        <v>857</v>
      </c>
      <c r="H100" s="515">
        <f>C100*F100</f>
        <v>750000</v>
      </c>
      <c r="I100" s="513" t="s">
        <v>890</v>
      </c>
      <c r="J100" s="513"/>
      <c r="K100" s="449"/>
      <c r="L100" s="411"/>
    </row>
    <row r="101" spans="1:12" ht="15" customHeight="1">
      <c r="A101" s="411"/>
      <c r="B101" s="448"/>
      <c r="C101" s="513"/>
      <c r="D101" s="513"/>
      <c r="E101" s="517"/>
      <c r="F101" s="513"/>
      <c r="G101" s="513"/>
      <c r="H101" s="513"/>
      <c r="I101" s="513"/>
      <c r="J101" s="513"/>
      <c r="K101" s="449"/>
      <c r="L101" s="411"/>
    </row>
    <row r="102" spans="1:12" ht="15" customHeight="1">
      <c r="A102" s="411"/>
      <c r="B102" s="450"/>
      <c r="C102" s="451" t="s">
        <v>891</v>
      </c>
      <c r="D102" s="451"/>
      <c r="E102" s="516"/>
      <c r="F102" s="451" t="s">
        <v>887</v>
      </c>
      <c r="G102" s="451"/>
      <c r="H102" s="451"/>
      <c r="I102" s="451"/>
      <c r="J102" s="451" t="s">
        <v>892</v>
      </c>
      <c r="K102" s="452"/>
      <c r="L102" s="411"/>
    </row>
    <row r="103" spans="1:12" ht="15" customHeight="1">
      <c r="A103" s="411"/>
      <c r="B103" s="448" t="s">
        <v>653</v>
      </c>
      <c r="C103" s="622">
        <f>H100</f>
        <v>750000</v>
      </c>
      <c r="D103" s="622"/>
      <c r="E103" s="517" t="s">
        <v>251</v>
      </c>
      <c r="F103" s="430">
        <f>H97</f>
        <v>0.3740135169083432</v>
      </c>
      <c r="G103" s="517" t="s">
        <v>858</v>
      </c>
      <c r="H103" s="517">
        <v>1000</v>
      </c>
      <c r="I103" s="517" t="s">
        <v>857</v>
      </c>
      <c r="J103" s="439">
        <f>C103*F103/H103</f>
        <v>280.51013768125745</v>
      </c>
      <c r="K103" s="449"/>
      <c r="L103" s="411"/>
    </row>
    <row r="104" spans="1:12" ht="15" customHeight="1" thickBot="1">
      <c r="A104" s="411"/>
      <c r="B104" s="454"/>
      <c r="C104" s="440"/>
      <c r="D104" s="440"/>
      <c r="E104" s="441"/>
      <c r="F104" s="442"/>
      <c r="G104" s="441"/>
      <c r="H104" s="441"/>
      <c r="I104" s="441"/>
      <c r="J104" s="443"/>
      <c r="K104" s="514"/>
      <c r="L104" s="411"/>
    </row>
    <row r="105" spans="1:12" ht="40.5" customHeight="1">
      <c r="A105" s="411"/>
      <c r="B105" s="625" t="s">
        <v>847</v>
      </c>
      <c r="C105" s="626"/>
      <c r="D105" s="626"/>
      <c r="E105" s="626"/>
      <c r="F105" s="626"/>
      <c r="G105" s="626"/>
      <c r="H105" s="626"/>
      <c r="I105" s="626"/>
      <c r="J105" s="626"/>
      <c r="K105" s="626"/>
      <c r="L105" s="411"/>
    </row>
    <row r="106" spans="1:12" ht="15" customHeight="1">
      <c r="A106" s="411"/>
      <c r="B106" s="629" t="s">
        <v>897</v>
      </c>
      <c r="C106" s="630"/>
      <c r="D106" s="630"/>
      <c r="E106" s="630"/>
      <c r="F106" s="630"/>
      <c r="G106" s="630"/>
      <c r="H106" s="630"/>
      <c r="I106" s="630"/>
      <c r="J106" s="630"/>
      <c r="K106" s="630"/>
      <c r="L106" s="411"/>
    </row>
    <row r="107" spans="1:12" ht="15" customHeight="1">
      <c r="A107" s="411"/>
      <c r="B107" s="513"/>
      <c r="C107" s="455"/>
      <c r="D107" s="455"/>
      <c r="E107" s="517"/>
      <c r="F107" s="430"/>
      <c r="G107" s="517"/>
      <c r="H107" s="517"/>
      <c r="I107" s="517"/>
      <c r="J107" s="439"/>
      <c r="K107" s="513"/>
      <c r="L107" s="411"/>
    </row>
    <row r="108" spans="1:12" ht="15" customHeight="1">
      <c r="A108" s="411"/>
      <c r="B108" s="629" t="s">
        <v>898</v>
      </c>
      <c r="C108" s="631"/>
      <c r="D108" s="631"/>
      <c r="E108" s="631"/>
      <c r="F108" s="631"/>
      <c r="G108" s="631"/>
      <c r="H108" s="631"/>
      <c r="I108" s="631"/>
      <c r="J108" s="631"/>
      <c r="K108" s="631"/>
      <c r="L108" s="411"/>
    </row>
    <row r="109" spans="1:12" ht="15" customHeight="1">
      <c r="A109" s="411"/>
      <c r="B109" s="513"/>
      <c r="C109" s="455"/>
      <c r="D109" s="455"/>
      <c r="E109" s="517"/>
      <c r="F109" s="430"/>
      <c r="G109" s="517"/>
      <c r="H109" s="517"/>
      <c r="I109" s="517"/>
      <c r="J109" s="439"/>
      <c r="K109" s="513"/>
      <c r="L109" s="411"/>
    </row>
    <row r="110" spans="1:12" ht="59.25" customHeight="1">
      <c r="A110" s="411"/>
      <c r="B110" s="627" t="s">
        <v>899</v>
      </c>
      <c r="C110" s="628"/>
      <c r="D110" s="628"/>
      <c r="E110" s="628"/>
      <c r="F110" s="628"/>
      <c r="G110" s="628"/>
      <c r="H110" s="628"/>
      <c r="I110" s="628"/>
      <c r="J110" s="628"/>
      <c r="K110" s="628"/>
      <c r="L110" s="411"/>
    </row>
    <row r="111" spans="1:12" ht="15" thickBot="1">
      <c r="A111" s="411"/>
      <c r="B111" s="511"/>
      <c r="C111" s="511"/>
      <c r="D111" s="511"/>
      <c r="E111" s="511"/>
      <c r="F111" s="511"/>
      <c r="G111" s="511"/>
      <c r="H111" s="511"/>
      <c r="I111" s="511"/>
      <c r="J111" s="511"/>
      <c r="K111" s="511"/>
      <c r="L111" s="456"/>
    </row>
    <row r="112" spans="1:12" ht="14.25">
      <c r="A112" s="411"/>
      <c r="B112" s="416" t="s">
        <v>851</v>
      </c>
      <c r="C112" s="417"/>
      <c r="D112" s="417"/>
      <c r="E112" s="417"/>
      <c r="F112" s="417"/>
      <c r="G112" s="417"/>
      <c r="H112" s="417"/>
      <c r="I112" s="417"/>
      <c r="J112" s="417"/>
      <c r="K112" s="418"/>
      <c r="L112" s="411"/>
    </row>
    <row r="113" spans="1:12" ht="14.25">
      <c r="A113" s="411"/>
      <c r="B113" s="428"/>
      <c r="C113" s="420" t="s">
        <v>859</v>
      </c>
      <c r="D113" s="420"/>
      <c r="E113" s="420"/>
      <c r="F113" s="420"/>
      <c r="G113" s="420"/>
      <c r="H113" s="420"/>
      <c r="I113" s="420"/>
      <c r="J113" s="420"/>
      <c r="K113" s="422"/>
      <c r="L113" s="411"/>
    </row>
    <row r="114" spans="1:12" ht="14.25">
      <c r="A114" s="411"/>
      <c r="B114" s="428" t="s">
        <v>884</v>
      </c>
      <c r="C114" s="624">
        <v>133685008</v>
      </c>
      <c r="D114" s="624"/>
      <c r="E114" s="517" t="s">
        <v>858</v>
      </c>
      <c r="F114" s="517">
        <v>1000</v>
      </c>
      <c r="G114" s="517" t="s">
        <v>857</v>
      </c>
      <c r="H114" s="515">
        <f>C114/F114</f>
        <v>133685.008</v>
      </c>
      <c r="I114" s="420" t="s">
        <v>885</v>
      </c>
      <c r="J114" s="420"/>
      <c r="K114" s="422"/>
      <c r="L114" s="411"/>
    </row>
    <row r="115" spans="1:12" ht="14.25">
      <c r="A115" s="411"/>
      <c r="B115" s="428"/>
      <c r="C115" s="420"/>
      <c r="D115" s="420"/>
      <c r="E115" s="517"/>
      <c r="F115" s="420"/>
      <c r="G115" s="420"/>
      <c r="H115" s="420"/>
      <c r="I115" s="420"/>
      <c r="J115" s="420"/>
      <c r="K115" s="422"/>
      <c r="L115" s="411"/>
    </row>
    <row r="116" spans="1:12" ht="14.25">
      <c r="A116" s="411"/>
      <c r="B116" s="428"/>
      <c r="C116" s="420" t="s">
        <v>886</v>
      </c>
      <c r="D116" s="420"/>
      <c r="E116" s="517"/>
      <c r="F116" s="420" t="s">
        <v>885</v>
      </c>
      <c r="G116" s="420"/>
      <c r="H116" s="420"/>
      <c r="I116" s="420"/>
      <c r="J116" s="420"/>
      <c r="K116" s="422"/>
      <c r="L116" s="411"/>
    </row>
    <row r="117" spans="1:12" ht="14.25">
      <c r="A117" s="411"/>
      <c r="B117" s="428" t="s">
        <v>889</v>
      </c>
      <c r="C117" s="624">
        <v>50000</v>
      </c>
      <c r="D117" s="624"/>
      <c r="E117" s="517" t="s">
        <v>858</v>
      </c>
      <c r="F117" s="515">
        <f>H114</f>
        <v>133685.008</v>
      </c>
      <c r="G117" s="517" t="s">
        <v>857</v>
      </c>
      <c r="H117" s="430">
        <f>C117/F117</f>
        <v>0.3740135169083432</v>
      </c>
      <c r="I117" s="420" t="s">
        <v>887</v>
      </c>
      <c r="J117" s="420"/>
      <c r="K117" s="422"/>
      <c r="L117" s="411"/>
    </row>
    <row r="118" spans="1:12" ht="14.25">
      <c r="A118" s="411"/>
      <c r="B118" s="428"/>
      <c r="C118" s="420"/>
      <c r="D118" s="420"/>
      <c r="E118" s="517"/>
      <c r="F118" s="420"/>
      <c r="G118" s="420"/>
      <c r="H118" s="420"/>
      <c r="I118" s="420"/>
      <c r="J118" s="420"/>
      <c r="K118" s="422"/>
      <c r="L118" s="411"/>
    </row>
    <row r="119" spans="1:12" ht="14.25">
      <c r="A119" s="411"/>
      <c r="B119" s="436"/>
      <c r="C119" s="437" t="s">
        <v>896</v>
      </c>
      <c r="D119" s="437"/>
      <c r="E119" s="516"/>
      <c r="F119" s="437"/>
      <c r="G119" s="437"/>
      <c r="H119" s="437"/>
      <c r="I119" s="437"/>
      <c r="J119" s="437"/>
      <c r="K119" s="438"/>
      <c r="L119" s="411"/>
    </row>
    <row r="120" spans="1:12" ht="14.25">
      <c r="A120" s="411"/>
      <c r="B120" s="428" t="s">
        <v>652</v>
      </c>
      <c r="C120" s="624">
        <v>2500000</v>
      </c>
      <c r="D120" s="624"/>
      <c r="E120" s="517" t="s">
        <v>251</v>
      </c>
      <c r="F120" s="453">
        <v>0.25</v>
      </c>
      <c r="G120" s="517" t="s">
        <v>857</v>
      </c>
      <c r="H120" s="515">
        <f>C120*F120</f>
        <v>625000</v>
      </c>
      <c r="I120" s="420" t="s">
        <v>890</v>
      </c>
      <c r="J120" s="420"/>
      <c r="K120" s="422"/>
      <c r="L120" s="411"/>
    </row>
    <row r="121" spans="1:12" ht="14.25">
      <c r="A121" s="411"/>
      <c r="B121" s="428"/>
      <c r="C121" s="420"/>
      <c r="D121" s="420"/>
      <c r="E121" s="517"/>
      <c r="F121" s="420"/>
      <c r="G121" s="420"/>
      <c r="H121" s="420"/>
      <c r="I121" s="420"/>
      <c r="J121" s="420"/>
      <c r="K121" s="422"/>
      <c r="L121" s="411"/>
    </row>
    <row r="122" spans="1:12" ht="14.25">
      <c r="A122" s="411"/>
      <c r="B122" s="436"/>
      <c r="C122" s="437" t="s">
        <v>891</v>
      </c>
      <c r="D122" s="437"/>
      <c r="E122" s="516"/>
      <c r="F122" s="437" t="s">
        <v>887</v>
      </c>
      <c r="G122" s="437"/>
      <c r="H122" s="437"/>
      <c r="I122" s="437"/>
      <c r="J122" s="437" t="s">
        <v>892</v>
      </c>
      <c r="K122" s="438"/>
      <c r="L122" s="411"/>
    </row>
    <row r="123" spans="1:12" ht="14.25">
      <c r="A123" s="411"/>
      <c r="B123" s="428" t="s">
        <v>653</v>
      </c>
      <c r="C123" s="622">
        <f>H120</f>
        <v>625000</v>
      </c>
      <c r="D123" s="622"/>
      <c r="E123" s="517" t="s">
        <v>251</v>
      </c>
      <c r="F123" s="430">
        <f>H117</f>
        <v>0.3740135169083432</v>
      </c>
      <c r="G123" s="517" t="s">
        <v>858</v>
      </c>
      <c r="H123" s="517">
        <v>1000</v>
      </c>
      <c r="I123" s="517" t="s">
        <v>857</v>
      </c>
      <c r="J123" s="439">
        <f>C123*F123/H123</f>
        <v>233.7584480677145</v>
      </c>
      <c r="K123" s="422"/>
      <c r="L123" s="411"/>
    </row>
    <row r="124" spans="1:12" ht="15" thickBot="1">
      <c r="A124" s="411"/>
      <c r="B124" s="423"/>
      <c r="C124" s="440"/>
      <c r="D124" s="440"/>
      <c r="E124" s="441"/>
      <c r="F124" s="442"/>
      <c r="G124" s="441"/>
      <c r="H124" s="441"/>
      <c r="I124" s="441"/>
      <c r="J124" s="443"/>
      <c r="K124" s="425"/>
      <c r="L124" s="411"/>
    </row>
    <row r="125" spans="1:12" ht="40.5" customHeight="1">
      <c r="A125" s="411"/>
      <c r="B125" s="625" t="s">
        <v>847</v>
      </c>
      <c r="C125" s="625"/>
      <c r="D125" s="625"/>
      <c r="E125" s="625"/>
      <c r="F125" s="625"/>
      <c r="G125" s="625"/>
      <c r="H125" s="625"/>
      <c r="I125" s="625"/>
      <c r="J125" s="625"/>
      <c r="K125" s="625"/>
      <c r="L125" s="456"/>
    </row>
    <row r="126" spans="1:12" ht="14.25">
      <c r="A126" s="411"/>
      <c r="B126" s="633" t="s">
        <v>900</v>
      </c>
      <c r="C126" s="633"/>
      <c r="D126" s="633"/>
      <c r="E126" s="633"/>
      <c r="F126" s="633"/>
      <c r="G126" s="633"/>
      <c r="H126" s="633"/>
      <c r="I126" s="633"/>
      <c r="J126" s="633"/>
      <c r="K126" s="633"/>
      <c r="L126" s="456"/>
    </row>
    <row r="127" spans="1:12" ht="14.25">
      <c r="A127" s="411"/>
      <c r="B127" s="511"/>
      <c r="C127" s="511"/>
      <c r="D127" s="511"/>
      <c r="E127" s="511"/>
      <c r="F127" s="511"/>
      <c r="G127" s="511"/>
      <c r="H127" s="511"/>
      <c r="I127" s="511"/>
      <c r="J127" s="511"/>
      <c r="K127" s="511"/>
      <c r="L127" s="456"/>
    </row>
    <row r="128" spans="1:12" ht="14.25">
      <c r="A128" s="411"/>
      <c r="B128" s="633" t="s">
        <v>901</v>
      </c>
      <c r="C128" s="633"/>
      <c r="D128" s="633"/>
      <c r="E128" s="633"/>
      <c r="F128" s="633"/>
      <c r="G128" s="633"/>
      <c r="H128" s="633"/>
      <c r="I128" s="633"/>
      <c r="J128" s="633"/>
      <c r="K128" s="633"/>
      <c r="L128" s="456"/>
    </row>
    <row r="129" spans="1:12" ht="14.25">
      <c r="A129" s="411"/>
      <c r="B129" s="510"/>
      <c r="C129" s="510"/>
      <c r="D129" s="510"/>
      <c r="E129" s="510"/>
      <c r="F129" s="510"/>
      <c r="G129" s="510"/>
      <c r="H129" s="510"/>
      <c r="I129" s="510"/>
      <c r="J129" s="510"/>
      <c r="K129" s="510"/>
      <c r="L129" s="456"/>
    </row>
    <row r="130" spans="1:12" ht="74.25" customHeight="1">
      <c r="A130" s="411"/>
      <c r="B130" s="634" t="s">
        <v>654</v>
      </c>
      <c r="C130" s="634"/>
      <c r="D130" s="634"/>
      <c r="E130" s="634"/>
      <c r="F130" s="634"/>
      <c r="G130" s="634"/>
      <c r="H130" s="634"/>
      <c r="I130" s="634"/>
      <c r="J130" s="634"/>
      <c r="K130" s="634"/>
      <c r="L130" s="456"/>
    </row>
    <row r="131" spans="1:12" ht="15" thickBot="1">
      <c r="A131" s="411"/>
      <c r="L131" s="411"/>
    </row>
    <row r="132" spans="1:12" ht="14.25">
      <c r="A132" s="411"/>
      <c r="B132" s="416" t="s">
        <v>851</v>
      </c>
      <c r="C132" s="417"/>
      <c r="D132" s="417"/>
      <c r="E132" s="417"/>
      <c r="F132" s="417"/>
      <c r="G132" s="417"/>
      <c r="H132" s="417"/>
      <c r="I132" s="417"/>
      <c r="J132" s="417"/>
      <c r="K132" s="418"/>
      <c r="L132" s="411"/>
    </row>
    <row r="133" spans="1:12" ht="14.25">
      <c r="A133" s="411"/>
      <c r="B133" s="428"/>
      <c r="C133" s="623" t="s">
        <v>902</v>
      </c>
      <c r="D133" s="623"/>
      <c r="E133" s="420"/>
      <c r="F133" s="517" t="s">
        <v>903</v>
      </c>
      <c r="G133" s="420"/>
      <c r="H133" s="623" t="s">
        <v>890</v>
      </c>
      <c r="I133" s="623"/>
      <c r="J133" s="420"/>
      <c r="K133" s="422"/>
      <c r="L133" s="411"/>
    </row>
    <row r="134" spans="1:12" ht="14.25">
      <c r="A134" s="411"/>
      <c r="B134" s="428" t="s">
        <v>884</v>
      </c>
      <c r="C134" s="624">
        <v>100000</v>
      </c>
      <c r="D134" s="624"/>
      <c r="E134" s="517" t="s">
        <v>251</v>
      </c>
      <c r="F134" s="517">
        <v>0.115</v>
      </c>
      <c r="G134" s="517" t="s">
        <v>857</v>
      </c>
      <c r="H134" s="617">
        <f>C134*F134</f>
        <v>11500</v>
      </c>
      <c r="I134" s="617"/>
      <c r="J134" s="420"/>
      <c r="K134" s="422"/>
      <c r="L134" s="411"/>
    </row>
    <row r="135" spans="1:12" ht="14.25">
      <c r="A135" s="411"/>
      <c r="B135" s="428"/>
      <c r="C135" s="420"/>
      <c r="D135" s="420"/>
      <c r="E135" s="420"/>
      <c r="F135" s="420"/>
      <c r="G135" s="420"/>
      <c r="H135" s="420"/>
      <c r="I135" s="420"/>
      <c r="J135" s="420"/>
      <c r="K135" s="422"/>
      <c r="L135" s="411"/>
    </row>
    <row r="136" spans="1:12" ht="14.25">
      <c r="A136" s="411"/>
      <c r="B136" s="436"/>
      <c r="C136" s="632" t="s">
        <v>890</v>
      </c>
      <c r="D136" s="632"/>
      <c r="E136" s="437"/>
      <c r="F136" s="516" t="s">
        <v>904</v>
      </c>
      <c r="G136" s="516"/>
      <c r="H136" s="437"/>
      <c r="I136" s="437"/>
      <c r="J136" s="437" t="s">
        <v>905</v>
      </c>
      <c r="K136" s="438"/>
      <c r="L136" s="411"/>
    </row>
    <row r="137" spans="1:12" ht="14.25">
      <c r="A137" s="411"/>
      <c r="B137" s="428" t="s">
        <v>889</v>
      </c>
      <c r="C137" s="617">
        <f>H134</f>
        <v>11500</v>
      </c>
      <c r="D137" s="617"/>
      <c r="E137" s="517" t="s">
        <v>251</v>
      </c>
      <c r="F137" s="457">
        <v>52.869</v>
      </c>
      <c r="G137" s="517" t="s">
        <v>858</v>
      </c>
      <c r="H137" s="517">
        <v>1000</v>
      </c>
      <c r="I137" s="517" t="s">
        <v>857</v>
      </c>
      <c r="J137" s="458">
        <f>C137*F137/H137</f>
        <v>607.9935</v>
      </c>
      <c r="K137" s="422"/>
      <c r="L137" s="411"/>
    </row>
    <row r="138" spans="1:12" ht="15" thickBot="1">
      <c r="A138" s="411"/>
      <c r="B138" s="423"/>
      <c r="C138" s="536"/>
      <c r="D138" s="536"/>
      <c r="E138" s="441"/>
      <c r="F138" s="537"/>
      <c r="G138" s="441"/>
      <c r="H138" s="441"/>
      <c r="I138" s="441"/>
      <c r="J138" s="538"/>
      <c r="K138" s="425"/>
      <c r="L138" s="411"/>
    </row>
    <row r="139" spans="1:12" ht="40.5" customHeight="1">
      <c r="A139" s="411"/>
      <c r="B139" s="523" t="s">
        <v>847</v>
      </c>
      <c r="C139" s="524"/>
      <c r="D139" s="524"/>
      <c r="E139" s="525"/>
      <c r="F139" s="526"/>
      <c r="G139" s="525"/>
      <c r="H139" s="525"/>
      <c r="I139" s="525"/>
      <c r="J139" s="527"/>
      <c r="K139" s="528"/>
      <c r="L139" s="411"/>
    </row>
    <row r="140" spans="1:12" ht="14.25">
      <c r="A140" s="411"/>
      <c r="B140" s="529" t="s">
        <v>655</v>
      </c>
      <c r="C140" s="530"/>
      <c r="D140" s="530"/>
      <c r="E140" s="531"/>
      <c r="F140" s="532"/>
      <c r="G140" s="531"/>
      <c r="H140" s="531"/>
      <c r="I140" s="531"/>
      <c r="J140" s="533"/>
      <c r="K140" s="534"/>
      <c r="L140" s="411"/>
    </row>
    <row r="141" spans="1:12" ht="14.25">
      <c r="A141" s="411"/>
      <c r="B141" s="428"/>
      <c r="C141" s="515"/>
      <c r="D141" s="515"/>
      <c r="E141" s="517"/>
      <c r="F141" s="539"/>
      <c r="G141" s="517"/>
      <c r="H141" s="517"/>
      <c r="I141" s="517"/>
      <c r="J141" s="458"/>
      <c r="K141" s="422"/>
      <c r="L141" s="411"/>
    </row>
    <row r="142" spans="1:12" ht="14.25">
      <c r="A142" s="411"/>
      <c r="B142" s="529" t="s">
        <v>656</v>
      </c>
      <c r="C142" s="530"/>
      <c r="D142" s="530"/>
      <c r="E142" s="531"/>
      <c r="F142" s="532"/>
      <c r="G142" s="531"/>
      <c r="H142" s="531"/>
      <c r="I142" s="531"/>
      <c r="J142" s="533"/>
      <c r="K142" s="534"/>
      <c r="L142" s="411"/>
    </row>
    <row r="143" spans="1:12" ht="14.25">
      <c r="A143" s="411"/>
      <c r="B143" s="428"/>
      <c r="C143" s="515"/>
      <c r="D143" s="515"/>
      <c r="E143" s="517"/>
      <c r="F143" s="539"/>
      <c r="G143" s="517"/>
      <c r="H143" s="517"/>
      <c r="I143" s="517"/>
      <c r="J143" s="458"/>
      <c r="K143" s="422"/>
      <c r="L143" s="411"/>
    </row>
    <row r="144" spans="1:12" ht="76.5" customHeight="1">
      <c r="A144" s="411"/>
      <c r="B144" s="614" t="s">
        <v>657</v>
      </c>
      <c r="C144" s="615"/>
      <c r="D144" s="615"/>
      <c r="E144" s="615"/>
      <c r="F144" s="615"/>
      <c r="G144" s="615"/>
      <c r="H144" s="615"/>
      <c r="I144" s="615"/>
      <c r="J144" s="615"/>
      <c r="K144" s="616"/>
      <c r="L144" s="411"/>
    </row>
    <row r="145" spans="1:12" ht="15" thickBot="1">
      <c r="A145" s="411"/>
      <c r="B145" s="428"/>
      <c r="C145" s="515"/>
      <c r="D145" s="515"/>
      <c r="E145" s="517"/>
      <c r="F145" s="539"/>
      <c r="G145" s="517"/>
      <c r="H145" s="517"/>
      <c r="I145" s="517"/>
      <c r="J145" s="458"/>
      <c r="K145" s="422"/>
      <c r="L145" s="411"/>
    </row>
    <row r="146" spans="1:12" ht="14.25">
      <c r="A146" s="411"/>
      <c r="B146" s="416" t="s">
        <v>851</v>
      </c>
      <c r="C146" s="540"/>
      <c r="D146" s="540"/>
      <c r="E146" s="541"/>
      <c r="F146" s="542"/>
      <c r="G146" s="541"/>
      <c r="H146" s="541"/>
      <c r="I146" s="541"/>
      <c r="J146" s="543"/>
      <c r="K146" s="418"/>
      <c r="L146" s="411"/>
    </row>
    <row r="147" spans="1:12" ht="14.25">
      <c r="A147" s="411"/>
      <c r="B147" s="428"/>
      <c r="C147" s="617" t="s">
        <v>658</v>
      </c>
      <c r="D147" s="617"/>
      <c r="E147" s="517"/>
      <c r="F147" s="539" t="s">
        <v>659</v>
      </c>
      <c r="G147" s="517"/>
      <c r="H147" s="517"/>
      <c r="I147" s="517"/>
      <c r="J147" s="618" t="s">
        <v>660</v>
      </c>
      <c r="K147" s="619"/>
      <c r="L147" s="411"/>
    </row>
    <row r="148" spans="1:12" ht="14.25">
      <c r="A148" s="411"/>
      <c r="B148" s="428"/>
      <c r="C148" s="620">
        <v>52.869</v>
      </c>
      <c r="D148" s="620"/>
      <c r="E148" s="517" t="s">
        <v>251</v>
      </c>
      <c r="F148" s="509">
        <v>133685008</v>
      </c>
      <c r="G148" s="544" t="s">
        <v>858</v>
      </c>
      <c r="H148" s="517">
        <v>1000</v>
      </c>
      <c r="I148" s="517" t="s">
        <v>857</v>
      </c>
      <c r="J148" s="617">
        <f>C148*(F148/1000)</f>
        <v>7067792.687952</v>
      </c>
      <c r="K148" s="621"/>
      <c r="L148" s="411"/>
    </row>
    <row r="149" spans="1:12" ht="15" thickBot="1">
      <c r="A149" s="411"/>
      <c r="B149" s="423"/>
      <c r="C149" s="536"/>
      <c r="D149" s="536"/>
      <c r="E149" s="441"/>
      <c r="F149" s="537"/>
      <c r="G149" s="441"/>
      <c r="H149" s="441"/>
      <c r="I149" s="441"/>
      <c r="J149" s="538"/>
      <c r="K149" s="425"/>
      <c r="L149" s="411"/>
    </row>
    <row r="150" spans="1:12" ht="15" thickBot="1">
      <c r="A150" s="411"/>
      <c r="B150" s="423"/>
      <c r="C150" s="424"/>
      <c r="D150" s="424"/>
      <c r="E150" s="424"/>
      <c r="F150" s="424"/>
      <c r="G150" s="424"/>
      <c r="H150" s="424"/>
      <c r="I150" s="424"/>
      <c r="J150" s="424"/>
      <c r="K150" s="425"/>
      <c r="L150" s="411"/>
    </row>
    <row r="151" spans="1:12" ht="14.25">
      <c r="A151" s="411"/>
      <c r="B151" s="411"/>
      <c r="C151" s="411"/>
      <c r="D151" s="411"/>
      <c r="E151" s="411"/>
      <c r="F151" s="411"/>
      <c r="G151" s="411"/>
      <c r="H151" s="411"/>
      <c r="I151" s="411"/>
      <c r="J151" s="411"/>
      <c r="K151" s="411"/>
      <c r="L151" s="411"/>
    </row>
    <row r="152" spans="1:12" ht="14.25">
      <c r="A152" s="411"/>
      <c r="B152" s="411"/>
      <c r="C152" s="411"/>
      <c r="D152" s="411"/>
      <c r="E152" s="411"/>
      <c r="F152" s="411"/>
      <c r="G152" s="411"/>
      <c r="H152" s="411"/>
      <c r="I152" s="411"/>
      <c r="J152" s="411"/>
      <c r="K152" s="411"/>
      <c r="L152" s="411"/>
    </row>
    <row r="153" spans="1:12" ht="14.25">
      <c r="A153" s="411"/>
      <c r="B153" s="411"/>
      <c r="C153" s="411"/>
      <c r="D153" s="411"/>
      <c r="E153" s="411"/>
      <c r="F153" s="411"/>
      <c r="G153" s="411"/>
      <c r="H153" s="411"/>
      <c r="I153" s="411"/>
      <c r="J153" s="411"/>
      <c r="K153" s="411"/>
      <c r="L153" s="411"/>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52:K52"/>
    <mergeCell ref="B90:K90"/>
    <mergeCell ref="C74:D74"/>
    <mergeCell ref="B12:K12"/>
    <mergeCell ref="C25:D25"/>
    <mergeCell ref="B6:K6"/>
    <mergeCell ref="B7:K7"/>
    <mergeCell ref="B8:K8"/>
    <mergeCell ref="B10:K10"/>
    <mergeCell ref="F23:G23"/>
    <mergeCell ref="I51:K51"/>
    <mergeCell ref="C41:D41"/>
    <mergeCell ref="B58:K58"/>
    <mergeCell ref="B55:K55"/>
    <mergeCell ref="B57:K57"/>
    <mergeCell ref="C77:D77"/>
    <mergeCell ref="C100:D100"/>
    <mergeCell ref="C94:D94"/>
    <mergeCell ref="B85:K85"/>
    <mergeCell ref="B86:K86"/>
    <mergeCell ref="B88:K88"/>
    <mergeCell ref="C80:D80"/>
    <mergeCell ref="C83:D83"/>
    <mergeCell ref="C97:D97"/>
    <mergeCell ref="B30:K30"/>
    <mergeCell ref="B31:K31"/>
    <mergeCell ref="B33:K33"/>
    <mergeCell ref="B53:K53"/>
    <mergeCell ref="B48:C48"/>
    <mergeCell ref="G50:H50"/>
    <mergeCell ref="B35:K35"/>
    <mergeCell ref="C137:D137"/>
    <mergeCell ref="C114:D114"/>
    <mergeCell ref="C117:D117"/>
    <mergeCell ref="B125:K125"/>
    <mergeCell ref="B126:K126"/>
    <mergeCell ref="B128:K128"/>
    <mergeCell ref="B130:K130"/>
    <mergeCell ref="C123:D123"/>
    <mergeCell ref="B105:K105"/>
    <mergeCell ref="B110:K110"/>
    <mergeCell ref="C120:D120"/>
    <mergeCell ref="B106:K106"/>
    <mergeCell ref="B108:K108"/>
    <mergeCell ref="C136:D136"/>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D32" sqref="D32"/>
    </sheetView>
  </sheetViews>
  <sheetFormatPr defaultColWidth="8.796875" defaultRowHeight="15"/>
  <cols>
    <col min="1" max="1" width="71.19921875" style="0" customWidth="1"/>
  </cols>
  <sheetData>
    <row r="1" ht="16.5">
      <c r="A1" s="476" t="s">
        <v>825</v>
      </c>
    </row>
    <row r="3" ht="31.5">
      <c r="A3" s="477" t="s">
        <v>826</v>
      </c>
    </row>
    <row r="4" ht="15.75">
      <c r="A4" s="478" t="s">
        <v>827</v>
      </c>
    </row>
    <row r="7" ht="31.5">
      <c r="A7" s="477" t="s">
        <v>828</v>
      </c>
    </row>
    <row r="8" ht="15.75">
      <c r="A8" s="478" t="s">
        <v>829</v>
      </c>
    </row>
    <row r="11" ht="15.75">
      <c r="A11" s="380" t="s">
        <v>830</v>
      </c>
    </row>
    <row r="12" ht="15.75">
      <c r="A12" s="478" t="s">
        <v>831</v>
      </c>
    </row>
    <row r="15" ht="15.75">
      <c r="A15" s="380" t="s">
        <v>832</v>
      </c>
    </row>
    <row r="16" ht="15.75">
      <c r="A16" s="478" t="s">
        <v>833</v>
      </c>
    </row>
    <row r="19" ht="15.75">
      <c r="A19" s="380" t="s">
        <v>834</v>
      </c>
    </row>
    <row r="20" ht="15.75">
      <c r="A20" s="478" t="s">
        <v>835</v>
      </c>
    </row>
    <row r="23" ht="15.75">
      <c r="A23" s="380" t="s">
        <v>836</v>
      </c>
    </row>
    <row r="24" ht="15.75">
      <c r="A24" s="478" t="s">
        <v>837</v>
      </c>
    </row>
    <row r="27" ht="15.75">
      <c r="A27" s="380" t="s">
        <v>838</v>
      </c>
    </row>
    <row r="28" ht="15.75">
      <c r="A28" s="478" t="s">
        <v>839</v>
      </c>
    </row>
    <row r="31" ht="15.75">
      <c r="A31" s="380" t="s">
        <v>840</v>
      </c>
    </row>
    <row r="32" ht="15.75">
      <c r="A32" s="478" t="s">
        <v>841</v>
      </c>
    </row>
    <row r="35" ht="15.75">
      <c r="A35" s="380" t="s">
        <v>842</v>
      </c>
    </row>
    <row r="36" ht="15.75">
      <c r="A36" s="478" t="s">
        <v>843</v>
      </c>
    </row>
    <row r="39" ht="15.75">
      <c r="A39" s="380" t="s">
        <v>844</v>
      </c>
    </row>
    <row r="40" ht="15.75">
      <c r="A40" s="478" t="s">
        <v>845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4">
      <selection activeCell="E57" sqref="E57"/>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CLIFTON</v>
      </c>
      <c r="B1" s="87"/>
      <c r="C1" s="87"/>
      <c r="D1" s="87"/>
      <c r="E1" s="88">
        <f>inputPrYr!C5</f>
        <v>2012</v>
      </c>
    </row>
    <row r="2" spans="1:5" ht="15">
      <c r="A2" s="87"/>
      <c r="B2" s="87"/>
      <c r="C2" s="87"/>
      <c r="D2" s="87"/>
      <c r="E2" s="87"/>
    </row>
    <row r="3" spans="1:5" ht="15.75">
      <c r="A3" s="552" t="s">
        <v>480</v>
      </c>
      <c r="B3" s="553"/>
      <c r="C3" s="553"/>
      <c r="D3" s="553"/>
      <c r="E3" s="553"/>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1655336</v>
      </c>
    </row>
    <row r="8" spans="1:5" ht="15.75">
      <c r="A8" s="89" t="str">
        <f>CONCATENATE("New Improvements for ",E1-1,"")</f>
        <v>New Improvements for 2011</v>
      </c>
      <c r="B8" s="78"/>
      <c r="C8" s="78"/>
      <c r="D8" s="78"/>
      <c r="E8" s="90">
        <v>3555</v>
      </c>
    </row>
    <row r="9" spans="1:5" ht="15.75">
      <c r="A9" s="89" t="str">
        <f>CONCATENATE("Personal Property  excluding oil, gas, and mobile homes - ",E1-1,"")</f>
        <v>Personal Property  excluding oil, gas, and mobile homes - 2011</v>
      </c>
      <c r="B9" s="78"/>
      <c r="C9" s="78"/>
      <c r="D9" s="78"/>
      <c r="E9" s="90">
        <v>70050</v>
      </c>
    </row>
    <row r="10" spans="1:5" ht="15.75">
      <c r="A10" s="91" t="s">
        <v>400</v>
      </c>
      <c r="B10" s="78"/>
      <c r="C10" s="78"/>
      <c r="D10" s="78"/>
      <c r="E10" s="70"/>
    </row>
    <row r="11" spans="1:5" ht="15.75">
      <c r="A11" s="89" t="s">
        <v>370</v>
      </c>
      <c r="B11" s="78"/>
      <c r="C11" s="78"/>
      <c r="D11" s="78"/>
      <c r="E11" s="90"/>
    </row>
    <row r="12" spans="1:5" ht="15.75">
      <c r="A12" s="89" t="s">
        <v>371</v>
      </c>
      <c r="B12" s="78"/>
      <c r="C12" s="78"/>
      <c r="D12" s="78"/>
      <c r="E12" s="90"/>
    </row>
    <row r="13" spans="1:5" ht="15.75">
      <c r="A13" s="89" t="s">
        <v>372</v>
      </c>
      <c r="B13" s="78"/>
      <c r="C13" s="78"/>
      <c r="D13" s="78"/>
      <c r="E13" s="90"/>
    </row>
    <row r="14" spans="1:5" ht="15.75">
      <c r="A14" s="89" t="str">
        <f>CONCATENATE("Property that has changed in use for ",E1-1,"")</f>
        <v>Property that has changed in use for 2011</v>
      </c>
      <c r="B14" s="78"/>
      <c r="C14" s="78"/>
      <c r="D14" s="78"/>
      <c r="E14" s="90">
        <v>150</v>
      </c>
    </row>
    <row r="15" spans="1:5" ht="15.75">
      <c r="A15" s="89" t="str">
        <f>CONCATENATE("Personal Property excluding oil, gas, and mobile homes - ",E1-2,"")</f>
        <v>Personal Property excluding oil, gas, and mobile homes - 2010</v>
      </c>
      <c r="B15" s="78"/>
      <c r="C15" s="78"/>
      <c r="D15" s="78"/>
      <c r="E15" s="90">
        <v>58848</v>
      </c>
    </row>
    <row r="16" spans="1:5" ht="15.75">
      <c r="A16" s="89" t="str">
        <f>CONCATENATE("Gross earnings (intangible) tax estimate for ",E1,"")</f>
        <v>Gross earnings (intangible) tax estimate for 2012</v>
      </c>
      <c r="B16" s="78"/>
      <c r="C16" s="78"/>
      <c r="D16" s="79"/>
      <c r="E16" s="50"/>
    </row>
    <row r="17" spans="1:5" ht="15.75">
      <c r="A17" s="89" t="s">
        <v>401</v>
      </c>
      <c r="B17" s="78"/>
      <c r="C17" s="78"/>
      <c r="D17" s="78"/>
      <c r="E17" s="49"/>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556" t="s">
        <v>248</v>
      </c>
      <c r="B20" s="557"/>
      <c r="C20" s="92"/>
      <c r="D20" s="93" t="s">
        <v>296</v>
      </c>
      <c r="E20" s="59"/>
    </row>
    <row r="21" spans="1:5" ht="15.75">
      <c r="A21" s="55" t="str">
        <f>inputPrYr!B17</f>
        <v>General</v>
      </c>
      <c r="B21" s="56"/>
      <c r="C21" s="61"/>
      <c r="D21" s="94">
        <v>32.846</v>
      </c>
      <c r="E21" s="65"/>
    </row>
    <row r="22" spans="1:5" ht="15.75">
      <c r="A22" s="89" t="str">
        <f>inputPrYr!B18</f>
        <v>Spec. Park &amp; Rec</v>
      </c>
      <c r="B22" s="78"/>
      <c r="C22" s="61"/>
      <c r="D22" s="95">
        <v>3.535</v>
      </c>
      <c r="E22" s="65"/>
    </row>
    <row r="23" spans="1:5" ht="15.75">
      <c r="A23" s="89" t="str">
        <f>inputPrYr!B20</f>
        <v>Library</v>
      </c>
      <c r="B23" s="78"/>
      <c r="C23" s="61"/>
      <c r="D23" s="95">
        <v>2.234</v>
      </c>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214</v>
      </c>
      <c r="C34" s="98"/>
      <c r="D34" s="73">
        <f>SUM(D21:D33)</f>
        <v>38.615</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1581314</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215</v>
      </c>
      <c r="B39" s="56"/>
      <c r="C39" s="56"/>
      <c r="D39" s="101"/>
      <c r="E39" s="50">
        <v>22068</v>
      </c>
    </row>
    <row r="40" spans="1:5" ht="15.75">
      <c r="A40" s="89" t="s">
        <v>216</v>
      </c>
      <c r="B40" s="78"/>
      <c r="C40" s="78"/>
      <c r="D40" s="102"/>
      <c r="E40" s="50">
        <v>396</v>
      </c>
    </row>
    <row r="41" spans="1:5" ht="15.75">
      <c r="A41" s="89" t="s">
        <v>402</v>
      </c>
      <c r="B41" s="78"/>
      <c r="C41" s="78"/>
      <c r="D41" s="102"/>
      <c r="E41" s="50">
        <v>1503</v>
      </c>
    </row>
    <row r="42" spans="1:5" ht="15.75">
      <c r="A42" s="89" t="s">
        <v>403</v>
      </c>
      <c r="B42" s="78"/>
      <c r="C42" s="78"/>
      <c r="D42" s="102"/>
      <c r="E42" s="50"/>
    </row>
    <row r="43" spans="1:5" ht="15.75">
      <c r="A43" s="89" t="s">
        <v>404</v>
      </c>
      <c r="B43" s="78"/>
      <c r="C43" s="78"/>
      <c r="D43" s="102"/>
      <c r="E43" s="50"/>
    </row>
    <row r="44" spans="1:5" ht="15.75">
      <c r="A44" s="55" t="s">
        <v>405</v>
      </c>
      <c r="B44" s="56"/>
      <c r="C44" s="56"/>
      <c r="D44" s="101"/>
      <c r="E44" s="50"/>
    </row>
    <row r="45" spans="1:5" ht="15.75">
      <c r="A45" s="22" t="s">
        <v>406</v>
      </c>
      <c r="B45" s="22"/>
      <c r="C45" s="22"/>
      <c r="D45" s="22"/>
      <c r="E45" s="22"/>
    </row>
    <row r="46" spans="1:5" ht="15.75">
      <c r="A46" s="24" t="s">
        <v>256</v>
      </c>
      <c r="B46" s="33"/>
      <c r="C46" s="33"/>
      <c r="D46" s="22"/>
      <c r="E46" s="22"/>
    </row>
    <row r="47" spans="1:5" ht="15.75">
      <c r="A47" s="63" t="str">
        <f>CONCATENATE("Actual Delinquency for ",E1-3," Tax (round to three decimal places)")</f>
        <v>Actual Delinquency for 2009 Tax (round to three decimal places)</v>
      </c>
      <c r="B47" s="61"/>
      <c r="C47" s="22"/>
      <c r="D47" s="22"/>
      <c r="E47" s="103"/>
    </row>
    <row r="48" spans="1:5" ht="15.75">
      <c r="A48" s="63" t="s">
        <v>453</v>
      </c>
      <c r="B48" s="63"/>
      <c r="C48" s="61"/>
      <c r="D48" s="61"/>
      <c r="E48" s="72"/>
    </row>
    <row r="49" spans="1:5" ht="15.75">
      <c r="A49" s="104" t="s">
        <v>452</v>
      </c>
      <c r="B49" s="104"/>
      <c r="C49" s="105"/>
      <c r="D49" s="105"/>
      <c r="E49" s="106"/>
    </row>
    <row r="50" spans="1:5" ht="15.75">
      <c r="A50" s="22"/>
      <c r="B50" s="22"/>
      <c r="C50" s="22"/>
      <c r="D50" s="22"/>
      <c r="E50" s="22"/>
    </row>
    <row r="51" spans="1:5" ht="15.75">
      <c r="A51" s="107" t="s">
        <v>498</v>
      </c>
      <c r="B51" s="108"/>
      <c r="C51" s="109"/>
      <c r="D51" s="109"/>
      <c r="E51" s="109"/>
    </row>
    <row r="52" spans="1:5" ht="15.75">
      <c r="A52" s="110" t="str">
        <f>CONCATENATE("",E1," State Distribution for Kansas Gas Tax")</f>
        <v>2012 State Distribution for Kansas Gas Tax</v>
      </c>
      <c r="B52" s="111"/>
      <c r="C52" s="111"/>
      <c r="D52" s="112"/>
      <c r="E52" s="49">
        <v>13590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row>
    <row r="55" spans="1:5" ht="15.75">
      <c r="A55" s="113" t="str">
        <f>CONCATENATE("Adjusted ",E1-1," County Transfers for Gas***")</f>
        <v>Adjusted 2011 County Transfers for Gas***</v>
      </c>
      <c r="B55" s="114"/>
      <c r="C55" s="114"/>
      <c r="D55" s="115"/>
      <c r="E55" s="49"/>
    </row>
    <row r="56" spans="1:5" ht="15">
      <c r="A56" s="558" t="s">
        <v>474</v>
      </c>
      <c r="B56" s="559"/>
      <c r="C56" s="559"/>
      <c r="D56" s="559"/>
      <c r="E56" s="559"/>
    </row>
    <row r="57" spans="1:5" ht="15">
      <c r="A57" s="116" t="s">
        <v>475</v>
      </c>
      <c r="B57" s="116"/>
      <c r="C57" s="116"/>
      <c r="D57" s="116"/>
      <c r="E57" s="116"/>
    </row>
    <row r="58" spans="1:5" ht="15">
      <c r="A58" s="87"/>
      <c r="B58" s="87"/>
      <c r="C58" s="87"/>
      <c r="D58" s="87"/>
      <c r="E58" s="87"/>
    </row>
    <row r="59" spans="1:5" ht="15.75">
      <c r="A59" s="560" t="str">
        <f>CONCATENATE("From the ",E1-2," Budget Certificate Page")</f>
        <v>From the 2010 Budget Certificate Page</v>
      </c>
      <c r="B59" s="561"/>
      <c r="C59" s="87"/>
      <c r="D59" s="87"/>
      <c r="E59" s="87"/>
    </row>
    <row r="60" spans="1:5" ht="15.75">
      <c r="A60" s="117"/>
      <c r="B60" s="117" t="str">
        <f>CONCATENATE("",E1-2," Expenditure Amounts")</f>
        <v>2010 Expenditure Amounts</v>
      </c>
      <c r="C60" s="554" t="str">
        <f>CONCATENATE("Note: If the ",E1-2," budget was amended, then the")</f>
        <v>Note: If the 2010 budget was amended, then the</v>
      </c>
      <c r="D60" s="555"/>
      <c r="E60" s="555"/>
    </row>
    <row r="61" spans="1:5" ht="15.75">
      <c r="A61" s="118" t="s">
        <v>505</v>
      </c>
      <c r="B61" s="118" t="s">
        <v>506</v>
      </c>
      <c r="C61" s="119" t="s">
        <v>507</v>
      </c>
      <c r="D61" s="120"/>
      <c r="E61" s="120"/>
    </row>
    <row r="62" spans="1:5" ht="15.75">
      <c r="A62" s="121" t="str">
        <f>inputPrYr!B17</f>
        <v>General</v>
      </c>
      <c r="B62" s="49">
        <v>176224</v>
      </c>
      <c r="C62" s="119" t="s">
        <v>508</v>
      </c>
      <c r="D62" s="120"/>
      <c r="E62" s="120"/>
    </row>
    <row r="63" spans="1:5" ht="15.75">
      <c r="A63" s="121" t="str">
        <f>inputPrYr!B18</f>
        <v>Spec. Park &amp; Rec</v>
      </c>
      <c r="B63" s="49">
        <v>10800</v>
      </c>
      <c r="C63" s="119"/>
      <c r="D63" s="120"/>
      <c r="E63" s="120"/>
    </row>
    <row r="64" spans="1:5" ht="15.75">
      <c r="A64" s="121" t="str">
        <f>inputPrYr!B20</f>
        <v>Library</v>
      </c>
      <c r="B64" s="49">
        <v>8000</v>
      </c>
      <c r="C64" s="87"/>
      <c r="D64" s="87"/>
      <c r="E64" s="87"/>
    </row>
    <row r="65" spans="1:5" ht="15.75">
      <c r="A65" s="121" t="s">
        <v>682</v>
      </c>
      <c r="B65" s="49">
        <v>39000</v>
      </c>
      <c r="C65" s="87"/>
      <c r="D65" s="87"/>
      <c r="E65" s="87"/>
    </row>
    <row r="66" spans="1:5" ht="15.75">
      <c r="A66" s="121" t="s">
        <v>673</v>
      </c>
      <c r="B66" s="49">
        <v>59000</v>
      </c>
      <c r="C66" s="87"/>
      <c r="D66" s="87"/>
      <c r="E66" s="87"/>
    </row>
    <row r="67" spans="1:5" ht="15.75">
      <c r="A67" s="121" t="s">
        <v>674</v>
      </c>
      <c r="B67" s="49">
        <v>48488</v>
      </c>
      <c r="C67" s="87"/>
      <c r="D67" s="87"/>
      <c r="E67" s="87"/>
    </row>
    <row r="68" spans="1:5" ht="15.75">
      <c r="A68" s="121" t="s">
        <v>675</v>
      </c>
      <c r="B68" s="49">
        <v>31800</v>
      </c>
      <c r="C68" s="87"/>
      <c r="D68" s="87"/>
      <c r="E68" s="87"/>
    </row>
    <row r="69" spans="1:5" ht="15.75">
      <c r="A69" s="121" t="s">
        <v>683</v>
      </c>
      <c r="B69" s="49">
        <v>20100</v>
      </c>
      <c r="C69" s="87"/>
      <c r="D69" s="87"/>
      <c r="E69" s="87"/>
    </row>
    <row r="70" spans="1:5" ht="15.75">
      <c r="A70" s="121" t="s">
        <v>450</v>
      </c>
      <c r="B70" s="49"/>
      <c r="C70" s="87"/>
      <c r="D70" s="87"/>
      <c r="E70" s="87"/>
    </row>
  </sheetData>
  <sheetProtection/>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9" r:id="rId1"/>
</worksheet>
</file>

<file path=xl/worksheets/sheet30.xml><?xml version="1.0" encoding="utf-8"?>
<worksheet xmlns="http://schemas.openxmlformats.org/spreadsheetml/2006/main" xmlns:r="http://schemas.openxmlformats.org/officeDocument/2006/relationships">
  <dimension ref="A1:A144"/>
  <sheetViews>
    <sheetView zoomScalePageLayoutView="0" workbookViewId="0" topLeftCell="A1">
      <selection activeCell="D32" sqref="D32"/>
    </sheetView>
  </sheetViews>
  <sheetFormatPr defaultColWidth="8.796875" defaultRowHeight="15"/>
  <cols>
    <col min="1" max="1" width="80.09765625" style="8" customWidth="1"/>
    <col min="2" max="16384" width="8.8984375" style="8" customWidth="1"/>
  </cols>
  <sheetData>
    <row r="1" ht="15.75">
      <c r="A1" s="405" t="s">
        <v>667</v>
      </c>
    </row>
    <row r="2" ht="15.75">
      <c r="A2" s="8" t="s">
        <v>668</v>
      </c>
    </row>
    <row r="4" ht="15.75">
      <c r="A4" s="405" t="s">
        <v>666</v>
      </c>
    </row>
    <row r="5" ht="15.75">
      <c r="A5" s="407" t="s">
        <v>665</v>
      </c>
    </row>
    <row r="7" ht="15.75">
      <c r="A7" s="405" t="s">
        <v>822</v>
      </c>
    </row>
    <row r="8" ht="15.75">
      <c r="A8" s="407" t="s">
        <v>819</v>
      </c>
    </row>
    <row r="9" ht="15.75">
      <c r="A9" s="407" t="s">
        <v>820</v>
      </c>
    </row>
    <row r="10" ht="31.5">
      <c r="A10" s="406" t="s">
        <v>821</v>
      </c>
    </row>
    <row r="11" ht="15.75">
      <c r="A11" s="407" t="s">
        <v>626</v>
      </c>
    </row>
    <row r="12" ht="15.75">
      <c r="A12" s="407" t="s">
        <v>627</v>
      </c>
    </row>
    <row r="13" ht="15.75">
      <c r="A13" s="407" t="s">
        <v>628</v>
      </c>
    </row>
    <row r="14" ht="15.75">
      <c r="A14" s="407" t="s">
        <v>629</v>
      </c>
    </row>
    <row r="15" ht="15.75">
      <c r="A15" s="407" t="s">
        <v>630</v>
      </c>
    </row>
    <row r="16" ht="15.75">
      <c r="A16" s="407" t="s">
        <v>631</v>
      </c>
    </row>
    <row r="17" ht="15.75">
      <c r="A17" s="407" t="s">
        <v>632</v>
      </c>
    </row>
    <row r="18" ht="15.75">
      <c r="A18" s="407" t="s">
        <v>633</v>
      </c>
    </row>
    <row r="19" ht="15.75">
      <c r="A19" s="407" t="s">
        <v>634</v>
      </c>
    </row>
    <row r="20" ht="15.75">
      <c r="A20" s="407" t="s">
        <v>635</v>
      </c>
    </row>
    <row r="21" ht="15.75">
      <c r="A21" s="407" t="s">
        <v>636</v>
      </c>
    </row>
    <row r="22" ht="15.75">
      <c r="A22" s="407" t="s">
        <v>637</v>
      </c>
    </row>
    <row r="23" ht="15.75">
      <c r="A23" s="407" t="s">
        <v>638</v>
      </c>
    </row>
    <row r="24" ht="15.75">
      <c r="A24" s="407" t="s">
        <v>639</v>
      </c>
    </row>
    <row r="25" ht="15.75">
      <c r="A25" s="407" t="s">
        <v>640</v>
      </c>
    </row>
    <row r="26" ht="15.75">
      <c r="A26" s="407" t="s">
        <v>641</v>
      </c>
    </row>
    <row r="27" ht="15.75">
      <c r="A27" s="407" t="s">
        <v>642</v>
      </c>
    </row>
    <row r="28" ht="15.75">
      <c r="A28" s="407" t="s">
        <v>643</v>
      </c>
    </row>
    <row r="29" ht="15.75">
      <c r="A29" s="407" t="s">
        <v>644</v>
      </c>
    </row>
    <row r="30" ht="15.75">
      <c r="A30" s="407" t="s">
        <v>645</v>
      </c>
    </row>
    <row r="31" ht="15.75">
      <c r="A31" s="407" t="s">
        <v>646</v>
      </c>
    </row>
    <row r="32" ht="15.75">
      <c r="A32" s="407" t="s">
        <v>647</v>
      </c>
    </row>
    <row r="33" ht="15.75">
      <c r="A33" s="407" t="s">
        <v>648</v>
      </c>
    </row>
    <row r="34" ht="15.75">
      <c r="A34" s="407" t="s">
        <v>649</v>
      </c>
    </row>
    <row r="35" ht="15.75">
      <c r="A35" s="407" t="s">
        <v>650</v>
      </c>
    </row>
    <row r="38" ht="15.75">
      <c r="A38" s="345" t="s">
        <v>606</v>
      </c>
    </row>
    <row r="39" ht="15.75">
      <c r="A39" s="8" t="s">
        <v>607</v>
      </c>
    </row>
    <row r="40" ht="15.75">
      <c r="A40" s="8" t="s">
        <v>608</v>
      </c>
    </row>
    <row r="41" ht="15.75">
      <c r="A41" s="8" t="s">
        <v>609</v>
      </c>
    </row>
    <row r="43" ht="15.75">
      <c r="A43" s="345" t="s">
        <v>596</v>
      </c>
    </row>
    <row r="44" ht="15.75">
      <c r="A44" s="8" t="s">
        <v>605</v>
      </c>
    </row>
    <row r="46" ht="15.75">
      <c r="A46" s="345" t="s">
        <v>572</v>
      </c>
    </row>
    <row r="47" ht="15.75">
      <c r="A47" s="341" t="s">
        <v>573</v>
      </c>
    </row>
    <row r="48" ht="15.75">
      <c r="A48" s="341" t="s">
        <v>574</v>
      </c>
    </row>
    <row r="49" ht="15.75">
      <c r="A49" s="341" t="s">
        <v>575</v>
      </c>
    </row>
    <row r="51" ht="15.75">
      <c r="A51" s="308" t="s">
        <v>7</v>
      </c>
    </row>
    <row r="52" ht="15.75">
      <c r="A52" s="318" t="s">
        <v>9</v>
      </c>
    </row>
    <row r="53" ht="15.75">
      <c r="A53" s="316" t="s">
        <v>10</v>
      </c>
    </row>
    <row r="54" ht="15.75">
      <c r="A54" s="316" t="s">
        <v>11</v>
      </c>
    </row>
    <row r="55" ht="21" customHeight="1">
      <c r="A55" s="317" t="s">
        <v>12</v>
      </c>
    </row>
    <row r="56" ht="15.75">
      <c r="A56" s="316" t="s">
        <v>13</v>
      </c>
    </row>
    <row r="57" ht="15.75">
      <c r="A57" s="316" t="s">
        <v>14</v>
      </c>
    </row>
    <row r="58" ht="15.75">
      <c r="A58" s="316" t="s">
        <v>15</v>
      </c>
    </row>
    <row r="59" ht="15.75">
      <c r="A59" s="316" t="s">
        <v>16</v>
      </c>
    </row>
    <row r="60" ht="15.75">
      <c r="A60" s="8" t="s">
        <v>17</v>
      </c>
    </row>
    <row r="62" ht="15.75">
      <c r="A62" s="308" t="s">
        <v>221</v>
      </c>
    </row>
    <row r="63" ht="15.75">
      <c r="A63" s="8" t="s">
        <v>222</v>
      </c>
    </row>
    <row r="64" ht="15.75">
      <c r="A64" s="8" t="s">
        <v>223</v>
      </c>
    </row>
    <row r="65" ht="15.75">
      <c r="A65" s="8" t="s">
        <v>224</v>
      </c>
    </row>
    <row r="66" ht="15.75">
      <c r="A66" s="8" t="s">
        <v>225</v>
      </c>
    </row>
    <row r="68" ht="15.75">
      <c r="A68" s="308" t="s">
        <v>218</v>
      </c>
    </row>
    <row r="69" ht="15.75">
      <c r="A69" s="8" t="s">
        <v>219</v>
      </c>
    </row>
    <row r="70" ht="15.75">
      <c r="A70" s="8" t="s">
        <v>220</v>
      </c>
    </row>
    <row r="72" ht="15.75">
      <c r="A72" s="308" t="s">
        <v>200</v>
      </c>
    </row>
    <row r="73" ht="15.75">
      <c r="A73" s="8" t="s">
        <v>188</v>
      </c>
    </row>
    <row r="74" ht="15.75">
      <c r="A74" s="8" t="s">
        <v>189</v>
      </c>
    </row>
    <row r="75" ht="15.75">
      <c r="A75" s="8" t="s">
        <v>190</v>
      </c>
    </row>
    <row r="76" ht="15.75">
      <c r="A76" s="8" t="s">
        <v>185</v>
      </c>
    </row>
    <row r="77" ht="15.75">
      <c r="A77" s="8" t="s">
        <v>191</v>
      </c>
    </row>
    <row r="78" ht="15.75">
      <c r="A78" s="8" t="s">
        <v>192</v>
      </c>
    </row>
    <row r="79" ht="31.5">
      <c r="A79" s="11" t="s">
        <v>193</v>
      </c>
    </row>
    <row r="80" ht="31.5">
      <c r="A80" s="11" t="s">
        <v>194</v>
      </c>
    </row>
    <row r="81" ht="15.75">
      <c r="A81" s="11" t="s">
        <v>201</v>
      </c>
    </row>
    <row r="82" ht="15.75">
      <c r="A82" s="11" t="s">
        <v>195</v>
      </c>
    </row>
    <row r="83" ht="31.5">
      <c r="A83" s="11" t="s">
        <v>196</v>
      </c>
    </row>
    <row r="84" ht="15.75">
      <c r="A84" s="8" t="s">
        <v>197</v>
      </c>
    </row>
    <row r="85" ht="31.5">
      <c r="A85" s="11" t="s">
        <v>202</v>
      </c>
    </row>
    <row r="86" ht="15.75">
      <c r="A86" s="8" t="s">
        <v>423</v>
      </c>
    </row>
    <row r="87" ht="15.75">
      <c r="A87" s="8" t="s">
        <v>198</v>
      </c>
    </row>
    <row r="88" ht="35.25" customHeight="1">
      <c r="A88" s="8" t="s">
        <v>199</v>
      </c>
    </row>
    <row r="89" ht="20.25" customHeight="1">
      <c r="A89" s="11" t="s">
        <v>422</v>
      </c>
    </row>
    <row r="90" ht="15.75">
      <c r="A90" s="8" t="s">
        <v>424</v>
      </c>
    </row>
    <row r="91" ht="31.5">
      <c r="A91" s="11" t="s">
        <v>420</v>
      </c>
    </row>
    <row r="92" ht="15.75">
      <c r="A92" s="8" t="s">
        <v>421</v>
      </c>
    </row>
    <row r="94" ht="15.75">
      <c r="A94" s="308" t="s">
        <v>203</v>
      </c>
    </row>
    <row r="95" ht="15.75">
      <c r="A95" s="8" t="s">
        <v>204</v>
      </c>
    </row>
    <row r="96" ht="15.75">
      <c r="A96" s="8" t="s">
        <v>205</v>
      </c>
    </row>
    <row r="97" ht="15.75">
      <c r="A97" s="8" t="s">
        <v>206</v>
      </c>
    </row>
    <row r="98" ht="15.75">
      <c r="A98" s="8" t="s">
        <v>207</v>
      </c>
    </row>
    <row r="100" ht="15.75">
      <c r="A100" s="308" t="s">
        <v>183</v>
      </c>
    </row>
    <row r="101" ht="15.75">
      <c r="A101" s="8" t="s">
        <v>184</v>
      </c>
    </row>
    <row r="103" ht="15.75">
      <c r="A103" s="308" t="s">
        <v>178</v>
      </c>
    </row>
    <row r="104" ht="31.5">
      <c r="A104" s="11" t="s">
        <v>179</v>
      </c>
    </row>
    <row r="105" ht="15.75">
      <c r="A105" s="8" t="s">
        <v>180</v>
      </c>
    </row>
    <row r="106" ht="15.75">
      <c r="A106" s="8" t="s">
        <v>182</v>
      </c>
    </row>
    <row r="107" ht="15.75">
      <c r="A107" s="8" t="s">
        <v>181</v>
      </c>
    </row>
    <row r="108" ht="18" customHeight="1"/>
    <row r="109" ht="48.75" customHeight="1">
      <c r="A109" s="8" t="s">
        <v>459</v>
      </c>
    </row>
    <row r="110" ht="47.25">
      <c r="A110" s="11" t="s">
        <v>490</v>
      </c>
    </row>
    <row r="111" ht="15.75">
      <c r="A111" s="8" t="s">
        <v>460</v>
      </c>
    </row>
    <row r="112" ht="15.75">
      <c r="A112" s="8" t="s">
        <v>461</v>
      </c>
    </row>
    <row r="113" ht="15.75">
      <c r="A113" s="8" t="s">
        <v>491</v>
      </c>
    </row>
    <row r="114" ht="15.75">
      <c r="A114" s="8" t="s">
        <v>462</v>
      </c>
    </row>
    <row r="115" ht="15.75">
      <c r="A115" s="8" t="s">
        <v>463</v>
      </c>
    </row>
    <row r="116" ht="15.75">
      <c r="A116" s="8" t="s">
        <v>500</v>
      </c>
    </row>
    <row r="117" ht="15.75">
      <c r="A117" s="8" t="s">
        <v>464</v>
      </c>
    </row>
    <row r="118" ht="15.75">
      <c r="A118" s="8" t="s">
        <v>465</v>
      </c>
    </row>
    <row r="119" ht="31.5">
      <c r="A119" s="11" t="s">
        <v>466</v>
      </c>
    </row>
    <row r="120" ht="31.5">
      <c r="A120" s="11" t="s">
        <v>209</v>
      </c>
    </row>
    <row r="121" ht="15.75">
      <c r="A121" s="8" t="s">
        <v>467</v>
      </c>
    </row>
    <row r="122" ht="15.75">
      <c r="A122" s="8" t="s">
        <v>468</v>
      </c>
    </row>
    <row r="123" ht="15.75">
      <c r="A123" s="8" t="s">
        <v>492</v>
      </c>
    </row>
    <row r="124" ht="15.75">
      <c r="A124" s="8" t="s">
        <v>469</v>
      </c>
    </row>
    <row r="125" ht="15.75">
      <c r="A125" s="8" t="s">
        <v>493</v>
      </c>
    </row>
    <row r="126" ht="31.5">
      <c r="A126" s="11" t="s">
        <v>494</v>
      </c>
    </row>
    <row r="127" ht="15.75">
      <c r="A127" s="8" t="s">
        <v>476</v>
      </c>
    </row>
    <row r="128" ht="15.75">
      <c r="A128" s="8" t="s">
        <v>477</v>
      </c>
    </row>
    <row r="129" ht="31.5">
      <c r="A129" s="11" t="s">
        <v>478</v>
      </c>
    </row>
    <row r="130" ht="15.75">
      <c r="A130" s="8" t="s">
        <v>928</v>
      </c>
    </row>
    <row r="131" ht="15.75">
      <c r="A131" s="8" t="s">
        <v>927</v>
      </c>
    </row>
    <row r="132" ht="15.75">
      <c r="A132" s="8" t="s">
        <v>929</v>
      </c>
    </row>
    <row r="133" ht="15.75">
      <c r="A133" s="8" t="s">
        <v>166</v>
      </c>
    </row>
    <row r="134" ht="15.75">
      <c r="A134" s="8" t="s">
        <v>167</v>
      </c>
    </row>
    <row r="135" ht="15.75">
      <c r="A135" s="8" t="s">
        <v>168</v>
      </c>
    </row>
    <row r="136" ht="15.75">
      <c r="A136" s="8" t="s">
        <v>169</v>
      </c>
    </row>
    <row r="137" ht="15.75">
      <c r="A137" s="8" t="s">
        <v>170</v>
      </c>
    </row>
    <row r="138" ht="15.75">
      <c r="A138" s="8" t="s">
        <v>171</v>
      </c>
    </row>
    <row r="139" ht="15.75">
      <c r="A139" s="8" t="s">
        <v>172</v>
      </c>
    </row>
    <row r="140" ht="15.75">
      <c r="A140" s="8" t="s">
        <v>173</v>
      </c>
    </row>
    <row r="141" ht="15.75">
      <c r="A141" s="8" t="s">
        <v>174</v>
      </c>
    </row>
    <row r="142" ht="15.75">
      <c r="A142" s="8" t="s">
        <v>175</v>
      </c>
    </row>
    <row r="143" ht="15.75">
      <c r="A143" s="8" t="s">
        <v>177</v>
      </c>
    </row>
    <row r="144" ht="15.75">
      <c r="A144" s="8" t="s">
        <v>176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D21" sqref="D21"/>
    </sheetView>
  </sheetViews>
  <sheetFormatPr defaultColWidth="8.796875" defaultRowHeight="15"/>
  <cols>
    <col min="1" max="1" width="13.796875" style="0" customWidth="1"/>
    <col min="2" max="2" width="16.09765625" style="0" customWidth="1"/>
  </cols>
  <sheetData>
    <row r="2" spans="1:6" ht="54" customHeight="1">
      <c r="A2" s="562" t="s">
        <v>18</v>
      </c>
      <c r="B2" s="563"/>
      <c r="C2" s="563"/>
      <c r="D2" s="563"/>
      <c r="E2" s="563"/>
      <c r="F2" s="563"/>
    </row>
    <row r="4" spans="1:2" ht="15.75">
      <c r="A4" s="380" t="s">
        <v>814</v>
      </c>
      <c r="B4" s="324" t="s">
        <v>391</v>
      </c>
    </row>
    <row r="5" spans="1:6" ht="15.75">
      <c r="A5" s="321"/>
      <c r="B5" s="321"/>
      <c r="C5" s="321"/>
      <c r="D5" s="323"/>
      <c r="E5" s="321"/>
      <c r="F5" s="321"/>
    </row>
    <row r="6" spans="1:6" ht="15.75">
      <c r="A6" s="322" t="s">
        <v>19</v>
      </c>
      <c r="B6" s="324" t="s">
        <v>727</v>
      </c>
      <c r="C6" s="325"/>
      <c r="D6" s="322" t="s">
        <v>662</v>
      </c>
      <c r="E6" s="321"/>
      <c r="F6" s="321"/>
    </row>
    <row r="7" spans="1:6" ht="15.75">
      <c r="A7" s="322"/>
      <c r="B7" s="326"/>
      <c r="C7" s="327"/>
      <c r="D7" s="322" t="s">
        <v>661</v>
      </c>
      <c r="E7" s="321"/>
      <c r="F7" s="321"/>
    </row>
    <row r="8" spans="1:6" ht="15.75">
      <c r="A8" s="322" t="s">
        <v>20</v>
      </c>
      <c r="B8" s="324" t="s">
        <v>728</v>
      </c>
      <c r="C8" s="328"/>
      <c r="D8" s="322"/>
      <c r="E8" s="321"/>
      <c r="F8" s="321"/>
    </row>
    <row r="9" spans="1:6" ht="15.75">
      <c r="A9" s="322"/>
      <c r="B9" s="322"/>
      <c r="C9" s="322"/>
      <c r="D9" s="322"/>
      <c r="E9" s="321"/>
      <c r="F9" s="321"/>
    </row>
    <row r="10" spans="1:6" ht="15.75">
      <c r="A10" s="322" t="s">
        <v>21</v>
      </c>
      <c r="B10" s="329" t="s">
        <v>729</v>
      </c>
      <c r="C10" s="329"/>
      <c r="D10" s="329"/>
      <c r="E10" s="330"/>
      <c r="F10" s="321"/>
    </row>
    <row r="11" spans="1:6" ht="15.75">
      <c r="A11" s="322"/>
      <c r="B11" s="322"/>
      <c r="C11" s="322"/>
      <c r="D11" s="322"/>
      <c r="E11" s="321"/>
      <c r="F11" s="321"/>
    </row>
    <row r="12" spans="1:6" ht="15.75">
      <c r="A12" s="322"/>
      <c r="B12" s="322"/>
      <c r="C12" s="322"/>
      <c r="D12" s="322"/>
      <c r="E12" s="321"/>
      <c r="F12" s="321"/>
    </row>
    <row r="13" spans="1:6" ht="15.75">
      <c r="A13" s="322" t="s">
        <v>22</v>
      </c>
      <c r="B13" s="329" t="s">
        <v>26</v>
      </c>
      <c r="C13" s="329"/>
      <c r="D13" s="329"/>
      <c r="E13" s="330"/>
      <c r="F13" s="321"/>
    </row>
    <row r="16" spans="1:6" ht="15.75">
      <c r="A16" s="564" t="s">
        <v>23</v>
      </c>
      <c r="B16" s="564"/>
      <c r="C16" s="322"/>
      <c r="D16" s="322"/>
      <c r="E16" s="322"/>
      <c r="F16" s="321"/>
    </row>
    <row r="17" spans="1:6" ht="15.75">
      <c r="A17" s="322"/>
      <c r="B17" s="322"/>
      <c r="C17" s="322"/>
      <c r="D17" s="322"/>
      <c r="E17" s="322"/>
      <c r="F17" s="321"/>
    </row>
    <row r="18" spans="1:6" ht="15.75">
      <c r="A18" s="380" t="s">
        <v>814</v>
      </c>
      <c r="B18" s="322" t="s">
        <v>818</v>
      </c>
      <c r="C18" s="322"/>
      <c r="D18" s="322"/>
      <c r="E18" s="322"/>
      <c r="F18" s="321"/>
    </row>
    <row r="19" spans="1:6" ht="15.75">
      <c r="A19" s="322"/>
      <c r="B19" s="322"/>
      <c r="C19" s="322"/>
      <c r="D19" s="322"/>
      <c r="E19" s="322"/>
      <c r="F19" s="321"/>
    </row>
    <row r="20" spans="1:5" ht="15.75">
      <c r="A20" s="322" t="s">
        <v>19</v>
      </c>
      <c r="B20" s="326" t="s">
        <v>24</v>
      </c>
      <c r="C20" s="322"/>
      <c r="D20" s="322"/>
      <c r="E20" s="322"/>
    </row>
    <row r="21" spans="1:5" ht="15.75">
      <c r="A21" s="322"/>
      <c r="B21" s="322"/>
      <c r="C21" s="322"/>
      <c r="D21" s="322"/>
      <c r="E21" s="322"/>
    </row>
    <row r="22" spans="1:5" ht="15.75">
      <c r="A22" s="322" t="s">
        <v>20</v>
      </c>
      <c r="B22" s="322" t="s">
        <v>25</v>
      </c>
      <c r="C22" s="322"/>
      <c r="D22" s="322"/>
      <c r="E22" s="322"/>
    </row>
    <row r="23" spans="1:5" ht="15.75">
      <c r="A23" s="322"/>
      <c r="B23" s="322"/>
      <c r="C23" s="322"/>
      <c r="D23" s="322"/>
      <c r="E23" s="322"/>
    </row>
    <row r="24" spans="1:5" ht="15.75">
      <c r="A24" s="322" t="s">
        <v>21</v>
      </c>
      <c r="B24" s="322" t="s">
        <v>26</v>
      </c>
      <c r="C24" s="322"/>
      <c r="D24" s="322"/>
      <c r="E24" s="322"/>
    </row>
    <row r="25" spans="1:5" ht="15.75">
      <c r="A25" s="322"/>
      <c r="B25" s="322"/>
      <c r="C25" s="322"/>
      <c r="D25" s="322"/>
      <c r="E25" s="322"/>
    </row>
    <row r="26" spans="1:5" ht="15.75">
      <c r="A26" s="322" t="s">
        <v>22</v>
      </c>
      <c r="B26" s="322" t="s">
        <v>26</v>
      </c>
      <c r="C26" s="322"/>
      <c r="D26" s="322"/>
      <c r="E26" s="32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74"/>
  <sheetViews>
    <sheetView tabSelected="1" zoomScalePageLayoutView="0" workbookViewId="0" topLeftCell="A1">
      <selection activeCell="F33" sqref="F33:F34"/>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319</v>
      </c>
      <c r="D2" s="22"/>
      <c r="E2" s="22"/>
      <c r="F2" s="122"/>
    </row>
    <row r="3" spans="1:6" ht="15.75">
      <c r="A3" s="567" t="str">
        <f>CONCATENATE("To the Clerk of ",inputPrYr!D3,", State of Kansas")</f>
        <v>To the Clerk of CLAY/WASHINGTON, State of Kansas</v>
      </c>
      <c r="B3" s="557"/>
      <c r="C3" s="557"/>
      <c r="D3" s="557"/>
      <c r="E3" s="557"/>
      <c r="F3" s="557"/>
    </row>
    <row r="4" spans="1:6" ht="15.75">
      <c r="A4" s="34" t="s">
        <v>810</v>
      </c>
      <c r="B4" s="33"/>
      <c r="C4" s="33"/>
      <c r="D4" s="33"/>
      <c r="E4" s="33"/>
      <c r="F4" s="33"/>
    </row>
    <row r="5" spans="1:6" ht="15.75">
      <c r="A5" s="565" t="str">
        <f>(inputPrYr!D2)</f>
        <v>CITY OF CLIFTON</v>
      </c>
      <c r="B5" s="566"/>
      <c r="C5" s="566"/>
      <c r="D5" s="566"/>
      <c r="E5" s="566"/>
      <c r="F5" s="566"/>
    </row>
    <row r="6" spans="1:6" ht="15.75">
      <c r="A6" s="34" t="s">
        <v>217</v>
      </c>
      <c r="B6" s="33"/>
      <c r="C6" s="33"/>
      <c r="D6" s="33"/>
      <c r="E6" s="33"/>
      <c r="F6" s="33"/>
    </row>
    <row r="7" spans="1:6" ht="15.75">
      <c r="A7" s="34" t="s">
        <v>804</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805</v>
      </c>
      <c r="E11" s="128" t="s">
        <v>416</v>
      </c>
      <c r="F11" s="128" t="s">
        <v>806</v>
      </c>
    </row>
    <row r="12" spans="1:6" ht="15.75">
      <c r="A12" s="29"/>
      <c r="B12" s="22"/>
      <c r="C12" s="128" t="s">
        <v>807</v>
      </c>
      <c r="D12" s="129" t="s">
        <v>506</v>
      </c>
      <c r="E12" s="130" t="str">
        <f>CONCATENATE("",F1-1," Ad")</f>
        <v>2011 Ad</v>
      </c>
      <c r="F12" s="129" t="s">
        <v>808</v>
      </c>
    </row>
    <row r="13" spans="1:6" ht="15.75">
      <c r="A13" s="131" t="s">
        <v>809</v>
      </c>
      <c r="B13" s="56"/>
      <c r="C13" s="132" t="s">
        <v>244</v>
      </c>
      <c r="D13" s="132" t="s">
        <v>815</v>
      </c>
      <c r="E13" s="133" t="s">
        <v>417</v>
      </c>
      <c r="F13" s="132" t="s">
        <v>245</v>
      </c>
    </row>
    <row r="14" spans="1:6" ht="15.75">
      <c r="A14" s="134" t="str">
        <f>CONCATENATE("Computation to Determine Limit for ",F1,"")</f>
        <v>Computation to Determine Limit for 2012</v>
      </c>
      <c r="B14" s="79"/>
      <c r="C14" s="135">
        <v>2</v>
      </c>
      <c r="D14" s="136"/>
      <c r="E14" s="136"/>
      <c r="F14" s="136"/>
    </row>
    <row r="15" spans="1:6" ht="15.75">
      <c r="A15" s="134" t="s">
        <v>504</v>
      </c>
      <c r="B15" s="56"/>
      <c r="C15" s="132">
        <v>3</v>
      </c>
      <c r="D15" s="129"/>
      <c r="E15" s="129"/>
      <c r="F15" s="129"/>
    </row>
    <row r="16" spans="1:6" ht="15.75">
      <c r="A16" s="134" t="s">
        <v>381</v>
      </c>
      <c r="B16" s="56"/>
      <c r="C16" s="132">
        <v>4</v>
      </c>
      <c r="D16" s="129"/>
      <c r="E16" s="129"/>
      <c r="F16" s="129"/>
    </row>
    <row r="17" spans="1:6" ht="15.75">
      <c r="A17" s="134" t="s">
        <v>246</v>
      </c>
      <c r="B17" s="79"/>
      <c r="C17" s="135">
        <v>5</v>
      </c>
      <c r="D17" s="137"/>
      <c r="E17" s="137"/>
      <c r="F17" s="137"/>
    </row>
    <row r="18" spans="1:6" ht="15.75">
      <c r="A18" s="134" t="s">
        <v>247</v>
      </c>
      <c r="B18" s="79"/>
      <c r="C18" s="135">
        <v>6</v>
      </c>
      <c r="D18" s="137"/>
      <c r="E18" s="137"/>
      <c r="F18" s="137"/>
    </row>
    <row r="19" spans="1:6" ht="15.75">
      <c r="A19" s="138" t="s">
        <v>248</v>
      </c>
      <c r="B19" s="139" t="s">
        <v>249</v>
      </c>
      <c r="C19" s="140"/>
      <c r="D19" s="71"/>
      <c r="E19" s="71"/>
      <c r="F19" s="71"/>
    </row>
    <row r="20" spans="1:6" ht="15.75">
      <c r="A20" s="47" t="str">
        <f>inputPrYr!B17</f>
        <v>General</v>
      </c>
      <c r="B20" s="141" t="str">
        <f>IF(inputPrYr!C17&gt;0,(inputPrYr!C17),"  ")</f>
        <v>12-101a</v>
      </c>
      <c r="C20" s="135">
        <v>7</v>
      </c>
      <c r="D20" s="188">
        <f>IF(general!$E$48&lt;&gt;0,general!$E$48,"  ")</f>
        <v>167200</v>
      </c>
      <c r="E20" s="522">
        <f>IF(general!$E$55&lt;&gt;0,general!$E$55,0)</f>
        <v>52698.32000000001</v>
      </c>
      <c r="F20" s="496">
        <f>IF($F$32=0,"",ROUND(E20/$F$32*1000,3))</f>
        <v>31.815</v>
      </c>
    </row>
    <row r="21" spans="1:6" ht="15.75">
      <c r="A21" s="70" t="str">
        <f>IF(inputPrYr!$B18&gt;"  ",(inputPrYr!$B18),"  ")</f>
        <v>Spec. Park &amp; Rec</v>
      </c>
      <c r="B21" s="141" t="str">
        <f>IF(inputPrYr!C18&gt;0,(inputPrYr!C18),"  ")</f>
        <v>10-113</v>
      </c>
      <c r="C21" s="135" t="e">
        <f>IF(#REF!=0,"",#REF!)</f>
        <v>#REF!</v>
      </c>
      <c r="D21" s="188">
        <v>10300</v>
      </c>
      <c r="E21" s="522">
        <v>6744</v>
      </c>
      <c r="F21" s="496">
        <f>IF($F$32=0,"",ROUND(E21/$F$32*1000,3))</f>
        <v>4.071</v>
      </c>
    </row>
    <row r="22" spans="1:6" ht="15.75">
      <c r="A22" s="70" t="str">
        <f>IF(inputPrYr!$B20&gt;"  ",(inputPrYr!$B20),"  ")</f>
        <v>Library</v>
      </c>
      <c r="B22" s="141" t="s">
        <v>731</v>
      </c>
      <c r="C22" s="135" t="e">
        <f>IF(#REF!=0,"",#REF!)</f>
        <v>#REF!</v>
      </c>
      <c r="D22" s="188">
        <v>9500</v>
      </c>
      <c r="E22" s="522">
        <v>7306</v>
      </c>
      <c r="F22" s="496">
        <f>IF($F$32=0,"",ROUND(E22/$F$32*1000,3))</f>
        <v>4.411</v>
      </c>
    </row>
    <row r="23" spans="1:6" ht="15.75">
      <c r="A23" s="142" t="str">
        <f>IF(inputPrYr!$B34&gt;"  ",(inputPrYr!$B34),"  ")</f>
        <v>Special Highway</v>
      </c>
      <c r="B23" s="79"/>
      <c r="C23" s="143">
        <f>IF('SP HWY-WATER'!C65&gt;0,'SP HWY-WATER'!C65,"  ")</f>
        <v>9</v>
      </c>
      <c r="D23" s="188">
        <f>IF('SP HWY-WATER'!$E$28&gt;0,'SP HWY-WATER'!$E$28,"  ")</f>
        <v>22176</v>
      </c>
      <c r="E23" s="188"/>
      <c r="F23" s="140"/>
    </row>
    <row r="24" spans="1:6" ht="15.75">
      <c r="A24" s="142" t="str">
        <f>IF(inputPrYr!$B35&gt;"  ",(inputPrYr!$B35),"  ")</f>
        <v>Water</v>
      </c>
      <c r="B24" s="79"/>
      <c r="C24" s="143">
        <f>IF('SP HWY-WATER'!C65&gt;0,'SP HWY-WATER'!C65,"  ")</f>
        <v>9</v>
      </c>
      <c r="D24" s="188">
        <f>IF('SP HWY-WATER'!$E$59&gt;0,'SP HWY-WATER'!$E$59,"  ")</f>
        <v>61200</v>
      </c>
      <c r="E24" s="188"/>
      <c r="F24" s="140"/>
    </row>
    <row r="25" spans="1:6" ht="15.75">
      <c r="A25" s="142" t="str">
        <f>IF(inputPrYr!$B36&gt;"  ",(inputPrYr!$B36),"  ")</f>
        <v>Ambulance</v>
      </c>
      <c r="B25" s="79"/>
      <c r="C25" s="143">
        <f>IF('AMB-SEWER'!C65&gt;0,'AMB-SEWER'!C65,"  ")</f>
        <v>10</v>
      </c>
      <c r="D25" s="188">
        <f>IF('AMB-SEWER'!$E$28&gt;0,'AMB-SEWER'!$E$28,"  ")</f>
        <v>58500</v>
      </c>
      <c r="E25" s="188"/>
      <c r="F25" s="140"/>
    </row>
    <row r="26" spans="1:6" ht="15.75">
      <c r="A26" s="142" t="str">
        <f>IF(inputPrYr!$B37&gt;"  ",(inputPrYr!$B37),"  ")</f>
        <v>Sewer Service</v>
      </c>
      <c r="B26" s="79"/>
      <c r="C26" s="143">
        <f>IF('AMB-SEWER'!C65&gt;0,'AMB-SEWER'!C65,"  ")</f>
        <v>10</v>
      </c>
      <c r="D26" s="188">
        <f>IF('AMB-SEWER'!$E$59&gt;0,'AMB-SEWER'!$E$59,"  ")</f>
        <v>34300</v>
      </c>
      <c r="E26" s="188"/>
      <c r="F26" s="140"/>
    </row>
    <row r="27" spans="1:6" ht="15.75">
      <c r="A27" s="142" t="str">
        <f>IF(inputPrYr!$B38&gt;"  ",(inputPrYr!$B38),"  ")</f>
        <v>Special Fire Equipment</v>
      </c>
      <c r="B27" s="79"/>
      <c r="C27" s="143">
        <f>IF('SPEC FIRE EQUIP'!C65&gt;0,'SPEC FIRE EQUIP'!C65,"  ")</f>
        <v>11</v>
      </c>
      <c r="D27" s="188">
        <f>IF('SPEC FIRE EQUIP'!$E$28&gt;0,'SPEC FIRE EQUIP'!$E$28,"  ")</f>
        <v>27000</v>
      </c>
      <c r="E27" s="188"/>
      <c r="F27" s="140"/>
    </row>
    <row r="28" spans="1:6" ht="15.75">
      <c r="A28" s="144" t="str">
        <f>IF(inputPrYr!$B39&gt;"  ",(inputPrYr!$B39),"  ")</f>
        <v>Non-Budgeted Funds-A</v>
      </c>
      <c r="B28" s="79"/>
      <c r="C28" s="143">
        <f>IF('SPEC FIRE EQUIP'!C65&gt;0,'SPEC FIRE EQUIP'!C65,"  ")</f>
        <v>11</v>
      </c>
      <c r="D28" s="188" t="str">
        <f>IF('SPEC FIRE EQUIP'!$E$59&gt;0,'SPEC FIRE EQUIP'!$E$59,"  ")</f>
        <v>  </v>
      </c>
      <c r="E28" s="188"/>
      <c r="F28" s="140"/>
    </row>
    <row r="29" spans="1:6" ht="16.5" thickBot="1">
      <c r="A29" s="142" t="str">
        <f>IF(inputPrYr!$B40&gt;"  ",(inputPrYr!$B40),"  ")</f>
        <v>  </v>
      </c>
      <c r="B29" s="79"/>
      <c r="C29" s="143" t="e">
        <f>IF(#REF!&gt;0,#REF!,"  ")</f>
        <v>#REF!</v>
      </c>
      <c r="D29" s="188" t="e">
        <f>IF(#REF!&gt;0,#REF!,"  ")</f>
        <v>#REF!</v>
      </c>
      <c r="E29" s="188"/>
      <c r="F29" s="140"/>
    </row>
    <row r="30" spans="1:6" ht="16.5" thickBot="1">
      <c r="A30" s="366" t="s">
        <v>625</v>
      </c>
      <c r="B30" s="76"/>
      <c r="C30" s="234" t="s">
        <v>251</v>
      </c>
      <c r="D30" s="503" t="e">
        <f>SUM(D20:D29)</f>
        <v>#REF!</v>
      </c>
      <c r="E30" s="503">
        <f>SUM(E20:E29)</f>
        <v>66748.32</v>
      </c>
      <c r="F30" s="548">
        <f>IF(SUM(F20:F29)=0,"",SUM(F20:F29))</f>
        <v>40.297000000000004</v>
      </c>
    </row>
    <row r="31" spans="1:6" ht="16.5" thickTop="1">
      <c r="A31" s="146" t="s">
        <v>483</v>
      </c>
      <c r="B31" s="147"/>
      <c r="C31" s="148"/>
      <c r="D31" s="501"/>
      <c r="E31" s="502" t="s">
        <v>730</v>
      </c>
      <c r="F31" s="549" t="s">
        <v>385</v>
      </c>
    </row>
    <row r="32" spans="1:6" ht="15.75">
      <c r="A32" s="134" t="s">
        <v>482</v>
      </c>
      <c r="B32" s="79"/>
      <c r="C32" s="135">
        <f>summ!D44</f>
        <v>14</v>
      </c>
      <c r="D32" s="145"/>
      <c r="E32" s="22"/>
      <c r="F32" s="372">
        <v>1656421</v>
      </c>
    </row>
    <row r="33" spans="1:6" ht="15.75">
      <c r="A33" s="134" t="s">
        <v>510</v>
      </c>
      <c r="B33" s="79"/>
      <c r="C33" s="135">
        <f>IF(nhood!C40&gt;0,nhood!C40,"")</f>
      </c>
      <c r="D33" s="145"/>
      <c r="E33" s="22"/>
      <c r="F33" s="572" t="str">
        <f>CONCATENATE("Nov 1, ",F1-1," Total Assessed Valuation")</f>
        <v>Nov 1, 2011 Total Assessed Valuation</v>
      </c>
    </row>
    <row r="34" spans="1:6" ht="15.75">
      <c r="A34" s="63"/>
      <c r="B34" s="61"/>
      <c r="C34" s="176"/>
      <c r="D34" s="368"/>
      <c r="E34" s="369"/>
      <c r="F34" s="573"/>
    </row>
    <row r="35" spans="1:6" ht="15.75">
      <c r="A35" s="63"/>
      <c r="B35" s="61"/>
      <c r="C35" s="22"/>
      <c r="D35" s="367"/>
      <c r="E35" s="61"/>
      <c r="F35" s="61"/>
    </row>
    <row r="36" spans="1:6" ht="15.75">
      <c r="A36" s="63" t="s">
        <v>252</v>
      </c>
      <c r="B36" s="61"/>
      <c r="C36" s="56"/>
      <c r="D36" s="370"/>
      <c r="E36" s="56"/>
      <c r="F36" s="56"/>
    </row>
    <row r="37" spans="1:6" ht="15.75">
      <c r="A37" s="319"/>
      <c r="B37" s="22"/>
      <c r="C37" s="63"/>
      <c r="D37" s="568"/>
      <c r="E37" s="61"/>
      <c r="F37" s="61"/>
    </row>
    <row r="38" spans="1:6" ht="15.75">
      <c r="A38" s="320"/>
      <c r="B38" s="61"/>
      <c r="C38" s="56"/>
      <c r="D38" s="569"/>
      <c r="E38" s="126"/>
      <c r="F38" s="126"/>
    </row>
    <row r="39" spans="1:6" ht="15.75">
      <c r="A39" s="63" t="s">
        <v>397</v>
      </c>
      <c r="B39" s="29"/>
      <c r="C39" s="149"/>
      <c r="D39" s="149"/>
      <c r="E39" s="80"/>
      <c r="F39" s="80"/>
    </row>
    <row r="40" spans="1:6" ht="15.75">
      <c r="A40" s="319"/>
      <c r="B40" s="150"/>
      <c r="C40" s="56"/>
      <c r="D40" s="56"/>
      <c r="E40" s="151"/>
      <c r="F40" s="151"/>
    </row>
    <row r="41" spans="1:6" ht="15.75">
      <c r="A41" s="320"/>
      <c r="B41" s="61"/>
      <c r="C41" s="22"/>
      <c r="D41" s="22"/>
      <c r="E41" s="80"/>
      <c r="F41" s="80"/>
    </row>
    <row r="42" spans="1:6" ht="15.75">
      <c r="A42" s="320"/>
      <c r="B42" s="152"/>
      <c r="C42" s="56"/>
      <c r="D42" s="56"/>
      <c r="E42" s="151"/>
      <c r="F42" s="151"/>
    </row>
    <row r="43" spans="1:6" ht="15.75">
      <c r="A43" s="30" t="s">
        <v>499</v>
      </c>
      <c r="B43" s="153">
        <f>F1-1</f>
        <v>2011</v>
      </c>
      <c r="C43" s="22"/>
      <c r="D43" s="22"/>
      <c r="E43" s="34"/>
      <c r="F43" s="22"/>
    </row>
    <row r="44" spans="1:6" ht="15.75">
      <c r="A44" s="508"/>
      <c r="B44" s="22"/>
      <c r="C44" s="56"/>
      <c r="D44" s="56"/>
      <c r="E44" s="56"/>
      <c r="F44" s="56"/>
    </row>
    <row r="45" spans="1:6" ht="15.75">
      <c r="A45" s="44" t="s">
        <v>254</v>
      </c>
      <c r="B45" s="22"/>
      <c r="C45" s="570" t="s">
        <v>253</v>
      </c>
      <c r="D45" s="571"/>
      <c r="E45" s="571"/>
      <c r="F45" s="571"/>
    </row>
    <row r="46" ht="15.75">
      <c r="A46" s="8"/>
    </row>
    <row r="56" spans="1:6" ht="15">
      <c r="A56" s="85"/>
      <c r="B56" s="85"/>
      <c r="C56" s="85"/>
      <c r="D56" s="85"/>
      <c r="E56" s="85"/>
      <c r="F56" s="85"/>
    </row>
    <row r="57" spans="1:6" ht="15">
      <c r="A57" s="85"/>
      <c r="B57" s="85"/>
      <c r="C57" s="85"/>
      <c r="D57" s="85"/>
      <c r="E57" s="85"/>
      <c r="F57" s="85"/>
    </row>
    <row r="58" spans="1:6" ht="15">
      <c r="A58" s="85"/>
      <c r="B58" s="85"/>
      <c r="C58" s="85"/>
      <c r="D58" s="85"/>
      <c r="E58" s="85"/>
      <c r="F58" s="85"/>
    </row>
    <row r="59" spans="1:6" ht="15">
      <c r="A59" s="85"/>
      <c r="B59" s="85"/>
      <c r="C59" s="85"/>
      <c r="D59" s="85"/>
      <c r="E59" s="85"/>
      <c r="F59" s="85"/>
    </row>
    <row r="60" spans="1:6" ht="15">
      <c r="A60" s="85"/>
      <c r="B60" s="85"/>
      <c r="C60" s="85"/>
      <c r="D60" s="85"/>
      <c r="E60" s="85"/>
      <c r="F60" s="85"/>
    </row>
    <row r="61" spans="1:6" ht="15">
      <c r="A61" s="85"/>
      <c r="B61" s="85"/>
      <c r="C61" s="85"/>
      <c r="D61" s="85"/>
      <c r="E61" s="85"/>
      <c r="F61" s="85"/>
    </row>
    <row r="62" spans="1:6" ht="15">
      <c r="A62" s="85"/>
      <c r="B62" s="85"/>
      <c r="C62" s="85"/>
      <c r="D62" s="85"/>
      <c r="E62" s="85"/>
      <c r="F62" s="85"/>
    </row>
    <row r="63" spans="1:6" ht="15">
      <c r="A63" s="85"/>
      <c r="B63" s="85"/>
      <c r="C63" s="85"/>
      <c r="D63" s="85"/>
      <c r="E63" s="85"/>
      <c r="F63" s="85"/>
    </row>
    <row r="64" spans="1:6" ht="15">
      <c r="A64" s="85"/>
      <c r="B64" s="85"/>
      <c r="C64" s="85"/>
      <c r="D64" s="85"/>
      <c r="E64" s="85"/>
      <c r="F64" s="85"/>
    </row>
    <row r="65" spans="1:6" ht="15">
      <c r="A65" s="85"/>
      <c r="B65" s="85"/>
      <c r="C65" s="85"/>
      <c r="D65" s="85"/>
      <c r="E65" s="85"/>
      <c r="F65" s="85"/>
    </row>
    <row r="66" spans="1:6" ht="15">
      <c r="A66" s="85"/>
      <c r="B66" s="85"/>
      <c r="C66" s="85"/>
      <c r="D66" s="85"/>
      <c r="E66" s="85"/>
      <c r="F66" s="85"/>
    </row>
    <row r="67" spans="1:6" ht="15">
      <c r="A67" s="85"/>
      <c r="B67" s="85"/>
      <c r="C67" s="85"/>
      <c r="D67" s="85"/>
      <c r="E67" s="85"/>
      <c r="F67" s="85"/>
    </row>
    <row r="68" spans="1:6" ht="15">
      <c r="A68" s="85"/>
      <c r="B68" s="85"/>
      <c r="C68" s="85"/>
      <c r="D68" s="85"/>
      <c r="E68" s="85"/>
      <c r="F68" s="85"/>
    </row>
    <row r="69" spans="1:6" ht="15">
      <c r="A69" s="85"/>
      <c r="B69" s="85"/>
      <c r="C69" s="85"/>
      <c r="D69" s="85"/>
      <c r="E69" s="85"/>
      <c r="F69" s="85"/>
    </row>
    <row r="70" spans="1:6" ht="15">
      <c r="A70" s="85"/>
      <c r="B70" s="85"/>
      <c r="C70" s="85"/>
      <c r="D70" s="85"/>
      <c r="E70" s="85"/>
      <c r="F70" s="85"/>
    </row>
    <row r="71" spans="1:6" ht="15">
      <c r="A71" s="85"/>
      <c r="B71" s="85"/>
      <c r="C71" s="85"/>
      <c r="D71" s="85"/>
      <c r="E71" s="85"/>
      <c r="F71" s="85"/>
    </row>
    <row r="74" spans="1:6" ht="15.75">
      <c r="A74" s="8"/>
      <c r="B74" s="8"/>
      <c r="C74" s="8"/>
      <c r="D74" s="8"/>
      <c r="E74" s="8"/>
      <c r="F74" s="8"/>
    </row>
  </sheetData>
  <sheetProtection/>
  <mergeCells count="5">
    <mergeCell ref="A5:F5"/>
    <mergeCell ref="A3:F3"/>
    <mergeCell ref="D37:D38"/>
    <mergeCell ref="C45:F45"/>
    <mergeCell ref="F33:F34"/>
  </mergeCells>
  <printOptions/>
  <pageMargins left="0.5" right="0.5" top="1" bottom="0.5" header="0.5" footer="0.25"/>
  <pageSetup blackAndWhite="1" fitToHeight="1" fitToWidth="1" horizontalDpi="120" verticalDpi="120" orientation="portrait" scale="9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9" sqref="J39"/>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5" t="str">
        <f>inputPrYr!D2</f>
        <v>CITY OF CLIFTON</v>
      </c>
      <c r="D1" s="22"/>
      <c r="E1" s="22"/>
      <c r="F1" s="22"/>
      <c r="G1" s="22"/>
      <c r="H1" s="22"/>
      <c r="I1" s="22"/>
      <c r="J1" s="22">
        <f>inputPrYr!$C$5</f>
        <v>2012</v>
      </c>
    </row>
    <row r="2" spans="1:10" ht="15.75" customHeight="1">
      <c r="A2" s="22"/>
      <c r="B2" s="22"/>
      <c r="C2" s="22"/>
      <c r="D2" s="22"/>
      <c r="E2" s="22"/>
      <c r="F2" s="22"/>
      <c r="G2" s="22"/>
      <c r="H2" s="22"/>
      <c r="I2" s="22"/>
      <c r="J2" s="22"/>
    </row>
    <row r="3" spans="1:10" ht="15.75">
      <c r="A3" s="577" t="str">
        <f>CONCATENATE("Computation to Determine Limit for ",J1,"")</f>
        <v>Computation to Determine Limit for 2012</v>
      </c>
      <c r="B3" s="578"/>
      <c r="C3" s="578"/>
      <c r="D3" s="578"/>
      <c r="E3" s="578"/>
      <c r="F3" s="578"/>
      <c r="G3" s="578"/>
      <c r="H3" s="578"/>
      <c r="I3" s="578"/>
      <c r="J3" s="578"/>
    </row>
    <row r="4" spans="1:10" ht="15.75">
      <c r="A4" s="22"/>
      <c r="B4" s="22"/>
      <c r="C4" s="22"/>
      <c r="D4" s="22"/>
      <c r="E4" s="578"/>
      <c r="F4" s="578"/>
      <c r="G4" s="578"/>
      <c r="H4" s="156"/>
      <c r="I4" s="22"/>
      <c r="J4" s="157" t="s">
        <v>331</v>
      </c>
    </row>
    <row r="5" spans="1:10" ht="15.75">
      <c r="A5" s="158" t="s">
        <v>332</v>
      </c>
      <c r="B5" s="22" t="str">
        <f>CONCATENATE("Total Tax Levy Amount in ",J1-1," Budget")</f>
        <v>Total Tax Levy Amount in 2011 Budget</v>
      </c>
      <c r="C5" s="22"/>
      <c r="D5" s="22"/>
      <c r="E5" s="51"/>
      <c r="F5" s="51"/>
      <c r="G5" s="51"/>
      <c r="H5" s="159" t="s">
        <v>333</v>
      </c>
      <c r="I5" s="51" t="s">
        <v>334</v>
      </c>
      <c r="J5" s="160">
        <f>inputPrYr!E31</f>
        <v>61013</v>
      </c>
    </row>
    <row r="6" spans="1:10" ht="15.75">
      <c r="A6" s="158" t="s">
        <v>335</v>
      </c>
      <c r="B6" s="22" t="str">
        <f>CONCATENATE("Debt Service Levy in ",J1-1," Budget")</f>
        <v>Debt Service Levy in 2011 Budget</v>
      </c>
      <c r="C6" s="22"/>
      <c r="D6" s="22"/>
      <c r="E6" s="51"/>
      <c r="F6" s="51"/>
      <c r="G6" s="51"/>
      <c r="H6" s="159" t="s">
        <v>336</v>
      </c>
      <c r="I6" s="51" t="s">
        <v>334</v>
      </c>
      <c r="J6" s="57">
        <f>inputPrYr!E18</f>
        <v>3530</v>
      </c>
    </row>
    <row r="7" spans="1:10" ht="15.75">
      <c r="A7" s="158" t="s">
        <v>362</v>
      </c>
      <c r="B7" s="41" t="s">
        <v>359</v>
      </c>
      <c r="C7" s="22"/>
      <c r="D7" s="22"/>
      <c r="E7" s="51"/>
      <c r="F7" s="51"/>
      <c r="G7" s="51"/>
      <c r="H7" s="51"/>
      <c r="I7" s="51" t="s">
        <v>334</v>
      </c>
      <c r="J7" s="57">
        <f>J5-J6</f>
        <v>57483</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8" t="s">
        <v>337</v>
      </c>
      <c r="B11" s="41" t="str">
        <f>CONCATENATE("New Improvements for ",J1-1,":")</f>
        <v>New Improvements for 2011:</v>
      </c>
      <c r="C11" s="22"/>
      <c r="D11" s="22"/>
      <c r="E11" s="159"/>
      <c r="F11" s="159" t="s">
        <v>333</v>
      </c>
      <c r="G11" s="160">
        <f>inputOth!E8</f>
        <v>3555</v>
      </c>
      <c r="H11" s="59"/>
      <c r="I11" s="51"/>
      <c r="J11" s="51"/>
    </row>
    <row r="12" spans="1:10" ht="15.75">
      <c r="A12" s="158"/>
      <c r="B12" s="161"/>
      <c r="C12" s="22"/>
      <c r="D12" s="22"/>
      <c r="E12" s="159"/>
      <c r="F12" s="159"/>
      <c r="G12" s="59"/>
      <c r="H12" s="59"/>
      <c r="I12" s="51"/>
      <c r="J12" s="51"/>
    </row>
    <row r="13" spans="1:10" ht="15.75">
      <c r="A13" s="158" t="s">
        <v>338</v>
      </c>
      <c r="B13" s="41" t="str">
        <f>CONCATENATE("Increase in Personal Property for ",J1-1,":")</f>
        <v>Increase in Personal Property for 2011:</v>
      </c>
      <c r="C13" s="22"/>
      <c r="D13" s="22"/>
      <c r="E13" s="159"/>
      <c r="F13" s="159"/>
      <c r="G13" s="59"/>
      <c r="H13" s="59"/>
      <c r="I13" s="51"/>
      <c r="J13" s="51"/>
    </row>
    <row r="14" spans="1:10" ht="15.75">
      <c r="A14" s="122"/>
      <c r="B14" s="22" t="s">
        <v>339</v>
      </c>
      <c r="C14" s="22" t="str">
        <f>CONCATENATE("Personal Property ",J1-1,"")</f>
        <v>Personal Property 2011</v>
      </c>
      <c r="D14" s="161" t="s">
        <v>333</v>
      </c>
      <c r="E14" s="160">
        <f>inputOth!E9</f>
        <v>70050</v>
      </c>
      <c r="F14" s="159"/>
      <c r="G14" s="51"/>
      <c r="H14" s="51"/>
      <c r="I14" s="59"/>
      <c r="J14" s="51"/>
    </row>
    <row r="15" spans="1:10" ht="15.75">
      <c r="A15" s="161"/>
      <c r="B15" s="22" t="s">
        <v>340</v>
      </c>
      <c r="C15" s="22" t="str">
        <f>CONCATENATE("Personal Property ",J1-2,"")</f>
        <v>Personal Property 2010</v>
      </c>
      <c r="D15" s="161" t="s">
        <v>336</v>
      </c>
      <c r="E15" s="57">
        <f>inputOth!E15</f>
        <v>58848</v>
      </c>
      <c r="F15" s="159"/>
      <c r="G15" s="59"/>
      <c r="H15" s="59"/>
      <c r="I15" s="51"/>
      <c r="J15" s="51"/>
    </row>
    <row r="16" spans="1:10" ht="15.75">
      <c r="A16" s="161"/>
      <c r="B16" s="22" t="s">
        <v>341</v>
      </c>
      <c r="C16" s="22" t="s">
        <v>361</v>
      </c>
      <c r="D16" s="22"/>
      <c r="E16" s="51"/>
      <c r="F16" s="51" t="s">
        <v>333</v>
      </c>
      <c r="G16" s="160">
        <f>IF(E14&gt;E15,E14-E15,0)</f>
        <v>11202</v>
      </c>
      <c r="H16" s="59"/>
      <c r="I16" s="51"/>
      <c r="J16" s="51"/>
    </row>
    <row r="17" spans="1:10" ht="15.75">
      <c r="A17" s="161"/>
      <c r="B17" s="161"/>
      <c r="C17" s="22"/>
      <c r="D17" s="22"/>
      <c r="E17" s="51"/>
      <c r="F17" s="51"/>
      <c r="G17" s="59" t="s">
        <v>354</v>
      </c>
      <c r="H17" s="59"/>
      <c r="I17" s="51"/>
      <c r="J17" s="51"/>
    </row>
    <row r="18" spans="1:10" ht="15.75">
      <c r="A18" s="161" t="s">
        <v>342</v>
      </c>
      <c r="B18" s="41" t="str">
        <f>CONCATENATE("Valuation of annexed territory for ",J1-1,":")</f>
        <v>Valuation of annexed territory for 2011:</v>
      </c>
      <c r="C18" s="22"/>
      <c r="D18" s="22"/>
      <c r="E18" s="59"/>
      <c r="F18" s="51"/>
      <c r="G18" s="51"/>
      <c r="H18" s="51"/>
      <c r="I18" s="51"/>
      <c r="J18" s="51"/>
    </row>
    <row r="19" spans="1:10" ht="15.75">
      <c r="A19" s="161"/>
      <c r="B19" s="22" t="s">
        <v>343</v>
      </c>
      <c r="C19" s="22" t="s">
        <v>363</v>
      </c>
      <c r="D19" s="161" t="s">
        <v>333</v>
      </c>
      <c r="E19" s="160">
        <f>inputOth!E11</f>
        <v>0</v>
      </c>
      <c r="F19" s="51"/>
      <c r="G19" s="51"/>
      <c r="H19" s="51"/>
      <c r="I19" s="51"/>
      <c r="J19" s="51"/>
    </row>
    <row r="20" spans="1:10" ht="15.75">
      <c r="A20" s="161"/>
      <c r="B20" s="22" t="s">
        <v>344</v>
      </c>
      <c r="C20" s="22" t="s">
        <v>364</v>
      </c>
      <c r="D20" s="161" t="s">
        <v>333</v>
      </c>
      <c r="E20" s="160">
        <f>inputOth!E12</f>
        <v>0</v>
      </c>
      <c r="F20" s="51"/>
      <c r="G20" s="59"/>
      <c r="H20" s="59"/>
      <c r="I20" s="51"/>
      <c r="J20" s="51"/>
    </row>
    <row r="21" spans="1:10" ht="15.75">
      <c r="A21" s="161"/>
      <c r="B21" s="22" t="s">
        <v>345</v>
      </c>
      <c r="C21" s="22" t="s">
        <v>360</v>
      </c>
      <c r="D21" s="161" t="s">
        <v>336</v>
      </c>
      <c r="E21" s="160">
        <f>inputOth!E13</f>
        <v>0</v>
      </c>
      <c r="F21" s="51"/>
      <c r="G21" s="59"/>
      <c r="H21" s="59"/>
      <c r="I21" s="51"/>
      <c r="J21" s="51"/>
    </row>
    <row r="22" spans="1:10" ht="15.75">
      <c r="A22" s="161"/>
      <c r="B22" s="22" t="s">
        <v>346</v>
      </c>
      <c r="C22" s="22" t="s">
        <v>365</v>
      </c>
      <c r="D22" s="161"/>
      <c r="E22" s="59"/>
      <c r="F22" s="51" t="s">
        <v>333</v>
      </c>
      <c r="G22" s="160">
        <f>E19+E20-E21</f>
        <v>0</v>
      </c>
      <c r="H22" s="59"/>
      <c r="I22" s="51"/>
      <c r="J22" s="51"/>
    </row>
    <row r="23" spans="1:10" ht="15.75">
      <c r="A23" s="161"/>
      <c r="B23" s="161"/>
      <c r="C23" s="22"/>
      <c r="D23" s="161"/>
      <c r="E23" s="59"/>
      <c r="F23" s="51"/>
      <c r="G23" s="59"/>
      <c r="H23" s="59"/>
      <c r="I23" s="51"/>
      <c r="J23" s="51"/>
    </row>
    <row r="24" spans="1:10" ht="15.75">
      <c r="A24" s="161" t="s">
        <v>347</v>
      </c>
      <c r="B24" s="41" t="str">
        <f>CONCATENATE("Valuation of Property that has Changed in Use during ",J1-1,":")</f>
        <v>Valuation of Property that has Changed in Use during 2011:</v>
      </c>
      <c r="C24" s="22"/>
      <c r="D24" s="22"/>
      <c r="E24" s="51"/>
      <c r="F24" s="51"/>
      <c r="G24" s="51">
        <f>inputOth!E14</f>
        <v>150</v>
      </c>
      <c r="H24" s="51"/>
      <c r="I24" s="51"/>
      <c r="J24" s="51"/>
    </row>
    <row r="25" spans="1:10" ht="15.75">
      <c r="A25" s="22" t="s">
        <v>805</v>
      </c>
      <c r="B25" s="22"/>
      <c r="C25" s="22"/>
      <c r="D25" s="161"/>
      <c r="E25" s="59"/>
      <c r="F25" s="51"/>
      <c r="G25" s="162"/>
      <c r="H25" s="59"/>
      <c r="I25" s="51"/>
      <c r="J25" s="51"/>
    </row>
    <row r="26" spans="1:10" ht="15.75">
      <c r="A26" s="161" t="s">
        <v>348</v>
      </c>
      <c r="B26" s="41" t="s">
        <v>366</v>
      </c>
      <c r="C26" s="22"/>
      <c r="D26" s="22"/>
      <c r="E26" s="51"/>
      <c r="F26" s="51"/>
      <c r="G26" s="160">
        <f>G11+G16+G22+G24</f>
        <v>14907</v>
      </c>
      <c r="H26" s="59"/>
      <c r="I26" s="51"/>
      <c r="J26" s="51"/>
    </row>
    <row r="27" spans="1:10" ht="15.75">
      <c r="A27" s="161"/>
      <c r="B27" s="161"/>
      <c r="C27" s="41"/>
      <c r="D27" s="22"/>
      <c r="E27" s="51"/>
      <c r="F27" s="51"/>
      <c r="G27" s="59"/>
      <c r="H27" s="59"/>
      <c r="I27" s="51"/>
      <c r="J27" s="51"/>
    </row>
    <row r="28" spans="1:10" ht="15.75">
      <c r="A28" s="161" t="s">
        <v>349</v>
      </c>
      <c r="B28" s="22" t="str">
        <f>CONCATENATE("Total Estimated Valuation July 1, ",J1-1,"")</f>
        <v>Total Estimated Valuation July 1, 2011</v>
      </c>
      <c r="C28" s="22"/>
      <c r="D28" s="22"/>
      <c r="E28" s="160">
        <f>inputOth!E7</f>
        <v>1655336</v>
      </c>
      <c r="F28" s="51"/>
      <c r="G28" s="51"/>
      <c r="H28" s="51"/>
      <c r="I28" s="159"/>
      <c r="J28" s="51"/>
    </row>
    <row r="29" spans="1:10" ht="15.75">
      <c r="A29" s="161"/>
      <c r="B29" s="161"/>
      <c r="C29" s="22"/>
      <c r="D29" s="22"/>
      <c r="E29" s="59"/>
      <c r="F29" s="51"/>
      <c r="G29" s="51"/>
      <c r="H29" s="51"/>
      <c r="I29" s="159"/>
      <c r="J29" s="51"/>
    </row>
    <row r="30" spans="1:10" ht="15.75">
      <c r="A30" s="161" t="s">
        <v>350</v>
      </c>
      <c r="B30" s="41" t="s">
        <v>367</v>
      </c>
      <c r="C30" s="22"/>
      <c r="D30" s="22"/>
      <c r="E30" s="51"/>
      <c r="F30" s="51"/>
      <c r="G30" s="160">
        <f>E28-G26</f>
        <v>1640429</v>
      </c>
      <c r="H30" s="59"/>
      <c r="I30" s="159"/>
      <c r="J30" s="51"/>
    </row>
    <row r="31" spans="1:10" ht="15.75">
      <c r="A31" s="161"/>
      <c r="B31" s="161"/>
      <c r="C31" s="41"/>
      <c r="D31" s="22"/>
      <c r="E31" s="22"/>
      <c r="F31" s="22"/>
      <c r="G31" s="96"/>
      <c r="H31" s="61"/>
      <c r="I31" s="161"/>
      <c r="J31" s="22"/>
    </row>
    <row r="32" spans="1:10" ht="15.75">
      <c r="A32" s="161" t="s">
        <v>351</v>
      </c>
      <c r="B32" s="22" t="s">
        <v>368</v>
      </c>
      <c r="C32" s="22"/>
      <c r="D32" s="22"/>
      <c r="E32" s="22"/>
      <c r="F32" s="22"/>
      <c r="G32" s="163">
        <f>IF(G30&gt;0,G26/G30,0)</f>
        <v>0.009087257052880679</v>
      </c>
      <c r="H32" s="61"/>
      <c r="I32" s="22"/>
      <c r="J32" s="22"/>
    </row>
    <row r="33" spans="1:10" ht="15.75">
      <c r="A33" s="161"/>
      <c r="B33" s="161"/>
      <c r="C33" s="22"/>
      <c r="D33" s="22"/>
      <c r="E33" s="22"/>
      <c r="F33" s="22"/>
      <c r="G33" s="61"/>
      <c r="H33" s="61"/>
      <c r="I33" s="22"/>
      <c r="J33" s="22"/>
    </row>
    <row r="34" spans="1:10" ht="15.75">
      <c r="A34" s="161" t="s">
        <v>352</v>
      </c>
      <c r="B34" s="22" t="s">
        <v>369</v>
      </c>
      <c r="C34" s="22"/>
      <c r="D34" s="22"/>
      <c r="E34" s="22"/>
      <c r="F34" s="22"/>
      <c r="G34" s="61"/>
      <c r="H34" s="164" t="s">
        <v>333</v>
      </c>
      <c r="I34" s="22" t="s">
        <v>334</v>
      </c>
      <c r="J34" s="160">
        <f>ROUND(G32*J7,0)</f>
        <v>522</v>
      </c>
    </row>
    <row r="35" spans="1:10" ht="15.75">
      <c r="A35" s="161"/>
      <c r="B35" s="161"/>
      <c r="C35" s="22"/>
      <c r="D35" s="22"/>
      <c r="E35" s="22"/>
      <c r="F35" s="22"/>
      <c r="G35" s="61"/>
      <c r="H35" s="164"/>
      <c r="I35" s="22"/>
      <c r="J35" s="59"/>
    </row>
    <row r="36" spans="1:10" ht="16.5" thickBot="1">
      <c r="A36" s="161" t="s">
        <v>353</v>
      </c>
      <c r="B36" s="41" t="s">
        <v>375</v>
      </c>
      <c r="C36" s="22"/>
      <c r="D36" s="22"/>
      <c r="E36" s="22"/>
      <c r="F36" s="22"/>
      <c r="G36" s="22"/>
      <c r="H36" s="22"/>
      <c r="I36" s="22" t="s">
        <v>334</v>
      </c>
      <c r="J36" s="165">
        <f>J7+J34</f>
        <v>58005</v>
      </c>
    </row>
    <row r="37" spans="1:10" ht="16.5" thickTop="1">
      <c r="A37" s="22"/>
      <c r="B37" s="22"/>
      <c r="C37" s="22"/>
      <c r="D37" s="22"/>
      <c r="E37" s="22"/>
      <c r="F37" s="22"/>
      <c r="G37" s="22"/>
      <c r="H37" s="22"/>
      <c r="I37" s="22"/>
      <c r="J37" s="22"/>
    </row>
    <row r="38" spans="1:10" ht="15.75">
      <c r="A38" s="161" t="s">
        <v>373</v>
      </c>
      <c r="B38" s="41" t="str">
        <f>CONCATENATE("Debt Service Levy in this ",J1," Budget")</f>
        <v>Debt Service Levy in this 2012 Budget</v>
      </c>
      <c r="C38" s="22"/>
      <c r="D38" s="22"/>
      <c r="E38" s="22"/>
      <c r="F38" s="22"/>
      <c r="G38" s="22"/>
      <c r="H38" s="22"/>
      <c r="I38" s="22"/>
      <c r="J38" s="166">
        <v>0</v>
      </c>
    </row>
    <row r="39" spans="1:10" ht="15.75">
      <c r="A39" s="161"/>
      <c r="B39" s="41"/>
      <c r="C39" s="22"/>
      <c r="D39" s="22"/>
      <c r="E39" s="22"/>
      <c r="F39" s="22"/>
      <c r="G39" s="22"/>
      <c r="H39" s="22"/>
      <c r="I39" s="22"/>
      <c r="J39" s="61"/>
    </row>
    <row r="40" spans="1:10" ht="16.5" thickBot="1">
      <c r="A40" s="161" t="s">
        <v>374</v>
      </c>
      <c r="B40" s="41" t="s">
        <v>376</v>
      </c>
      <c r="C40" s="22"/>
      <c r="D40" s="22"/>
      <c r="E40" s="22"/>
      <c r="F40" s="22"/>
      <c r="G40" s="22"/>
      <c r="H40" s="22"/>
      <c r="I40" s="22"/>
      <c r="J40" s="165">
        <f>J36+J38</f>
        <v>58005</v>
      </c>
    </row>
    <row r="41" spans="1:10" ht="16.5" thickTop="1">
      <c r="A41" s="22"/>
      <c r="B41" s="22"/>
      <c r="C41" s="22"/>
      <c r="D41" s="22"/>
      <c r="E41" s="22"/>
      <c r="F41" s="22"/>
      <c r="G41" s="22"/>
      <c r="H41" s="22"/>
      <c r="I41" s="22"/>
      <c r="J41" s="22"/>
    </row>
    <row r="42" spans="1:10" s="167" customFormat="1" ht="18.75">
      <c r="A42" s="575" t="str">
        <f>CONCATENATE("If the ",J1," budget includes tax levies exceeding the total on line 15, you must")</f>
        <v>If the 2012 budget includes tax levies exceeding the total on line 15, you must</v>
      </c>
      <c r="B42" s="575"/>
      <c r="C42" s="575"/>
      <c r="D42" s="575"/>
      <c r="E42" s="575"/>
      <c r="F42" s="575"/>
      <c r="G42" s="575"/>
      <c r="H42" s="575"/>
      <c r="I42" s="575"/>
      <c r="J42" s="575"/>
    </row>
    <row r="43" spans="1:10" s="167" customFormat="1" ht="18.75">
      <c r="A43" s="576" t="s">
        <v>445</v>
      </c>
      <c r="B43" s="576"/>
      <c r="C43" s="576"/>
      <c r="D43" s="576"/>
      <c r="E43" s="576"/>
      <c r="F43" s="576"/>
      <c r="G43" s="576"/>
      <c r="H43" s="576"/>
      <c r="I43" s="576"/>
      <c r="J43" s="576"/>
    </row>
    <row r="44" spans="1:10" ht="15.75" customHeight="1">
      <c r="A44" s="570" t="s">
        <v>446</v>
      </c>
      <c r="B44" s="570"/>
      <c r="C44" s="570"/>
      <c r="D44" s="570"/>
      <c r="E44" s="574"/>
      <c r="F44" s="570"/>
      <c r="G44" s="570"/>
      <c r="H44" s="570"/>
      <c r="I44" s="570"/>
      <c r="J44" s="570"/>
    </row>
  </sheetData>
  <sheetProtection/>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7">
      <selection activeCell="D32" sqref="D32"/>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5" t="str">
        <f>inputPrYr!D2</f>
        <v>CITY OF CLIFTON</v>
      </c>
      <c r="B1" s="155"/>
      <c r="C1" s="22"/>
      <c r="D1" s="22"/>
      <c r="E1" s="22"/>
      <c r="F1" s="22">
        <f>inputPrYr!$C$5</f>
        <v>2012</v>
      </c>
    </row>
    <row r="2" spans="1:6" ht="15.75">
      <c r="A2" s="22"/>
      <c r="B2" s="22"/>
      <c r="C2" s="22"/>
      <c r="D2" s="22"/>
      <c r="E2" s="22"/>
      <c r="F2" s="22"/>
    </row>
    <row r="3" spans="1:6" ht="15.75">
      <c r="A3" s="577" t="s">
        <v>503</v>
      </c>
      <c r="B3" s="577"/>
      <c r="C3" s="577"/>
      <c r="D3" s="577"/>
      <c r="E3" s="577"/>
      <c r="F3" s="22"/>
    </row>
    <row r="4" spans="1:6" ht="15.75">
      <c r="A4" s="22"/>
      <c r="B4" s="168"/>
      <c r="C4" s="169"/>
      <c r="D4" s="169"/>
      <c r="E4" s="22"/>
      <c r="F4" s="22"/>
    </row>
    <row r="5" spans="1:6" ht="21" customHeight="1">
      <c r="A5" s="170" t="s">
        <v>444</v>
      </c>
      <c r="B5" s="171" t="s">
        <v>443</v>
      </c>
      <c r="C5" s="579" t="str">
        <f>CONCATENATE("Allocation for Year ",F1,"")</f>
        <v>Allocation for Year 2012</v>
      </c>
      <c r="D5" s="580"/>
      <c r="E5" s="580"/>
      <c r="F5" s="581"/>
    </row>
    <row r="6" spans="1:6" ht="15.75">
      <c r="A6" s="172" t="str">
        <f>CONCATENATE("for ",F1-1,"")</f>
        <v>for 2011</v>
      </c>
      <c r="B6" s="172" t="str">
        <f>CONCATENATE("for ",F1-2,"")</f>
        <v>for 2010</v>
      </c>
      <c r="C6" s="132" t="s">
        <v>327</v>
      </c>
      <c r="D6" s="132" t="s">
        <v>328</v>
      </c>
      <c r="E6" s="132" t="s">
        <v>326</v>
      </c>
      <c r="F6" s="140" t="s">
        <v>405</v>
      </c>
    </row>
    <row r="7" spans="1:6" ht="15.75">
      <c r="A7" s="70" t="str">
        <f>(inputPrYr!B17)</f>
        <v>General</v>
      </c>
      <c r="B7" s="135">
        <f>(inputPrYr!E17)</f>
        <v>51898</v>
      </c>
      <c r="C7" s="135">
        <f>IF(inputOth!E39=0,0,C22-SUM(C8:C18))</f>
        <v>18771</v>
      </c>
      <c r="D7" s="135">
        <f>IF(inputOth!E40=0,0,D23-SUM(D8:D18))</f>
        <v>337</v>
      </c>
      <c r="E7" s="135">
        <f>IF(inputOth!E41=0,0,E24-SUM(E8:E18))</f>
        <v>1278</v>
      </c>
      <c r="F7" s="135">
        <f>IF(inputOth!E44=0,0,F25-SUM(F8:F18))</f>
        <v>0</v>
      </c>
    </row>
    <row r="8" spans="1:6" ht="15.75">
      <c r="A8" s="70" t="str">
        <f>IF(inputPrYr!$B18&gt;"  ",(inputPrYr!$B18),"  ")</f>
        <v>Spec. Park &amp; Rec</v>
      </c>
      <c r="B8" s="135">
        <f>IF(inputPrYr!$E18&gt;0,(inputPrYr!$E18),"  ")</f>
        <v>3530</v>
      </c>
      <c r="C8" s="135">
        <f>IF(inputPrYr!E18&gt;0,ROUND(B8*$C$27,0),"  ")</f>
        <v>1277</v>
      </c>
      <c r="D8" s="135">
        <f>IF(inputPrYr!E18&gt;0,ROUND(+B8*D$28,0)," ")</f>
        <v>23</v>
      </c>
      <c r="E8" s="135">
        <f>IF(inputPrYr!E18&gt;0,ROUND(+B8*E$29,0)," ")</f>
        <v>87</v>
      </c>
      <c r="F8" s="135">
        <f>IF(inputPrYr!E18&gt;0,ROUND(+B8*F$30,0)," ")</f>
        <v>0</v>
      </c>
    </row>
    <row r="9" spans="1:6" ht="15.75">
      <c r="A9" s="70" t="str">
        <f>IF(inputPrYr!$B20&gt;"  ",(inputPrYr!$B20),"  ")</f>
        <v>Library</v>
      </c>
      <c r="B9" s="135">
        <f>IF(inputPrYr!$E20&gt;0,(inputPrYr!$E20),"  ")</f>
        <v>5585</v>
      </c>
      <c r="C9" s="135">
        <f>IF(inputPrYr!E20&gt;0,ROUND(B9*$C$27,0),"  ")</f>
        <v>2020</v>
      </c>
      <c r="D9" s="135">
        <f>IF(inputPrYr!E20&gt;0,ROUND(+B9*D$28,0)," ")</f>
        <v>36</v>
      </c>
      <c r="E9" s="135">
        <f>IF(inputPrYr!E20&gt;0,ROUND(+B9*E$29,0)," ")</f>
        <v>138</v>
      </c>
      <c r="F9" s="135">
        <f>IF(inputPrYr!E20&gt;0,ROUND(+B9*F$30,0)," ")</f>
        <v>0</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257</v>
      </c>
      <c r="B20" s="173">
        <f>SUM(B7:B19)</f>
        <v>61013</v>
      </c>
      <c r="C20" s="173">
        <f>SUM(C7:C19)</f>
        <v>22068</v>
      </c>
      <c r="D20" s="173">
        <f>SUM(D7:D19)</f>
        <v>396</v>
      </c>
      <c r="E20" s="173">
        <f>SUM(E7:E19)</f>
        <v>1503</v>
      </c>
      <c r="F20" s="173">
        <f>SUM(F7:F19)</f>
        <v>0</v>
      </c>
    </row>
    <row r="21" spans="1:6" ht="16.5" thickTop="1">
      <c r="A21" s="22"/>
      <c r="B21" s="22"/>
      <c r="C21" s="22"/>
      <c r="D21" s="22"/>
      <c r="E21" s="22"/>
      <c r="F21" s="22"/>
    </row>
    <row r="22" spans="1:6" ht="15.75">
      <c r="A22" s="29" t="s">
        <v>258</v>
      </c>
      <c r="B22" s="174"/>
      <c r="C22" s="175">
        <f>(inputOth!E39)</f>
        <v>22068</v>
      </c>
      <c r="D22" s="174"/>
      <c r="E22" s="22"/>
      <c r="F22" s="22"/>
    </row>
    <row r="23" spans="1:6" ht="15.75">
      <c r="A23" s="29" t="s">
        <v>259</v>
      </c>
      <c r="B23" s="22"/>
      <c r="C23" s="22"/>
      <c r="D23" s="175">
        <f>(inputOth!E40)</f>
        <v>396</v>
      </c>
      <c r="E23" s="22"/>
      <c r="F23" s="22"/>
    </row>
    <row r="24" spans="1:6" ht="15.75">
      <c r="A24" s="29" t="s">
        <v>329</v>
      </c>
      <c r="B24" s="22"/>
      <c r="C24" s="22"/>
      <c r="D24" s="22"/>
      <c r="E24" s="175">
        <f>inputOth!E41</f>
        <v>1503</v>
      </c>
      <c r="F24" s="22"/>
    </row>
    <row r="25" spans="1:6" ht="15.75">
      <c r="A25" s="29" t="s">
        <v>501</v>
      </c>
      <c r="B25" s="22"/>
      <c r="C25" s="22"/>
      <c r="D25" s="22"/>
      <c r="E25" s="176"/>
      <c r="F25" s="160">
        <f>inputOth!E44</f>
        <v>0</v>
      </c>
    </row>
    <row r="26" spans="1:6" ht="15.75">
      <c r="A26" s="29"/>
      <c r="B26" s="22"/>
      <c r="C26" s="22"/>
      <c r="D26" s="22"/>
      <c r="E26" s="176"/>
      <c r="F26" s="22"/>
    </row>
    <row r="27" spans="1:6" ht="15.75">
      <c r="A27" s="29" t="s">
        <v>260</v>
      </c>
      <c r="B27" s="22"/>
      <c r="C27" s="177">
        <f>IF(B20=0,0,C22/B20)</f>
        <v>0.36169340960123253</v>
      </c>
      <c r="D27" s="22"/>
      <c r="E27" s="22"/>
      <c r="F27" s="22"/>
    </row>
    <row r="28" spans="1:6" ht="15.75">
      <c r="A28" s="22"/>
      <c r="B28" s="29" t="s">
        <v>261</v>
      </c>
      <c r="C28" s="22"/>
      <c r="D28" s="177">
        <f>IF(B20=0,0,D23/B20)</f>
        <v>0.006490420074410371</v>
      </c>
      <c r="E28" s="22"/>
      <c r="F28" s="22"/>
    </row>
    <row r="29" spans="1:6" ht="15.75">
      <c r="A29" s="22"/>
      <c r="B29" s="22"/>
      <c r="C29" s="29" t="s">
        <v>330</v>
      </c>
      <c r="D29" s="22"/>
      <c r="E29" s="177">
        <f>IF(E24=0,0,E24/B20)</f>
        <v>0.024634094373330275</v>
      </c>
      <c r="F29" s="22"/>
    </row>
    <row r="30" spans="1:6" ht="15.75">
      <c r="A30" s="22"/>
      <c r="B30" s="22"/>
      <c r="C30" s="22"/>
      <c r="D30" s="22" t="s">
        <v>502</v>
      </c>
      <c r="E30" s="22"/>
      <c r="F30" s="177">
        <f>IF(F25=0,0,F25/B20)</f>
        <v>0</v>
      </c>
    </row>
    <row r="31" spans="1:6" ht="15" customHeight="1">
      <c r="A31" s="87"/>
      <c r="B31" s="87"/>
      <c r="C31" s="87"/>
      <c r="D31" s="87"/>
      <c r="E31" s="87"/>
      <c r="F31" s="87"/>
    </row>
    <row r="32" ht="15" customHeight="1"/>
    <row r="33" s="178"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F28" sqref="F28"/>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CLIFTON</v>
      </c>
      <c r="B1" s="86"/>
      <c r="C1" s="88"/>
      <c r="D1" s="88"/>
      <c r="E1" s="88"/>
      <c r="F1" s="88">
        <f>inputPrYr!$C$5</f>
        <v>2012</v>
      </c>
    </row>
    <row r="2" spans="1:6" ht="15.75">
      <c r="A2" s="88"/>
      <c r="B2" s="88"/>
      <c r="C2" s="88"/>
      <c r="D2" s="88"/>
      <c r="E2" s="88"/>
      <c r="F2" s="88"/>
    </row>
    <row r="3" spans="1:6" ht="15.75">
      <c r="A3" s="578" t="s">
        <v>381</v>
      </c>
      <c r="B3" s="578"/>
      <c r="C3" s="578"/>
      <c r="D3" s="578"/>
      <c r="E3" s="578"/>
      <c r="F3" s="578"/>
    </row>
    <row r="4" spans="1:6" ht="15.75">
      <c r="A4" s="179"/>
      <c r="B4" s="179"/>
      <c r="C4" s="179"/>
      <c r="D4" s="179"/>
      <c r="E4" s="179"/>
      <c r="F4" s="179"/>
    </row>
    <row r="5" spans="1:6" ht="15.75">
      <c r="A5" s="180" t="s">
        <v>600</v>
      </c>
      <c r="B5" s="180" t="s">
        <v>602</v>
      </c>
      <c r="C5" s="180" t="s">
        <v>278</v>
      </c>
      <c r="D5" s="180" t="s">
        <v>394</v>
      </c>
      <c r="E5" s="180" t="s">
        <v>395</v>
      </c>
      <c r="F5" s="180" t="s">
        <v>436</v>
      </c>
    </row>
    <row r="6" spans="1:6" ht="15.75">
      <c r="A6" s="181" t="s">
        <v>601</v>
      </c>
      <c r="B6" s="181" t="s">
        <v>603</v>
      </c>
      <c r="C6" s="181" t="s">
        <v>437</v>
      </c>
      <c r="D6" s="181" t="s">
        <v>437</v>
      </c>
      <c r="E6" s="181" t="s">
        <v>437</v>
      </c>
      <c r="F6" s="181" t="s">
        <v>438</v>
      </c>
    </row>
    <row r="7" spans="1:6" ht="15" customHeight="1">
      <c r="A7" s="182" t="s">
        <v>439</v>
      </c>
      <c r="B7" s="182" t="s">
        <v>440</v>
      </c>
      <c r="C7" s="183">
        <f>F1-2</f>
        <v>2010</v>
      </c>
      <c r="D7" s="183">
        <f>F1-1</f>
        <v>2011</v>
      </c>
      <c r="E7" s="183">
        <f>F1</f>
        <v>2012</v>
      </c>
      <c r="F7" s="182" t="s">
        <v>441</v>
      </c>
    </row>
    <row r="8" spans="1:6" ht="14.25" customHeight="1">
      <c r="A8" s="184" t="s">
        <v>213</v>
      </c>
      <c r="B8" s="184" t="s">
        <v>684</v>
      </c>
      <c r="C8" s="506"/>
      <c r="D8" s="506">
        <v>500</v>
      </c>
      <c r="E8" s="506">
        <v>500</v>
      </c>
      <c r="F8" s="184" t="s">
        <v>687</v>
      </c>
    </row>
    <row r="9" spans="1:6" ht="15" customHeight="1">
      <c r="A9" s="185" t="s">
        <v>673</v>
      </c>
      <c r="B9" s="185" t="s">
        <v>684</v>
      </c>
      <c r="C9" s="507">
        <v>1500</v>
      </c>
      <c r="D9" s="507">
        <v>2000</v>
      </c>
      <c r="E9" s="507">
        <v>2000</v>
      </c>
      <c r="F9" s="184" t="s">
        <v>687</v>
      </c>
    </row>
    <row r="10" spans="1:6" ht="15" customHeight="1">
      <c r="A10" s="185" t="s">
        <v>685</v>
      </c>
      <c r="B10" s="185" t="s">
        <v>684</v>
      </c>
      <c r="C10" s="507">
        <v>2000</v>
      </c>
      <c r="D10" s="507">
        <v>1000</v>
      </c>
      <c r="E10" s="507">
        <v>1000</v>
      </c>
      <c r="F10" s="184" t="s">
        <v>687</v>
      </c>
    </row>
    <row r="11" spans="1:6" ht="15" customHeight="1">
      <c r="A11" s="185" t="s">
        <v>685</v>
      </c>
      <c r="B11" s="185" t="s">
        <v>680</v>
      </c>
      <c r="C11" s="507">
        <v>2000</v>
      </c>
      <c r="D11" s="507">
        <v>2000</v>
      </c>
      <c r="E11" s="507">
        <v>2000</v>
      </c>
      <c r="F11" s="185" t="s">
        <v>688</v>
      </c>
    </row>
    <row r="12" spans="1:6" ht="15" customHeight="1">
      <c r="A12" s="185" t="s">
        <v>673</v>
      </c>
      <c r="B12" s="185" t="s">
        <v>686</v>
      </c>
      <c r="C12" s="507">
        <v>1500</v>
      </c>
      <c r="D12" s="507">
        <v>1700</v>
      </c>
      <c r="E12" s="507">
        <v>2000</v>
      </c>
      <c r="F12" s="185" t="s">
        <v>688</v>
      </c>
    </row>
    <row r="13" spans="1:6" ht="15" customHeight="1">
      <c r="A13" s="185" t="s">
        <v>685</v>
      </c>
      <c r="B13" s="185" t="s">
        <v>686</v>
      </c>
      <c r="C13" s="507">
        <v>2000</v>
      </c>
      <c r="D13" s="507">
        <v>1000</v>
      </c>
      <c r="E13" s="507">
        <v>1000</v>
      </c>
      <c r="F13" s="185" t="s">
        <v>688</v>
      </c>
    </row>
    <row r="14" spans="1:6" ht="15" customHeight="1">
      <c r="A14" s="185" t="s">
        <v>674</v>
      </c>
      <c r="B14" s="185" t="s">
        <v>686</v>
      </c>
      <c r="C14" s="507">
        <v>15000</v>
      </c>
      <c r="D14" s="507">
        <v>20000</v>
      </c>
      <c r="E14" s="507">
        <v>22000</v>
      </c>
      <c r="F14" s="185" t="s">
        <v>700</v>
      </c>
    </row>
    <row r="15" spans="1:6" ht="15" customHeight="1">
      <c r="A15" s="185"/>
      <c r="B15" s="185"/>
      <c r="C15" s="507"/>
      <c r="D15" s="507"/>
      <c r="E15" s="507"/>
      <c r="F15" s="185"/>
    </row>
    <row r="16" spans="1:6" ht="15" customHeight="1">
      <c r="A16" s="185"/>
      <c r="B16" s="185"/>
      <c r="C16" s="507"/>
      <c r="D16" s="507"/>
      <c r="E16" s="507"/>
      <c r="F16" s="185"/>
    </row>
    <row r="17" spans="1:6" ht="15" customHeight="1">
      <c r="A17" s="185"/>
      <c r="B17" s="185"/>
      <c r="C17" s="507"/>
      <c r="D17" s="507"/>
      <c r="E17" s="507"/>
      <c r="F17" s="185"/>
    </row>
    <row r="18" spans="1:6" ht="15" customHeight="1">
      <c r="A18" s="185"/>
      <c r="B18" s="185"/>
      <c r="C18" s="507"/>
      <c r="D18" s="507"/>
      <c r="E18" s="507"/>
      <c r="F18" s="185"/>
    </row>
    <row r="19" spans="1:6" ht="15" customHeight="1">
      <c r="A19" s="185"/>
      <c r="B19" s="185"/>
      <c r="C19" s="507"/>
      <c r="D19" s="507"/>
      <c r="E19" s="507"/>
      <c r="F19" s="185"/>
    </row>
    <row r="20" spans="1:6" ht="15" customHeight="1">
      <c r="A20" s="185"/>
      <c r="B20" s="185"/>
      <c r="C20" s="507"/>
      <c r="D20" s="507"/>
      <c r="E20" s="507"/>
      <c r="F20" s="185"/>
    </row>
    <row r="21" spans="1:6" ht="15" customHeight="1">
      <c r="A21" s="185"/>
      <c r="B21" s="185"/>
      <c r="C21" s="507"/>
      <c r="D21" s="507"/>
      <c r="E21" s="507"/>
      <c r="F21" s="185"/>
    </row>
    <row r="22" spans="1:6" ht="15" customHeight="1">
      <c r="A22" s="185"/>
      <c r="B22" s="185"/>
      <c r="C22" s="507"/>
      <c r="D22" s="507"/>
      <c r="E22" s="507"/>
      <c r="F22" s="185"/>
    </row>
    <row r="23" spans="1:6" ht="15" customHeight="1">
      <c r="A23" s="185"/>
      <c r="B23" s="185"/>
      <c r="C23" s="507"/>
      <c r="D23" s="507"/>
      <c r="E23" s="507"/>
      <c r="F23" s="185"/>
    </row>
    <row r="24" spans="1:6" ht="15" customHeight="1">
      <c r="A24" s="185"/>
      <c r="B24" s="185"/>
      <c r="C24" s="507"/>
      <c r="D24" s="507"/>
      <c r="E24" s="507"/>
      <c r="F24" s="185"/>
    </row>
    <row r="25" spans="1:6" ht="15" customHeight="1">
      <c r="A25" s="185"/>
      <c r="B25" s="185"/>
      <c r="C25" s="507"/>
      <c r="D25" s="507"/>
      <c r="E25" s="507"/>
      <c r="F25" s="185"/>
    </row>
    <row r="26" spans="1:6" ht="15" customHeight="1">
      <c r="A26" s="186"/>
      <c r="B26" s="187" t="s">
        <v>250</v>
      </c>
      <c r="C26" s="505">
        <f>SUM(C8:C25)</f>
        <v>24000</v>
      </c>
      <c r="D26" s="505">
        <f>SUM(D8:D25)</f>
        <v>28200</v>
      </c>
      <c r="E26" s="505">
        <f>SUM(E8:E25)</f>
        <v>30500</v>
      </c>
      <c r="F26" s="186"/>
    </row>
    <row r="27" spans="1:6" ht="15" customHeight="1">
      <c r="A27" s="186"/>
      <c r="B27" s="189" t="s">
        <v>604</v>
      </c>
      <c r="C27" s="140"/>
      <c r="D27" s="185"/>
      <c r="E27" s="185"/>
      <c r="F27" s="186"/>
    </row>
    <row r="28" spans="1:6" ht="15" customHeight="1">
      <c r="A28" s="186"/>
      <c r="B28" s="187" t="s">
        <v>442</v>
      </c>
      <c r="C28" s="505">
        <f>C26</f>
        <v>24000</v>
      </c>
      <c r="D28" s="505">
        <f>SUM(D26-D27)</f>
        <v>28200</v>
      </c>
      <c r="E28" s="505">
        <f>SUM(E26-E27)</f>
        <v>30500</v>
      </c>
      <c r="F28" s="186"/>
    </row>
    <row r="29" spans="1:6" ht="15" customHeight="1">
      <c r="A29" s="80"/>
      <c r="B29" s="80"/>
      <c r="C29" s="80"/>
      <c r="D29" s="80"/>
      <c r="E29" s="80"/>
      <c r="F29" s="80"/>
    </row>
    <row r="30" spans="1:6" ht="15" customHeight="1">
      <c r="A30" s="80"/>
      <c r="B30" s="80"/>
      <c r="C30" s="80"/>
      <c r="D30" s="80"/>
      <c r="E30" s="80"/>
      <c r="F30" s="80"/>
    </row>
    <row r="31" spans="1:6" ht="21.75" customHeight="1">
      <c r="A31" s="347" t="s">
        <v>599</v>
      </c>
      <c r="B31" s="34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D32" sqref="D32"/>
    </sheetView>
  </sheetViews>
  <sheetFormatPr defaultColWidth="8.796875" defaultRowHeight="15"/>
  <cols>
    <col min="1" max="1" width="70.59765625" style="309" customWidth="1"/>
    <col min="2" max="16384" width="8.8984375" style="309" customWidth="1"/>
  </cols>
  <sheetData>
    <row r="1" ht="18.75">
      <c r="A1" s="311" t="s">
        <v>230</v>
      </c>
    </row>
    <row r="2" ht="18.75">
      <c r="A2" s="311"/>
    </row>
    <row r="3" ht="18.75">
      <c r="A3" s="311"/>
    </row>
    <row r="4" ht="51.75" customHeight="1">
      <c r="A4" s="464" t="s">
        <v>785</v>
      </c>
    </row>
    <row r="5" ht="18.75">
      <c r="A5" s="311"/>
    </row>
    <row r="6" ht="15.75">
      <c r="A6" s="312"/>
    </row>
    <row r="7" ht="47.25">
      <c r="A7" s="313" t="s">
        <v>231</v>
      </c>
    </row>
    <row r="8" ht="15.75">
      <c r="A8" s="312"/>
    </row>
    <row r="9" ht="15.75">
      <c r="A9" s="312"/>
    </row>
    <row r="10" ht="63">
      <c r="A10" s="313" t="s">
        <v>232</v>
      </c>
    </row>
    <row r="11" ht="15.75">
      <c r="A11" s="465"/>
    </row>
    <row r="12" ht="15.75">
      <c r="A12" s="312"/>
    </row>
    <row r="13" ht="47.25">
      <c r="A13" s="313" t="s">
        <v>233</v>
      </c>
    </row>
    <row r="14" ht="15.75">
      <c r="A14" s="465"/>
    </row>
    <row r="15" ht="15.75">
      <c r="A15" s="312"/>
    </row>
    <row r="16" ht="47.25">
      <c r="A16" s="313" t="s">
        <v>234</v>
      </c>
    </row>
    <row r="17" ht="15.75">
      <c r="A17" s="465"/>
    </row>
    <row r="18" ht="15.75">
      <c r="A18" s="465"/>
    </row>
    <row r="19" ht="47.25">
      <c r="A19" s="313" t="s">
        <v>235</v>
      </c>
    </row>
    <row r="20" ht="15.75">
      <c r="A20" s="465"/>
    </row>
    <row r="21" ht="15.75">
      <c r="A21" s="465"/>
    </row>
    <row r="22" ht="47.25">
      <c r="A22" s="313" t="s">
        <v>236</v>
      </c>
    </row>
    <row r="23" ht="15.75">
      <c r="A23" s="465"/>
    </row>
    <row r="24" ht="15.75">
      <c r="A24" s="465"/>
    </row>
    <row r="25" ht="31.5">
      <c r="A25" s="313" t="s">
        <v>237</v>
      </c>
    </row>
    <row r="26" ht="15.75">
      <c r="A26" s="312"/>
    </row>
    <row r="27" ht="15.75">
      <c r="A27" s="312"/>
    </row>
    <row r="28" ht="60">
      <c r="A28" s="466" t="s">
        <v>238</v>
      </c>
    </row>
    <row r="29" ht="15">
      <c r="A29" s="467"/>
    </row>
    <row r="30" ht="15">
      <c r="A30" s="467"/>
    </row>
    <row r="31" ht="47.25">
      <c r="A31" s="313" t="s">
        <v>239</v>
      </c>
    </row>
    <row r="32" ht="15.75">
      <c r="A32" s="312"/>
    </row>
    <row r="33" ht="15.75">
      <c r="A33" s="312"/>
    </row>
    <row r="34" ht="66.75" customHeight="1">
      <c r="A34" s="463" t="s">
        <v>786</v>
      </c>
    </row>
    <row r="35" ht="15.75">
      <c r="A35" s="312"/>
    </row>
    <row r="36" ht="15.75">
      <c r="A36" s="312"/>
    </row>
    <row r="37" ht="63">
      <c r="A37" s="468" t="s">
        <v>240</v>
      </c>
    </row>
    <row r="38" ht="15.75">
      <c r="A38" s="465"/>
    </row>
    <row r="39" ht="15.75">
      <c r="A39" s="312"/>
    </row>
    <row r="40" ht="63">
      <c r="A40" s="313" t="s">
        <v>241</v>
      </c>
    </row>
    <row r="41" ht="15.75">
      <c r="A41" s="465"/>
    </row>
    <row r="42" ht="15.75">
      <c r="A42" s="465"/>
    </row>
    <row r="43" ht="82.5" customHeight="1">
      <c r="A43" s="461" t="s">
        <v>787</v>
      </c>
    </row>
    <row r="44" ht="15.75">
      <c r="A44" s="465"/>
    </row>
    <row r="45" ht="15.75">
      <c r="A45" s="465"/>
    </row>
    <row r="46" ht="69" customHeight="1">
      <c r="A46" s="461" t="s">
        <v>788</v>
      </c>
    </row>
    <row r="47" ht="15.75">
      <c r="A47" s="465"/>
    </row>
    <row r="48" ht="15.75">
      <c r="A48" s="465"/>
    </row>
    <row r="49" ht="69" customHeight="1">
      <c r="A49" s="461" t="s">
        <v>789</v>
      </c>
    </row>
    <row r="50" ht="15.75">
      <c r="A50" s="465"/>
    </row>
    <row r="51" ht="15.75">
      <c r="A51" s="465"/>
    </row>
    <row r="52" ht="63">
      <c r="A52" s="313" t="s">
        <v>242</v>
      </c>
    </row>
    <row r="53" ht="15.75">
      <c r="A53" s="465"/>
    </row>
    <row r="54" ht="15.75">
      <c r="A54" s="465"/>
    </row>
    <row r="55" ht="63">
      <c r="A55" s="313" t="s">
        <v>0</v>
      </c>
    </row>
    <row r="56" ht="15.75">
      <c r="A56" s="465"/>
    </row>
    <row r="57" ht="15.75">
      <c r="A57" s="465"/>
    </row>
    <row r="58" ht="47.25">
      <c r="A58" s="313" t="s">
        <v>1</v>
      </c>
    </row>
    <row r="59" ht="15.75">
      <c r="A59" s="465"/>
    </row>
    <row r="60" ht="15.75">
      <c r="A60" s="465"/>
    </row>
    <row r="61" ht="47.25">
      <c r="A61" s="313" t="s">
        <v>2</v>
      </c>
    </row>
    <row r="62" ht="15.75">
      <c r="A62" s="465"/>
    </row>
    <row r="63" ht="15.75">
      <c r="A63" s="465"/>
    </row>
    <row r="64" ht="78.75">
      <c r="A64" s="313" t="s">
        <v>3</v>
      </c>
    </row>
    <row r="65" ht="15">
      <c r="A65" s="469"/>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2011-08-06T15:38:45Z</cp:lastPrinted>
  <dcterms:created xsi:type="dcterms:W3CDTF">1999-08-03T13:11:47Z</dcterms:created>
  <dcterms:modified xsi:type="dcterms:W3CDTF">2014-02-03T21:19:56Z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