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28" yWindow="65260" windowWidth="13416" windowHeight="10392" tabRatio="909" firstSheet="5" activeTab="10"/>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lpform" sheetId="9" r:id="rId9"/>
    <sheet name="general" sheetId="10" r:id="rId10"/>
    <sheet name="general-detail" sheetId="11" r:id="rId11"/>
    <sheet name="LibraryBondInt" sheetId="12" r:id="rId12"/>
    <sheet name="SpHiwayWaterSewerRefuse" sheetId="13" r:id="rId13"/>
    <sheet name="CapImprSewerSystemReserve" sheetId="14" r:id="rId14"/>
    <sheet name="SpecLawEnfTrustHousing Grant" sheetId="15" r:id="rId15"/>
    <sheet name="WaterStorageGrantStormSewerProj" sheetId="16" r:id="rId16"/>
    <sheet name="summ" sheetId="17" r:id="rId17"/>
    <sheet name="nhood" sheetId="18" r:id="rId18"/>
    <sheet name="BondInt" sheetId="19" r:id="rId19"/>
    <sheet name="levy page13" sheetId="20" r:id="rId20"/>
    <sheet name="no levy page17" sheetId="21" r:id="rId21"/>
    <sheet name="no levy page18" sheetId="22" r:id="rId22"/>
    <sheet name="no levy page19" sheetId="23" r:id="rId23"/>
    <sheet name="SinNoLevy20" sheetId="24" r:id="rId24"/>
    <sheet name="ordinance" sheetId="25" r:id="rId25"/>
    <sheet name="legend" sheetId="26" r:id="rId26"/>
    <sheet name="SinNoLevy22" sheetId="27" r:id="rId27"/>
    <sheet name="SinNoLevy23" sheetId="28" r:id="rId28"/>
    <sheet name="NonBudA" sheetId="29" r:id="rId29"/>
    <sheet name="NonBudB" sheetId="30" r:id="rId30"/>
    <sheet name="NonBudC" sheetId="31" r:id="rId31"/>
    <sheet name="NonBudD" sheetId="32" r:id="rId32"/>
    <sheet name="Sheet1" sheetId="33" r:id="rId33"/>
  </sheets>
  <definedNames>
    <definedName name="_xlnm.Print_Area" localSheetId="13">'CapImprSewerSystemReserve'!$A$1:$E$49</definedName>
    <definedName name="_xlnm.Print_Area" localSheetId="7">'debt'!$A$1:$L$34</definedName>
    <definedName name="_xlnm.Print_Area" localSheetId="9">'general'!$A$1:$E$91</definedName>
    <definedName name="_xlnm.Print_Area" localSheetId="10">'general-detail'!$A$1:$D$65</definedName>
    <definedName name="_xlnm.Print_Area" localSheetId="1">'inputPrYr'!$A$1:$E$70</definedName>
    <definedName name="_xlnm.Print_Area" localSheetId="11">'LibraryBondInt'!$A$1:$E$67</definedName>
    <definedName name="_xlnm.Print_Area" localSheetId="8">'lpform'!$A$1:$H$38</definedName>
    <definedName name="_xlnm.Print_Area" localSheetId="14">'SpecLawEnfTrustHousing Grant'!$A$1:$E$48</definedName>
    <definedName name="_xlnm.Print_Area" localSheetId="12">'SpHiwayWaterSewerRefuse'!$A$1:$E$69</definedName>
    <definedName name="_xlnm.Print_Area" localSheetId="16">'summ'!$A$1:$H$48</definedName>
    <definedName name="_xlnm.Print_Area" localSheetId="6">'transfers'!$A$1:$F$30</definedName>
    <definedName name="_xlnm.Print_Area" localSheetId="15">'WaterStorageGrantStormSewerProj'!$A$1:$E$51</definedName>
  </definedNames>
  <calcPr fullCalcOnLoad="1"/>
</workbook>
</file>

<file path=xl/sharedStrings.xml><?xml version="1.0" encoding="utf-8"?>
<sst xmlns="http://schemas.openxmlformats.org/spreadsheetml/2006/main" count="1331" uniqueCount="533">
  <si>
    <t>Business License/Permits</t>
  </si>
  <si>
    <t>ADMINISTRATION</t>
  </si>
  <si>
    <t>STREETS</t>
  </si>
  <si>
    <t>PARKS &amp; RECREATION</t>
  </si>
  <si>
    <t>POLICE</t>
  </si>
  <si>
    <t>FIRE</t>
  </si>
  <si>
    <t>EMPLOYEE BENEFITS</t>
  </si>
  <si>
    <t>CEMETERY</t>
  </si>
  <si>
    <t>SALES TAX PROJECTS</t>
  </si>
  <si>
    <t xml:space="preserve">   Streets</t>
  </si>
  <si>
    <t xml:space="preserve">   Water/Sewer</t>
  </si>
  <si>
    <t xml:space="preserve">    Commodities</t>
  </si>
  <si>
    <t xml:space="preserve">    Parks &amp; Recreation</t>
  </si>
  <si>
    <t xml:space="preserve">    Transfer to Capital Improvement Fund</t>
  </si>
  <si>
    <t xml:space="preserve">    Other Improvements</t>
  </si>
  <si>
    <t xml:space="preserve">    Contractual</t>
  </si>
  <si>
    <t xml:space="preserve">   Workers Comp Insurance</t>
  </si>
  <si>
    <t xml:space="preserve">   Health Insurance - City Share</t>
  </si>
  <si>
    <t xml:space="preserve">   Retirement - City Share</t>
  </si>
  <si>
    <t xml:space="preserve">   Payroll Taxes</t>
  </si>
  <si>
    <t xml:space="preserve">   Unemployment Insurance - City Share</t>
  </si>
  <si>
    <t>EMERGENCY SERVICES</t>
  </si>
  <si>
    <t>UTILITIES</t>
  </si>
  <si>
    <t>Annual Library Payment</t>
  </si>
  <si>
    <t>Materials Sold</t>
  </si>
  <si>
    <t>Road Materials</t>
  </si>
  <si>
    <t>Commodities</t>
  </si>
  <si>
    <t>Salaries</t>
  </si>
  <si>
    <t>Transfer from General Fund</t>
  </si>
  <si>
    <t>Contractual</t>
  </si>
  <si>
    <t>Sewer System Reserve Receipts</t>
  </si>
  <si>
    <t>Delayed Payment Charges</t>
  </si>
  <si>
    <t>Water Receipts</t>
  </si>
  <si>
    <t>Sewer Receipts</t>
  </si>
  <si>
    <t>Refuse Receipts</t>
  </si>
  <si>
    <t>Connect Fees</t>
  </si>
  <si>
    <t>NSF Fees</t>
  </si>
  <si>
    <t xml:space="preserve">  Transfer to General Fund</t>
  </si>
  <si>
    <t xml:space="preserve">   Personal Services</t>
  </si>
  <si>
    <t xml:space="preserve">   Commodities</t>
  </si>
  <si>
    <t xml:space="preserve">   Contractual Services</t>
  </si>
  <si>
    <t xml:space="preserve">   Utilities</t>
  </si>
  <si>
    <t xml:space="preserve">  Capital outlay</t>
  </si>
  <si>
    <t xml:space="preserve">  Refuse Contractual Services</t>
  </si>
  <si>
    <t>Bond Payment</t>
  </si>
  <si>
    <t>Interest Payment</t>
  </si>
  <si>
    <t>Fees for bond payment</t>
  </si>
  <si>
    <t>Capital Outlay</t>
  </si>
  <si>
    <t>Spec. Law Enf. Trust Fund</t>
  </si>
  <si>
    <t>Siezure Money</t>
  </si>
  <si>
    <t>Detailed budget information is available at City Hall</t>
  </si>
  <si>
    <t xml:space="preserve">    Appropriation-USD 498</t>
  </si>
  <si>
    <t>Pool Receipts</t>
  </si>
  <si>
    <t>Retail Sales Tax Revenue</t>
  </si>
  <si>
    <t>State Aid</t>
  </si>
  <si>
    <t>Housing Grant Fund</t>
  </si>
  <si>
    <t>Grant Income</t>
  </si>
  <si>
    <t>Local Match</t>
  </si>
  <si>
    <t>Grant Expenditures - Housing Activities</t>
  </si>
  <si>
    <t>Grant Expenditures - Administrative</t>
  </si>
  <si>
    <t>*</t>
  </si>
  <si>
    <t>* These funds not required to have a legal operating budget.</t>
  </si>
  <si>
    <t>* Not a budget violation as fund not required</t>
  </si>
  <si>
    <t>to have a general operating budget.</t>
  </si>
  <si>
    <t>2009 GMC Sierra Pickup</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</si>
  <si>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</si>
  <si>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</si>
  <si>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</si>
  <si>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</si>
  <si>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</si>
  <si>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</si>
  <si>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</si>
  <si>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</si>
  <si>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</si>
  <si>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</si>
  <si>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</si>
  <si>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</si>
  <si>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</si>
  <si>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</si>
  <si>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</si>
  <si>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</si>
  <si>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</si>
  <si>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</si>
  <si>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</si>
  <si>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</si>
  <si>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</si>
  <si>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</si>
  <si>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</si>
  <si>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</si>
  <si>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</si>
  <si>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State Use Only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</si>
  <si>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</si>
  <si>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</si>
  <si>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</si>
  <si>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</si>
  <si>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</si>
  <si>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</si>
  <si>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</si>
  <si>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</si>
  <si>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</si>
  <si>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</si>
  <si>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</si>
  <si>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</si>
  <si>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</si>
  <si>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</si>
  <si>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</si>
  <si>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</si>
  <si>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</si>
  <si>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</si>
  <si>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</si>
  <si>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</si>
  <si>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</si>
  <si>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</si>
  <si>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</si>
  <si>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</si>
  <si>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Non-Appropriated Balance</t>
  </si>
  <si>
    <t>Tax Required</t>
  </si>
  <si>
    <t>%</t>
  </si>
  <si>
    <t>Page No.</t>
  </si>
  <si>
    <t xml:space="preserve">           Fund - Detail Expend</t>
  </si>
  <si>
    <t xml:space="preserve">  Salaries</t>
  </si>
  <si>
    <t>Page Total</t>
  </si>
  <si>
    <t xml:space="preserve">The governing body of </t>
  </si>
  <si>
    <t>and will be available at this hearing.</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</si>
  <si>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</si>
  <si>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</si>
  <si>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</si>
  <si>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</si>
  <si>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</si>
  <si>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</si>
  <si>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</si>
  <si>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</si>
  <si>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</si>
  <si>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</si>
  <si>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</si>
  <si>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</si>
  <si>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</si>
  <si>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</si>
  <si>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</si>
  <si>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</si>
  <si>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</si>
  <si>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</si>
  <si>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</si>
  <si>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</si>
  <si>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</si>
  <si>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</si>
  <si>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</si>
  <si>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</si>
  <si>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</si>
  <si>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</si>
  <si>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</si>
  <si>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</si>
  <si>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</si>
  <si>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</si>
  <si>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</si>
  <si>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</si>
  <si>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</si>
  <si>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</si>
  <si>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</si>
  <si>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</si>
  <si>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</si>
  <si>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</si>
  <si>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</si>
  <si>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</si>
  <si>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</si>
  <si>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</si>
  <si>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</si>
  <si>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</si>
  <si>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We, the undersigned,  officers of</t>
  </si>
  <si>
    <t>Received_______________</t>
  </si>
  <si>
    <t>Reviewed by___________</t>
  </si>
  <si>
    <t>Follow-up:  Yes___No___</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</si>
  <si>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</si>
  <si>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</si>
  <si>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</si>
  <si>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</si>
  <si>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</si>
  <si>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</si>
  <si>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</si>
  <si>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OPTIONAL DETAIL PAGE FOR ANY FUND</t>
  </si>
  <si>
    <t>STATEMENT OF INDEBTEDNESS</t>
  </si>
  <si>
    <t>16/20M Veh</t>
  </si>
  <si>
    <t>MVT</t>
  </si>
  <si>
    <t>RVT</t>
  </si>
  <si>
    <t>County Treasurers 16/20M Vehicle Estimate</t>
  </si>
  <si>
    <t>16/20M Vehicle Factor</t>
  </si>
  <si>
    <t>hearing and answering objections of taxpayers relating  to the proposed use of all funds and the amount of ad valorem tax.</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</si>
  <si>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</si>
  <si>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</si>
  <si>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</si>
  <si>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</si>
  <si>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</si>
  <si>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</si>
  <si>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</si>
  <si>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</si>
  <si>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</si>
  <si>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</si>
  <si>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</si>
  <si>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</si>
  <si>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</si>
  <si>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</si>
  <si>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</si>
  <si>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</si>
  <si>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</si>
  <si>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</si>
  <si>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</si>
  <si>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</si>
  <si>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</si>
  <si>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</si>
  <si>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</si>
  <si>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</si>
  <si>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</si>
  <si>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</si>
  <si>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</si>
  <si>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</si>
  <si>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</si>
  <si>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</si>
  <si>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</si>
  <si>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</si>
  <si>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</si>
  <si>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</si>
  <si>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</si>
  <si>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</si>
  <si>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</si>
  <si>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</si>
  <si>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</si>
  <si>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</si>
  <si>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</si>
  <si>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</si>
  <si>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</si>
  <si>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</si>
  <si>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</si>
  <si>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</si>
  <si>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</si>
  <si>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</si>
  <si>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</si>
  <si>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</si>
  <si>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</si>
  <si>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</si>
  <si>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</si>
  <si>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</si>
  <si>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</si>
  <si>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</si>
  <si>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</si>
  <si>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</si>
  <si>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</si>
  <si>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</si>
  <si>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</si>
  <si>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</si>
  <si>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</si>
  <si>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</si>
  <si>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</si>
  <si>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</si>
  <si>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</si>
  <si>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</si>
  <si>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 xml:space="preserve">Fund </t>
  </si>
  <si>
    <t>Current</t>
  </si>
  <si>
    <t>Proposed</t>
  </si>
  <si>
    <t>The General fund has a detail page (general-detail) which can be used to disclose more insight of the expenditures by a department.  The expenditures categories can be changed or additional lines can be added if needed.  If used, ensure the amounts agree with the General fund page amounts.</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</si>
  <si>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</si>
  <si>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</si>
  <si>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</si>
  <si>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</si>
  <si>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</si>
  <si>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In Lieu of Tax (IRB)</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</si>
  <si>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</si>
  <si>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</si>
  <si>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</si>
  <si>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</si>
  <si>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</si>
  <si>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</si>
  <si>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</si>
  <si>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</si>
  <si>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</si>
  <si>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</si>
  <si>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</si>
  <si>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</si>
  <si>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</si>
  <si>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Bond &amp; Interest</t>
  </si>
  <si>
    <t>16\20 M Vehicle Tax</t>
  </si>
  <si>
    <t>LAVTR</t>
  </si>
  <si>
    <t>City and County Revenue Sharing</t>
  </si>
  <si>
    <t>Slider</t>
  </si>
  <si>
    <t xml:space="preserve">   </t>
  </si>
  <si>
    <t>Rate used in this budget-this will be shown on all fund pages with a tax levy</t>
  </si>
  <si>
    <t>Enter year being budgeted (YYYY)</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</si>
  <si>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</si>
  <si>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</si>
  <si>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</si>
  <si>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</si>
  <si>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</si>
  <si>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</si>
  <si>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</si>
  <si>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</si>
  <si>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Ad Valorem</t>
  </si>
  <si>
    <t>Tax</t>
  </si>
  <si>
    <t>Beginning Amount</t>
  </si>
  <si>
    <t xml:space="preserve">of </t>
  </si>
  <si>
    <t>Outstanding</t>
  </si>
  <si>
    <t>Retirement</t>
  </si>
  <si>
    <t xml:space="preserve">Total Other </t>
  </si>
  <si>
    <t>Transfers</t>
  </si>
  <si>
    <t xml:space="preserve">Transferred </t>
  </si>
  <si>
    <t>Transferred</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</si>
  <si>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</si>
  <si>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</si>
  <si>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</si>
  <si>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</si>
  <si>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</si>
  <si>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</si>
  <si>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</si>
  <si>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</si>
  <si>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</si>
  <si>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</si>
  <si>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</si>
  <si>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</si>
  <si>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</si>
  <si>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</si>
  <si>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</si>
  <si>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Tax Levy Amount</t>
  </si>
  <si>
    <t>Estimate</t>
  </si>
  <si>
    <t xml:space="preserve"> Delinquency Computation % Rate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</si>
  <si>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</si>
  <si>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</si>
  <si>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</si>
  <si>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</si>
  <si>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</si>
  <si>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</si>
  <si>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</si>
  <si>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</si>
  <si>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</si>
  <si>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</si>
  <si>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</si>
  <si>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</si>
  <si>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</si>
  <si>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</si>
  <si>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</si>
  <si>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</si>
  <si>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</si>
  <si>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</si>
  <si>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</si>
  <si>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</si>
  <si>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</si>
  <si>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</si>
  <si>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</si>
  <si>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</si>
  <si>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3a.  If someone other than a municipal employee assists in preparing the budget, please enter the person's or firm's name and address in the area provided. </t>
  </si>
  <si>
    <t>4a. Print the Ordinance page (ordinance) if the max levy is exceeded.  Complete the printed ordinance and have it published.  Ensure the published ordinance is attached to the budget.</t>
  </si>
  <si>
    <t>City 2 spreadsheets has General Fund page (general), Bond &amp; Interest page (bondint), 10 tax levy pages (levy page9 to levy page13), Special Highway page (Sp Hiway), 11 no levy fund pages (nolevypage15 to nolevypage19 with one under the Sp Hiway tab), 4 single no levy pages (SinNoLevy18-SinNolevy21), and 20 non-budgeted fund pages (NonBudA to NonBudB).</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</si>
  <si>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</si>
  <si>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</si>
  <si>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</si>
  <si>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</si>
  <si>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</si>
  <si>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</si>
  <si>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</si>
  <si>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</si>
  <si>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</si>
  <si>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November 1st Total Assessed Valuation</t>
  </si>
  <si>
    <t>4. The information for the Computation to Determine Limit Page (computation) comes from data on the Input Pages (inputpryr and inputOth) and Bond &amp; Interest Page (BondInt). If there is incorrect information on the Computation Page, please correct the source of the information from either the Input Pages or Bond &amp; Interest Page. If you can not correct the error, please call us for assistance.</t>
  </si>
  <si>
    <t>3b.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</si>
  <si>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6. The Schedule of Transfers (transfers) is completed from the individual completed fund pages. Be sure to provide the statute that authorizes the transfer. Before submitting the budget, suggest printing off the Schedule of Transfers page and tracing entries to each fund page.</t>
  </si>
  <si>
    <r>
      <t xml:space="preserve">7.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</si>
  <si>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t>**</t>
  </si>
  <si>
    <t>**Note: The two bold yellow figures should agree.</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</si>
  <si>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</si>
  <si>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</si>
  <si>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</si>
  <si>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</si>
  <si>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</si>
  <si>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</si>
  <si>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</si>
  <si>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8.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</si>
  <si>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9.  The spreadsheet has individual fund sheets for General Fund (general), Bond &amp; Interest (BondInt),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</si>
  <si>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Outstanding Indebtedness, January 1:</t>
  </si>
  <si>
    <t>If any of the numbers are wrong, change them on this input sheet.</t>
  </si>
  <si>
    <t>Enter the following information from the sources shown.  This information                                              will be entered on the budget forms in the appropriate locations.</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</si>
  <si>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</si>
  <si>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</si>
  <si>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</si>
  <si>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</si>
  <si>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</si>
  <si>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</si>
  <si>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</si>
  <si>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</si>
  <si>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Total Expenditures/Non-Appropriated Bal</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</si>
  <si>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</si>
  <si>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</si>
  <si>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</si>
  <si>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</si>
  <si>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</si>
  <si>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r>
      <t xml:space="preserve">Note: Adjustments are only required if the transfer expenditure </t>
    </r>
    <r>
      <rPr>
        <u val="single"/>
        <sz val="12"/>
        <rFont val="Times New Roman"/>
        <family val="1"/>
      </rPr>
      <t>is not shown</t>
    </r>
    <r>
      <rPr>
        <sz val="12"/>
        <rFont val="Times New Roman"/>
        <family val="1"/>
      </rPr>
      <t xml:space="preserve"> in the Budget Summary total.</t>
    </r>
  </si>
  <si>
    <t>FUND PAGE</t>
  </si>
  <si>
    <t>Net Valuation Factor:</t>
  </si>
  <si>
    <t>Neighborhood Revitalization Subj to Rebate</t>
  </si>
  <si>
    <t>Neighborhood Revitalization factor</t>
  </si>
  <si>
    <t>Neighborhood Revitalization Rebate</t>
  </si>
  <si>
    <t>Miscellaneous</t>
  </si>
  <si>
    <t>Does miscellaneous exceed 10% of Total Expenditures</t>
  </si>
  <si>
    <t>Does miscellaneous exceed 10% of Total Receipts</t>
  </si>
  <si>
    <r>
      <t xml:space="preserve">9a.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</si>
  <si>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9b.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</si>
  <si>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 xml:space="preserve">9c. The Bond &amp; Interest fund page (BondInt) can contain all debts owe by the city and the amounts should agree with the Statement of Indebtedness amounts.  Debts that </t>
    </r>
    <r>
      <rPr>
        <b/>
        <u val="single"/>
        <sz val="12"/>
        <rFont val="Times New Roman"/>
        <family val="1"/>
      </rPr>
      <t>are not from</t>
    </r>
    <r>
      <rPr>
        <sz val="12"/>
        <rFont val="Times New Roman"/>
        <family val="1"/>
      </rPr>
      <t xml:space="preserve"> a tax levy fund should have enough funds transferred into the Bond &amp; Interest fund to cover the bond principle and interest for these debts.</t>
    </r>
  </si>
  <si>
    <t xml:space="preserve">9d. The 4 single on levy pages (SinNoLevy18 to SinNoLevy21) are for a fund that has numerous lines for receipts or expenditures that does not fit on one of the other no levy pages.  Additional lines may be added as needed. </t>
  </si>
  <si>
    <t>9f. The non-budgeted pages in the last column, the last two boxes should have the same figures as the last box take totals from the right side with the next to last box takes totals from the bottom.</t>
  </si>
  <si>
    <r>
      <t xml:space="preserve">9g.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 figure.</t>
    </r>
  </si>
  <si>
    <r>
      <t xml:space="preserve">10.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</si>
  <si>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</si>
  <si>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</si>
  <si>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</si>
  <si>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</si>
  <si>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The County Clerk may still require hard copies of the budget forms, even if they allow for electronic submission.  At a minimum for electronic submission, the County Clerk will need two (2) hard copy forms of the following documents: the Certificate Page (signed by the governing body), the newspaper publication of the 'Notice of Budget Hearing', the affidavit of publication (if the publication does not contain a publication date), and the newspaper publication of the ordinance to exceed the computed levy limit (if needed). </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</si>
  <si>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Do not use the copy and move functions on this page.   Do not add or delete lines on this page</t>
    </r>
    <r>
      <rPr>
        <sz val="12"/>
        <rFont val="Times New Roman"/>
        <family val="1"/>
      </rPr>
      <t>.</t>
    </r>
  </si>
  <si>
    <t>9e. The4 non-budgeted pages (NonBudA to NonBudD) are designed for each page to hold 5 non-budgeted funds.  These non-budgeted funds are only required to show the actual year receipts and expenditures. The expenditures total will only be shown on the Budget Summary page and the Certificate will show non-budgeted fund.</t>
  </si>
  <si>
    <r>
      <t>9h.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that had taking place even if a violation occurs. </t>
    </r>
  </si>
  <si>
    <r>
      <t xml:space="preserve">Budgets are required to be sent to the County Clerk </t>
    </r>
    <r>
      <rPr>
        <b/>
        <sz val="12"/>
        <rFont val="Times New Roman"/>
        <family val="1"/>
      </rPr>
      <t>by August 25</t>
    </r>
    <r>
      <rPr>
        <sz val="12"/>
        <rFont val="Times New Roman"/>
        <family val="1"/>
      </rPr>
      <t xml:space="preserve"> of each year. </t>
    </r>
  </si>
  <si>
    <r>
      <t xml:space="preserve">Paper submission of the budget, you will need to send two (2) copies of the completed budgets to your County Clerk Office. The County Clerk may also accept budgets in an electronic format, please contact your County Clerk directly for specific instructions and requirements.  Municipal Services will accept electric budgets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t>
    </r>
  </si>
  <si>
    <t>5.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</si>
  <si>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r>
      <t xml:space="preserve">6a. Transfers total are at the bottom of the schedule which are linked to the Budget Summary page. Adjustments are needed to reduce the expenditures when the expenditure transfer </t>
    </r>
    <r>
      <rPr>
        <b/>
        <sz val="12"/>
        <rFont val="Times New Roman"/>
        <family val="1"/>
      </rPr>
      <t>does</t>
    </r>
    <r>
      <rPr>
        <sz val="12"/>
        <rFont val="Times New Roman"/>
        <family val="1"/>
      </rPr>
      <t xml:space="preserve"> not appear in the total for the Budget Summary.</t>
    </r>
  </si>
  <si>
    <t>Enter City Name (City of)</t>
  </si>
  <si>
    <t>Enter County Name followed by "County"</t>
  </si>
  <si>
    <r>
      <t xml:space="preserve">11a.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</si>
  <si>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11b. The second green shaded area, you will to provide the location where the budget information will be available for review.</t>
  </si>
  <si>
    <t>11c. The third green shaded area, provide the title of person that will be signing the form.</t>
  </si>
  <si>
    <t>11d. The fourth green shaded area, enter the page number.</t>
  </si>
  <si>
    <t xml:space="preserve">11e. Before printing, review the form to ensure all the information is provided and the figures are correct. Print the page, have official sign it, and take to the local newspaper for printing. </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</si>
  <si>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</si>
  <si>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</si>
  <si>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</si>
  <si>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</si>
  <si>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</si>
  <si>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</si>
  <si>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</si>
  <si>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</si>
  <si>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</si>
  <si>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</si>
  <si>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</si>
  <si>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</si>
  <si>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</si>
  <si>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</si>
  <si>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</si>
  <si>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</si>
  <si>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</si>
  <si>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</si>
  <si>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9a.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</si>
  <si>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</si>
  <si>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</si>
  <si>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</si>
  <si>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</si>
  <si>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</si>
  <si>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</si>
  <si>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</si>
  <si>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</si>
  <si>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CITY OF BLUE RAPIDS</t>
  </si>
  <si>
    <t>MARSHALL COUNTY</t>
  </si>
  <si>
    <t>Library</t>
  </si>
  <si>
    <t>C.O.#1861</t>
  </si>
  <si>
    <t>Ord.#1916</t>
  </si>
  <si>
    <t>Water/Sewer/Refuse</t>
  </si>
  <si>
    <t>Capital Improvement</t>
  </si>
  <si>
    <t>12-1,118</t>
  </si>
  <si>
    <t>12-825d</t>
  </si>
  <si>
    <t>Franchise Tax</t>
  </si>
  <si>
    <t>Ambulance Appropriation-MSCO</t>
  </si>
  <si>
    <t>Occupation Tax</t>
  </si>
  <si>
    <t>Cereal Malt Beverage Licenses</t>
  </si>
  <si>
    <t>Animal Licenses</t>
  </si>
  <si>
    <t>Miscellaneous Income</t>
  </si>
  <si>
    <t>Municipal Court Fines</t>
  </si>
  <si>
    <t>Cemetery Open/Close &amp; Lots Sold</t>
  </si>
  <si>
    <t>Community Center Rental Income</t>
  </si>
  <si>
    <t>Reimbursements</t>
  </si>
  <si>
    <t>Dump Fees</t>
  </si>
  <si>
    <t>Retail Sales Tax Collected</t>
  </si>
  <si>
    <t>Zoning Permit Fees</t>
  </si>
  <si>
    <t>Special Assessments</t>
  </si>
  <si>
    <t>Transfer from Water/Sewer/Refuse Fund</t>
  </si>
  <si>
    <t>128 East Commercial St.</t>
  </si>
  <si>
    <t>Waterville, KS  66548</t>
  </si>
  <si>
    <t>Special Purpose Vehicle Registration</t>
  </si>
  <si>
    <t>VERIFIED</t>
  </si>
  <si>
    <t xml:space="preserve">  Audit Adjustment</t>
  </si>
  <si>
    <t>County Transfers for Gas Tax</t>
  </si>
  <si>
    <t>NONE</t>
  </si>
  <si>
    <t>3/1, 9/1</t>
  </si>
  <si>
    <t xml:space="preserve">  KDHE Loan Payments (Principal &amp; Interest)</t>
  </si>
  <si>
    <t>Transfer to General Fund - Residual Equity</t>
  </si>
  <si>
    <t>Transfer from Bond &amp; Interest Fund - Residual Equity</t>
  </si>
  <si>
    <t>Water Storage Grant Fund</t>
  </si>
  <si>
    <t>Grant Funds</t>
  </si>
  <si>
    <t>KDHE Loan</t>
  </si>
  <si>
    <t>Residual</t>
  </si>
  <si>
    <t>Water Storage Grant</t>
  </si>
  <si>
    <t xml:space="preserve">  Transfer to Water Storage Grant Fund</t>
  </si>
  <si>
    <t>Transfer to Water/Sewer/Refuse Fund</t>
  </si>
  <si>
    <t>12-631p</t>
  </si>
  <si>
    <t>Utility System Reserve</t>
  </si>
  <si>
    <t>Utility Reserve</t>
  </si>
  <si>
    <t>FEMA Grant</t>
  </si>
  <si>
    <t>Transfer from Housing Grant Fund - Residual Equity</t>
  </si>
  <si>
    <t>Local Income</t>
  </si>
  <si>
    <t>Tank Activities</t>
  </si>
  <si>
    <t>Administrative Activities</t>
  </si>
  <si>
    <t>Storm Sewer Activities</t>
  </si>
  <si>
    <t>Storm Sewer Capital Project Fund</t>
  </si>
  <si>
    <t>need to verify</t>
  </si>
  <si>
    <t>Storm Sewer Series 2011</t>
  </si>
  <si>
    <t>KDHE Water Tank Loan</t>
  </si>
  <si>
    <t>2/1, 8/1</t>
  </si>
  <si>
    <t>Storm Sewer Temp Notes</t>
  </si>
  <si>
    <t>General Obligation Bond Proceeds</t>
  </si>
  <si>
    <t>Temporary Notes Proceeds</t>
  </si>
  <si>
    <t>Temporary Note Principal and Interest</t>
  </si>
  <si>
    <t>Transfer to Bond &amp; Interest Fund - Residual Equity</t>
  </si>
  <si>
    <t>Transfer from Storm Sewer Capital Project Fund</t>
  </si>
  <si>
    <t>Cash Basis Reserve</t>
  </si>
  <si>
    <t>xxxxxxxxxxxxxxxxxxx</t>
  </si>
  <si>
    <t>will meet on the 10th day of August, 2011, at 7:00 p.m. at the Community Center for the purpose of</t>
  </si>
  <si>
    <t>Storm Sewer Cap. Proj.</t>
  </si>
  <si>
    <t xml:space="preserve">   Fees deposited into Utility Reserve Fund</t>
  </si>
  <si>
    <t xml:space="preserve">  Transfer to Utility Reserve Fund</t>
  </si>
  <si>
    <t>Transfer from Utility Reserve Fund</t>
  </si>
  <si>
    <t>Page No.7b</t>
  </si>
  <si>
    <t>Sink, Gillmore &amp; Gordon, LLP</t>
  </si>
  <si>
    <t>NOTE:  IF AUDIT IS COMPLETE AND WE HAVE USED</t>
  </si>
  <si>
    <t>"ADJUSTMENTS FOR QUALIFYING BUDGET CREDITS" FOR</t>
  </si>
  <si>
    <t xml:space="preserve">REIMBURSEMENTS, GRANTS, DONATIONS, ETC. THEN USE </t>
  </si>
  <si>
    <t>THE MODIFIED BUDGET LIMITS FROM THE AUDIT REPORT.</t>
  </si>
  <si>
    <t>IF NOT DONE, JUST USE THE AMOUNTS FROM THE BUDGET</t>
  </si>
  <si>
    <t>SUMMARY PAGE.</t>
  </si>
  <si>
    <t>**  Not a budget violation for 2010 since the fund was closed in 2010 and the only expenditure was</t>
  </si>
  <si>
    <t>a residual equity transfer to close the fund.</t>
  </si>
  <si>
    <t>NOT USED AS PART OF FINAL BUDGET THIS YEAR - USED FOR CALCULATION PURPOSES ONLY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</si>
</sst>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0.000"/>
  </numFmts>
  <fonts count="54">
    <font>
      <sz val="12"/>
      <name val="Courier"/>
      <family val="0"/>
    </font>
    <font>
      <sz val="11"/>
      <color indexed="8"/>
      <name val="Calibri"/>
      <family val="2"/>
    </font>
    <font>
      <b/>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0"/>
      <name val="Times New Roman"/>
      <family val="1"/>
    </font>
    <font>
      <sz val="11"/>
      <name val="Times New Roman"/>
      <family val="1"/>
    </font>
    <font>
      <sz val="9"/>
      <name val="Times New Roman"/>
      <family val="1"/>
    </font>
    <font>
      <sz val="8"/>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FF0000"/>
      <name val="Courier"/>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style="thin"/>
      <bottom/>
    </border>
    <border>
      <left/>
      <right/>
      <top/>
      <bottom style="double"/>
    </border>
    <border>
      <left style="thin"/>
      <right style="thin"/>
      <top style="thin"/>
      <bottom style="double"/>
    </border>
    <border>
      <left/>
      <right style="thin"/>
      <top style="thin"/>
      <bottom/>
    </border>
    <border>
      <left style="thin"/>
      <right/>
      <top style="thin"/>
      <bottom/>
    </border>
    <border>
      <left/>
      <right style="thin"/>
      <top/>
      <bottom style="thin"/>
    </border>
    <border>
      <left style="thin"/>
      <right/>
      <top/>
      <bottom style="thin"/>
    </border>
    <border>
      <left/>
      <right/>
      <top style="thin"/>
      <bottom style="double"/>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2">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lignment horizontal="left"/>
    </xf>
    <xf numFmtId="0" fontId="4" fillId="0" borderId="0" xfId="0" applyFont="1" applyAlignment="1">
      <alignment wrapText="1"/>
    </xf>
    <xf numFmtId="0" fontId="4" fillId="0" borderId="0" xfId="0" applyFont="1" applyAlignment="1" applyProtection="1">
      <alignment wrapText="1"/>
      <protection/>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7" fontId="4" fillId="0" borderId="0" xfId="0" applyNumberFormat="1" applyFont="1" applyAlignment="1" applyProtection="1">
      <alignment/>
      <protection locked="0"/>
    </xf>
    <xf numFmtId="0" fontId="4" fillId="33" borderId="11" xfId="0" applyFont="1" applyFill="1" applyBorder="1" applyAlignment="1" applyProtection="1">
      <alignment/>
      <protection locked="0"/>
    </xf>
    <xf numFmtId="0" fontId="4" fillId="0" borderId="0" xfId="0" applyFont="1" applyAlignment="1">
      <alignment horizontal="centerContinuous"/>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0" xfId="0" applyFont="1" applyFill="1" applyAlignment="1" applyProtection="1">
      <alignment/>
      <protection locked="0"/>
    </xf>
    <xf numFmtId="3"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0" fontId="6" fillId="0" borderId="0" xfId="0" applyFont="1" applyAlignment="1">
      <alignment/>
    </xf>
    <xf numFmtId="0" fontId="4" fillId="34" borderId="11" xfId="0" applyFont="1" applyFill="1" applyBorder="1" applyAlignment="1" applyProtection="1">
      <alignment/>
      <protection/>
    </xf>
    <xf numFmtId="0" fontId="4" fillId="34" borderId="0" xfId="0" applyFont="1" applyFill="1" applyAlignment="1" applyProtection="1">
      <alignment/>
      <protection/>
    </xf>
    <xf numFmtId="37" fontId="3" fillId="34" borderId="0" xfId="0" applyNumberFormat="1" applyFont="1" applyFill="1" applyAlignment="1" applyProtection="1">
      <alignment horizontal="lef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1" xfId="0" applyNumberFormat="1" applyFont="1" applyFill="1" applyBorder="1" applyAlignment="1" applyProtection="1">
      <alignment horizontal="fill"/>
      <protection/>
    </xf>
    <xf numFmtId="37" fontId="4" fillId="34" borderId="15" xfId="0" applyNumberFormat="1" applyFont="1" applyFill="1" applyBorder="1" applyAlignment="1" applyProtection="1">
      <alignment horizontal="left"/>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center"/>
      <protection/>
    </xf>
    <xf numFmtId="37" fontId="3" fillId="34" borderId="11" xfId="0" applyNumberFormat="1" applyFont="1" applyFill="1" applyBorder="1" applyAlignment="1" applyProtection="1">
      <alignment horizontal="left"/>
      <protection/>
    </xf>
    <xf numFmtId="37" fontId="4" fillId="34" borderId="17" xfId="0" applyNumberFormat="1" applyFont="1" applyFill="1" applyBorder="1" applyAlignment="1" applyProtection="1">
      <alignment horizontal="center"/>
      <protection/>
    </xf>
    <xf numFmtId="37" fontId="4" fillId="34" borderId="12" xfId="0" applyNumberFormat="1"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6" xfId="0" applyFont="1" applyFill="1" applyBorder="1" applyAlignment="1" applyProtection="1">
      <alignment/>
      <protection/>
    </xf>
    <xf numFmtId="0" fontId="4" fillId="34" borderId="10" xfId="0" applyFont="1" applyFill="1" applyBorder="1" applyAlignment="1" applyProtection="1">
      <alignment/>
      <protection/>
    </xf>
    <xf numFmtId="0" fontId="4" fillId="34" borderId="17" xfId="0" applyFont="1" applyFill="1" applyBorder="1" applyAlignment="1" applyProtection="1">
      <alignmen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fill"/>
      <protection/>
    </xf>
    <xf numFmtId="0" fontId="4" fillId="34" borderId="18" xfId="0" applyFont="1" applyFill="1" applyBorder="1" applyAlignment="1" applyProtection="1">
      <alignment/>
      <protection/>
    </xf>
    <xf numFmtId="37" fontId="4" fillId="34" borderId="16" xfId="0" applyNumberFormat="1" applyFont="1" applyFill="1" applyBorder="1" applyAlignment="1" applyProtection="1">
      <alignment horizontal="left"/>
      <protection/>
    </xf>
    <xf numFmtId="37" fontId="4" fillId="34" borderId="17" xfId="0" applyNumberFormat="1" applyFont="1" applyFill="1" applyBorder="1" applyAlignment="1" applyProtection="1">
      <alignment horizontal="left"/>
      <protection/>
    </xf>
    <xf numFmtId="37" fontId="4" fillId="34" borderId="0" xfId="0" applyNumberFormat="1" applyFont="1" applyFill="1" applyAlignment="1" applyProtection="1">
      <alignment horizontal="center"/>
      <protection/>
    </xf>
    <xf numFmtId="0" fontId="4" fillId="34" borderId="0" xfId="0" applyFont="1" applyFill="1" applyAlignment="1">
      <alignment/>
    </xf>
    <xf numFmtId="37" fontId="4" fillId="34" borderId="0" xfId="0" applyNumberFormat="1" applyFont="1" applyFill="1" applyAlignment="1">
      <alignment/>
    </xf>
    <xf numFmtId="0" fontId="3" fillId="34" borderId="0" xfId="0" applyFont="1" applyFill="1" applyAlignment="1">
      <alignment horizontal="center"/>
    </xf>
    <xf numFmtId="0" fontId="3" fillId="34" borderId="0" xfId="0" applyFont="1" applyFill="1" applyAlignment="1">
      <alignment horizontal="center" wrapText="1"/>
    </xf>
    <xf numFmtId="0" fontId="4" fillId="34" borderId="0" xfId="0" applyFont="1" applyFill="1" applyAlignment="1" quotePrefix="1">
      <alignment horizontal="right"/>
    </xf>
    <xf numFmtId="3" fontId="4" fillId="34" borderId="0" xfId="0" applyNumberFormat="1" applyFont="1" applyFill="1" applyAlignment="1">
      <alignment/>
    </xf>
    <xf numFmtId="3" fontId="4" fillId="34" borderId="0" xfId="0" applyNumberFormat="1" applyFont="1" applyFill="1" applyAlignment="1" quotePrefix="1">
      <alignment/>
    </xf>
    <xf numFmtId="3" fontId="4" fillId="34" borderId="11" xfId="0" applyNumberFormat="1" applyFont="1" applyFill="1" applyBorder="1" applyAlignment="1">
      <alignment/>
    </xf>
    <xf numFmtId="0" fontId="3" fillId="34" borderId="0" xfId="0" applyFont="1" applyFill="1" applyAlignment="1">
      <alignment/>
    </xf>
    <xf numFmtId="3" fontId="4" fillId="34" borderId="13" xfId="0" applyNumberFormat="1" applyFont="1" applyFill="1" applyBorder="1" applyAlignment="1">
      <alignment/>
    </xf>
    <xf numFmtId="3" fontId="4" fillId="34" borderId="11" xfId="0" applyNumberFormat="1" applyFont="1" applyFill="1" applyBorder="1" applyAlignment="1" applyProtection="1">
      <alignment/>
      <protection/>
    </xf>
    <xf numFmtId="3" fontId="4" fillId="34" borderId="0" xfId="0" applyNumberFormat="1" applyFont="1" applyFill="1" applyBorder="1" applyAlignment="1">
      <alignment/>
    </xf>
    <xf numFmtId="0" fontId="4" fillId="34" borderId="0" xfId="0" applyFont="1" applyFill="1" applyAlignment="1" quotePrefix="1">
      <alignment/>
    </xf>
    <xf numFmtId="0" fontId="4" fillId="34" borderId="0" xfId="0" applyFont="1" applyFill="1" applyAlignment="1">
      <alignment horizontal="right"/>
    </xf>
    <xf numFmtId="3" fontId="4" fillId="34" borderId="13" xfId="0" applyNumberFormat="1" applyFont="1" applyFill="1" applyBorder="1" applyAlignment="1" applyProtection="1">
      <alignment/>
      <protection/>
    </xf>
    <xf numFmtId="3" fontId="4" fillId="34" borderId="0" xfId="0" applyNumberFormat="1" applyFont="1" applyFill="1" applyAlignment="1" applyProtection="1">
      <alignment/>
      <protection/>
    </xf>
    <xf numFmtId="3" fontId="4" fillId="34" borderId="19" xfId="0" applyNumberFormat="1" applyFont="1" applyFill="1" applyBorder="1" applyAlignment="1">
      <alignment/>
    </xf>
    <xf numFmtId="0" fontId="4" fillId="34" borderId="19" xfId="0" applyFont="1" applyFill="1" applyBorder="1" applyAlignment="1">
      <alignment/>
    </xf>
    <xf numFmtId="0" fontId="4" fillId="34" borderId="0" xfId="0" applyFont="1" applyFill="1" applyBorder="1" applyAlignment="1">
      <alignment/>
    </xf>
    <xf numFmtId="167" fontId="4" fillId="34" borderId="11" xfId="0" applyNumberFormat="1" applyFont="1" applyFill="1" applyBorder="1" applyAlignment="1">
      <alignment/>
    </xf>
    <xf numFmtId="0" fontId="4" fillId="34" borderId="0" xfId="0" applyFont="1" applyFill="1" applyBorder="1" applyAlignment="1" quotePrefix="1">
      <alignment/>
    </xf>
    <xf numFmtId="3" fontId="4" fillId="34" borderId="20" xfId="0" applyNumberFormat="1" applyFont="1" applyFill="1" applyBorder="1" applyAlignment="1">
      <alignment/>
    </xf>
    <xf numFmtId="37" fontId="4" fillId="34" borderId="0" xfId="0" applyNumberFormat="1" applyFont="1" applyFill="1" applyAlignment="1" applyProtection="1">
      <alignment/>
      <protection/>
    </xf>
    <xf numFmtId="37" fontId="4" fillId="34" borderId="21" xfId="0" applyNumberFormat="1" applyFont="1" applyFill="1" applyBorder="1" applyAlignment="1" applyProtection="1">
      <alignment/>
      <protection/>
    </xf>
    <xf numFmtId="37" fontId="4" fillId="34" borderId="11" xfId="0" applyNumberFormat="1" applyFont="1" applyFill="1" applyBorder="1" applyAlignment="1" applyProtection="1">
      <alignment/>
      <protection/>
    </xf>
    <xf numFmtId="0" fontId="3" fillId="34" borderId="0" xfId="56" applyFont="1" applyFill="1" applyAlignment="1" applyProtection="1">
      <alignment horizontal="centerContinuous"/>
      <protection/>
    </xf>
    <xf numFmtId="0" fontId="4" fillId="34" borderId="15" xfId="0" applyFont="1" applyFill="1" applyBorder="1" applyAlignment="1" applyProtection="1">
      <alignment horizontal="center"/>
      <protection/>
    </xf>
    <xf numFmtId="0" fontId="4" fillId="34" borderId="22"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14" fontId="4" fillId="34" borderId="17" xfId="0" applyNumberFormat="1" applyFont="1" applyFill="1" applyBorder="1" applyAlignment="1" applyProtection="1" quotePrefix="1">
      <alignment horizontal="center"/>
      <protection/>
    </xf>
    <xf numFmtId="0" fontId="4" fillId="34" borderId="10" xfId="0" applyFont="1" applyFill="1" applyBorder="1" applyAlignment="1" applyProtection="1">
      <alignment horizontal="center"/>
      <protection/>
    </xf>
    <xf numFmtId="0" fontId="4" fillId="34" borderId="10" xfId="0" applyFont="1" applyFill="1" applyBorder="1" applyAlignment="1" applyProtection="1">
      <alignment horizontal="left"/>
      <protection/>
    </xf>
    <xf numFmtId="2" fontId="4" fillId="34" borderId="10" xfId="0" applyNumberFormat="1" applyFont="1" applyFill="1" applyBorder="1" applyAlignment="1" applyProtection="1">
      <alignment/>
      <protection/>
    </xf>
    <xf numFmtId="3" fontId="4" fillId="34" borderId="10" xfId="0" applyNumberFormat="1" applyFont="1" applyFill="1" applyBorder="1" applyAlignment="1" applyProtection="1">
      <alignment/>
      <protection/>
    </xf>
    <xf numFmtId="0" fontId="3" fillId="34" borderId="10" xfId="0" applyFont="1" applyFill="1" applyBorder="1" applyAlignment="1" applyProtection="1">
      <alignment horizontal="left"/>
      <protection/>
    </xf>
    <xf numFmtId="0" fontId="4" fillId="34" borderId="11" xfId="0" applyFont="1" applyFill="1" applyBorder="1" applyAlignment="1" applyProtection="1">
      <alignment horizontal="fill"/>
      <protection/>
    </xf>
    <xf numFmtId="0" fontId="4" fillId="34" borderId="11" xfId="0" applyFont="1" applyFill="1" applyBorder="1" applyAlignment="1" applyProtection="1">
      <alignment horizontal="left"/>
      <protection/>
    </xf>
    <xf numFmtId="0" fontId="3" fillId="34" borderId="0" xfId="0" applyFont="1" applyFill="1" applyAlignment="1" applyProtection="1">
      <alignment horizontal="left"/>
      <protection/>
    </xf>
    <xf numFmtId="0" fontId="3" fillId="34" borderId="0" xfId="0" applyFont="1" applyFill="1" applyAlignment="1" applyProtection="1">
      <alignment/>
      <protection/>
    </xf>
    <xf numFmtId="0" fontId="4" fillId="34" borderId="0" xfId="0" applyFont="1" applyFill="1" applyBorder="1" applyAlignment="1" applyProtection="1">
      <alignment horizontal="fill"/>
      <protection/>
    </xf>
    <xf numFmtId="0" fontId="4" fillId="34" borderId="0" xfId="0" applyFont="1" applyFill="1" applyAlignment="1" applyProtection="1">
      <alignment horizontal="left"/>
      <protection/>
    </xf>
    <xf numFmtId="1" fontId="4" fillId="34" borderId="15" xfId="0" applyNumberFormat="1" applyFont="1" applyFill="1" applyBorder="1" applyAlignment="1" applyProtection="1">
      <alignment horizontal="center"/>
      <protection/>
    </xf>
    <xf numFmtId="166" fontId="4" fillId="34" borderId="0" xfId="0" applyNumberFormat="1" applyFont="1" applyFill="1" applyAlignment="1" applyProtection="1">
      <alignment/>
      <protection/>
    </xf>
    <xf numFmtId="1"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fill"/>
      <protection/>
    </xf>
    <xf numFmtId="3" fontId="4" fillId="34" borderId="10" xfId="0" applyNumberFormat="1" applyFont="1" applyFill="1" applyBorder="1" applyAlignment="1" applyProtection="1">
      <alignment horizontal="fill"/>
      <protection/>
    </xf>
    <xf numFmtId="0" fontId="4" fillId="34" borderId="0" xfId="0" applyFont="1" applyFill="1" applyAlignment="1" applyProtection="1">
      <alignment horizontal="fill"/>
      <protection/>
    </xf>
    <xf numFmtId="37" fontId="4" fillId="33" borderId="0" xfId="0" applyNumberFormat="1" applyFont="1" applyFill="1" applyAlignment="1" applyProtection="1">
      <alignment horizontal="left"/>
      <protection locked="0"/>
    </xf>
    <xf numFmtId="0" fontId="4" fillId="33" borderId="0" xfId="0" applyFont="1" applyFill="1" applyAlignment="1" applyProtection="1">
      <alignment horizontal="left"/>
      <protection locked="0"/>
    </xf>
    <xf numFmtId="3" fontId="4" fillId="34" borderId="11" xfId="0" applyNumberFormat="1" applyFont="1" applyFill="1" applyBorder="1" applyAlignment="1" applyProtection="1">
      <alignment horizontal="fill"/>
      <protection/>
    </xf>
    <xf numFmtId="37" fontId="3" fillId="34" borderId="0" xfId="0" applyNumberFormat="1" applyFont="1" applyFill="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4" fillId="34" borderId="0" xfId="0" applyFont="1" applyFill="1" applyBorder="1" applyAlignment="1" applyProtection="1">
      <alignment/>
      <protection/>
    </xf>
    <xf numFmtId="1" fontId="5" fillId="34" borderId="0" xfId="0" applyNumberFormat="1" applyFont="1" applyFill="1" applyAlignment="1" applyProtection="1">
      <alignment horizontal="center"/>
      <protection/>
    </xf>
    <xf numFmtId="0" fontId="4" fillId="33" borderId="0" xfId="0" applyFont="1" applyFill="1" applyAlignment="1">
      <alignment/>
    </xf>
    <xf numFmtId="0" fontId="4" fillId="34" borderId="0" xfId="0" applyFont="1" applyFill="1" applyAlignment="1">
      <alignment wrapText="1"/>
    </xf>
    <xf numFmtId="37" fontId="3" fillId="34" borderId="0" xfId="0" applyNumberFormat="1" applyFont="1" applyFill="1" applyAlignment="1" applyProtection="1">
      <alignment horizontal="centerContinuous" vertical="justify"/>
      <protection/>
    </xf>
    <xf numFmtId="37" fontId="4" fillId="34" borderId="11" xfId="0" applyNumberFormat="1" applyFont="1" applyFill="1" applyBorder="1" applyAlignment="1" applyProtection="1">
      <alignment horizontal="left"/>
      <protection/>
    </xf>
    <xf numFmtId="37" fontId="4" fillId="34" borderId="13" xfId="0" applyNumberFormat="1" applyFont="1" applyFill="1" applyBorder="1" applyAlignment="1" applyProtection="1">
      <alignment horizontal="left"/>
      <protection/>
    </xf>
    <xf numFmtId="37" fontId="3" fillId="34" borderId="13" xfId="0" applyNumberFormat="1" applyFont="1" applyFill="1" applyBorder="1" applyAlignment="1" applyProtection="1">
      <alignment horizontal="left"/>
      <protection/>
    </xf>
    <xf numFmtId="0" fontId="0" fillId="34" borderId="0" xfId="0" applyFill="1" applyAlignment="1" applyProtection="1">
      <alignment/>
      <protection/>
    </xf>
    <xf numFmtId="0" fontId="4" fillId="34" borderId="13" xfId="0" applyFont="1" applyFill="1" applyBorder="1" applyAlignment="1" applyProtection="1">
      <alignment/>
      <protection/>
    </xf>
    <xf numFmtId="0" fontId="4" fillId="34" borderId="0" xfId="0" applyFont="1" applyFill="1" applyAlignment="1" applyProtection="1">
      <alignment horizontal="centerContinuous" vertical="justify"/>
      <protection/>
    </xf>
    <xf numFmtId="0" fontId="4" fillId="34" borderId="24" xfId="0" applyFont="1" applyFill="1" applyBorder="1" applyAlignment="1" applyProtection="1">
      <alignment/>
      <protection/>
    </xf>
    <xf numFmtId="3" fontId="4" fillId="34" borderId="24" xfId="0" applyNumberFormat="1" applyFont="1" applyFill="1" applyBorder="1" applyAlignment="1" applyProtection="1">
      <alignment/>
      <protection/>
    </xf>
    <xf numFmtId="3" fontId="4" fillId="34" borderId="14" xfId="0" applyNumberFormat="1" applyFont="1" applyFill="1" applyBorder="1" applyAlignment="1" applyProtection="1">
      <alignment/>
      <protection/>
    </xf>
    <xf numFmtId="37" fontId="4" fillId="34" borderId="17" xfId="0" applyNumberFormat="1" applyFont="1" applyFill="1" applyBorder="1" applyAlignment="1" applyProtection="1">
      <alignment/>
      <protection/>
    </xf>
    <xf numFmtId="37" fontId="4" fillId="34" borderId="17" xfId="0" applyNumberFormat="1" applyFont="1" applyFill="1" applyBorder="1" applyAlignment="1" applyProtection="1">
      <alignment horizontal="fill"/>
      <protection/>
    </xf>
    <xf numFmtId="0" fontId="4" fillId="33" borderId="10" xfId="0" applyFont="1" applyFill="1" applyBorder="1" applyAlignment="1" applyProtection="1">
      <alignment/>
      <protection locked="0"/>
    </xf>
    <xf numFmtId="37" fontId="3" fillId="35" borderId="0" xfId="0" applyNumberFormat="1" applyFont="1" applyFill="1" applyAlignment="1" applyProtection="1">
      <alignment horizontal="left"/>
      <protection/>
    </xf>
    <xf numFmtId="0" fontId="4" fillId="35" borderId="0" xfId="0" applyFont="1" applyFill="1" applyAlignment="1" applyProtection="1">
      <alignment/>
      <protection/>
    </xf>
    <xf numFmtId="37" fontId="3" fillId="36" borderId="0" xfId="0" applyNumberFormat="1" applyFont="1" applyFill="1" applyAlignment="1" applyProtection="1">
      <alignment horizontal="left"/>
      <protection/>
    </xf>
    <xf numFmtId="0" fontId="4" fillId="36" borderId="0" xfId="0" applyFont="1" applyFill="1" applyAlignment="1" applyProtection="1">
      <alignment/>
      <protection/>
    </xf>
    <xf numFmtId="3" fontId="4" fillId="36" borderId="0" xfId="0" applyNumberFormat="1" applyFont="1" applyFill="1" applyAlignment="1" applyProtection="1">
      <alignment/>
      <protection/>
    </xf>
    <xf numFmtId="0" fontId="8" fillId="34" borderId="17" xfId="0" applyFont="1" applyFill="1" applyBorder="1" applyAlignment="1" applyProtection="1">
      <alignment horizontal="center"/>
      <protection/>
    </xf>
    <xf numFmtId="0" fontId="4" fillId="34" borderId="11" xfId="0" applyFont="1" applyFill="1" applyBorder="1" applyAlignment="1" applyProtection="1">
      <alignment horizontal="centerContinuous"/>
      <protection/>
    </xf>
    <xf numFmtId="37" fontId="4" fillId="34" borderId="0" xfId="0" applyNumberFormat="1" applyFont="1" applyFill="1" applyBorder="1" applyAlignment="1" applyProtection="1">
      <alignment horizontal="left"/>
      <protection/>
    </xf>
    <xf numFmtId="171" fontId="4" fillId="34" borderId="10" xfId="0"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0" fontId="4" fillId="34" borderId="0" xfId="0" applyFont="1" applyFill="1" applyAlignment="1" applyProtection="1">
      <alignment horizontal="center"/>
      <protection/>
    </xf>
    <xf numFmtId="0" fontId="3" fillId="34" borderId="11"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4" fillId="33" borderId="17" xfId="0" applyFont="1" applyFill="1" applyBorder="1" applyAlignment="1" applyProtection="1">
      <alignment/>
      <protection locked="0"/>
    </xf>
    <xf numFmtId="0" fontId="4" fillId="34" borderId="0" xfId="0" applyFont="1" applyFill="1" applyAlignment="1" applyProtection="1">
      <alignment/>
      <protection locked="0"/>
    </xf>
    <xf numFmtId="37" fontId="4" fillId="34" borderId="0"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37" fontId="4" fillId="34" borderId="10" xfId="0" applyNumberFormat="1" applyFont="1" applyFill="1" applyBorder="1" applyAlignment="1" applyProtection="1">
      <alignment horizontal="center"/>
      <protection/>
    </xf>
    <xf numFmtId="37" fontId="4" fillId="34" borderId="11" xfId="0" applyNumberFormat="1" applyFont="1" applyFill="1" applyBorder="1" applyAlignment="1" applyProtection="1">
      <alignment horizontal="fill"/>
      <protection locked="0"/>
    </xf>
    <xf numFmtId="170" fontId="4" fillId="33" borderId="12" xfId="42" applyNumberFormat="1" applyFont="1" applyFill="1" applyBorder="1" applyAlignment="1" applyProtection="1">
      <alignment/>
      <protection locked="0"/>
    </xf>
    <xf numFmtId="3" fontId="4" fillId="34" borderId="10" xfId="0" applyNumberFormat="1" applyFont="1" applyFill="1" applyBorder="1" applyAlignment="1" applyProtection="1">
      <alignment/>
      <protection locked="0"/>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0" fontId="4" fillId="34" borderId="17"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3" borderId="10" xfId="0" applyNumberFormat="1" applyFont="1" applyFill="1" applyBorder="1" applyAlignment="1" applyProtection="1">
      <alignment horizontal="right"/>
      <protection locked="0"/>
    </xf>
    <xf numFmtId="37" fontId="3" fillId="34" borderId="12" xfId="0" applyNumberFormat="1" applyFont="1" applyFill="1" applyBorder="1" applyAlignment="1" applyProtection="1">
      <alignment horizontal="left"/>
      <protection/>
    </xf>
    <xf numFmtId="0" fontId="4" fillId="34" borderId="0" xfId="0" applyFont="1" applyFill="1" applyAlignment="1">
      <alignment horizontal="center"/>
    </xf>
    <xf numFmtId="0" fontId="4" fillId="34" borderId="11" xfId="0" applyFont="1" applyFill="1" applyBorder="1" applyAlignment="1">
      <alignment/>
    </xf>
    <xf numFmtId="0" fontId="11" fillId="34" borderId="15" xfId="0" applyFont="1" applyFill="1" applyBorder="1" applyAlignment="1">
      <alignment/>
    </xf>
    <xf numFmtId="0" fontId="11" fillId="34" borderId="14" xfId="0" applyFont="1" applyFill="1" applyBorder="1" applyAlignment="1">
      <alignment horizontal="center"/>
    </xf>
    <xf numFmtId="0" fontId="11" fillId="34" borderId="22" xfId="0" applyFont="1" applyFill="1" applyBorder="1" applyAlignment="1">
      <alignment/>
    </xf>
    <xf numFmtId="0" fontId="11" fillId="34" borderId="10" xfId="0" applyFont="1" applyFill="1" applyBorder="1" applyAlignment="1">
      <alignment horizontal="center"/>
    </xf>
    <xf numFmtId="0" fontId="4" fillId="34" borderId="14" xfId="0" applyFont="1" applyFill="1" applyBorder="1" applyAlignment="1">
      <alignment horizontal="center"/>
    </xf>
    <xf numFmtId="0" fontId="4" fillId="34" borderId="14" xfId="0" applyFont="1" applyFill="1" applyBorder="1" applyAlignment="1">
      <alignment/>
    </xf>
    <xf numFmtId="0" fontId="4" fillId="34" borderId="10" xfId="0" applyFont="1" applyFill="1" applyBorder="1" applyAlignment="1">
      <alignment horizontal="center"/>
    </xf>
    <xf numFmtId="0" fontId="11" fillId="34" borderId="25" xfId="0" applyFont="1" applyFill="1" applyBorder="1" applyAlignment="1">
      <alignment/>
    </xf>
    <xf numFmtId="0" fontId="11" fillId="34" borderId="11" xfId="0" applyFont="1" applyFill="1" applyBorder="1" applyAlignment="1">
      <alignment/>
    </xf>
    <xf numFmtId="0" fontId="11" fillId="34" borderId="0" xfId="0" applyFont="1" applyFill="1" applyAlignment="1">
      <alignment/>
    </xf>
    <xf numFmtId="3" fontId="11" fillId="34" borderId="0" xfId="0" applyNumberFormat="1" applyFont="1" applyFill="1" applyAlignment="1">
      <alignment horizontal="center"/>
    </xf>
    <xf numFmtId="0" fontId="11" fillId="34" borderId="0" xfId="0" applyFont="1" applyFill="1" applyAlignment="1">
      <alignment horizontal="center"/>
    </xf>
    <xf numFmtId="3" fontId="4" fillId="0" borderId="0" xfId="0" applyNumberFormat="1" applyFont="1" applyAlignment="1">
      <alignment/>
    </xf>
    <xf numFmtId="37" fontId="0" fillId="34" borderId="0" xfId="0" applyNumberFormat="1" applyFill="1" applyAlignment="1">
      <alignment/>
    </xf>
    <xf numFmtId="0" fontId="0" fillId="34" borderId="0" xfId="0" applyFill="1" applyAlignment="1">
      <alignment/>
    </xf>
    <xf numFmtId="3" fontId="4" fillId="34" borderId="0" xfId="0" applyNumberFormat="1" applyFont="1" applyFill="1" applyBorder="1" applyAlignment="1" applyProtection="1">
      <alignment/>
      <protection locked="0"/>
    </xf>
    <xf numFmtId="0" fontId="12" fillId="34" borderId="0" xfId="0" applyFont="1" applyFill="1" applyBorder="1" applyAlignment="1" applyProtection="1">
      <alignment horizontal="center"/>
      <protection/>
    </xf>
    <xf numFmtId="0" fontId="0" fillId="34" borderId="0" xfId="0" applyFill="1" applyBorder="1" applyAlignment="1" applyProtection="1">
      <alignment/>
      <protection/>
    </xf>
    <xf numFmtId="0" fontId="0" fillId="34" borderId="11" xfId="0" applyFill="1" applyBorder="1" applyAlignment="1" applyProtection="1">
      <alignment/>
      <protection/>
    </xf>
    <xf numFmtId="0" fontId="3" fillId="36" borderId="0" xfId="0" applyFont="1" applyFill="1" applyAlignment="1">
      <alignment/>
    </xf>
    <xf numFmtId="0" fontId="2" fillId="36" borderId="0" xfId="0" applyFont="1" applyFill="1" applyAlignment="1">
      <alignment/>
    </xf>
    <xf numFmtId="0" fontId="0" fillId="36" borderId="0" xfId="0" applyFill="1" applyAlignment="1" applyProtection="1">
      <alignment/>
      <protection locked="0"/>
    </xf>
    <xf numFmtId="0" fontId="0" fillId="34" borderId="11" xfId="0" applyFill="1" applyBorder="1" applyAlignment="1">
      <alignment/>
    </xf>
    <xf numFmtId="0" fontId="0" fillId="34" borderId="24" xfId="0" applyFill="1" applyBorder="1" applyAlignment="1">
      <alignment/>
    </xf>
    <xf numFmtId="0" fontId="4" fillId="34" borderId="13"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7" borderId="0" xfId="0" applyFill="1" applyAlignment="1">
      <alignment/>
    </xf>
    <xf numFmtId="37" fontId="4" fillId="34" borderId="0" xfId="0" applyNumberFormat="1" applyFont="1" applyFill="1" applyBorder="1" applyAlignment="1" applyProtection="1">
      <alignment horizontal="left"/>
      <protection locked="0"/>
    </xf>
    <xf numFmtId="0" fontId="3" fillId="36" borderId="0" xfId="0" applyFont="1" applyFill="1" applyAlignment="1" applyProtection="1">
      <alignment/>
      <protection/>
    </xf>
    <xf numFmtId="37" fontId="7" fillId="36" borderId="0" xfId="0" applyNumberFormat="1" applyFont="1" applyFill="1" applyAlignment="1" applyProtection="1">
      <alignment horizontal="center"/>
      <protection/>
    </xf>
    <xf numFmtId="0" fontId="7" fillId="36" borderId="11" xfId="0" applyFont="1" applyFill="1" applyBorder="1" applyAlignment="1">
      <alignment horizontal="center"/>
    </xf>
    <xf numFmtId="0" fontId="5" fillId="34" borderId="0" xfId="0" applyFont="1" applyFill="1" applyAlignment="1" applyProtection="1">
      <alignment horizontal="center"/>
      <protection/>
    </xf>
    <xf numFmtId="0" fontId="4" fillId="34" borderId="11" xfId="0" applyFont="1" applyFill="1" applyBorder="1" applyAlignment="1" applyProtection="1">
      <alignment horizontal="center"/>
      <protection/>
    </xf>
    <xf numFmtId="0" fontId="4" fillId="34" borderId="11" xfId="0" applyFont="1" applyFill="1" applyBorder="1" applyAlignment="1" applyProtection="1">
      <alignment horizontal="center"/>
      <protection locked="0"/>
    </xf>
    <xf numFmtId="0" fontId="4" fillId="34" borderId="24" xfId="0" applyFont="1" applyFill="1" applyBorder="1" applyAlignment="1" applyProtection="1">
      <alignment/>
      <protection locked="0"/>
    </xf>
    <xf numFmtId="0" fontId="4" fillId="34" borderId="14" xfId="0" applyFont="1" applyFill="1" applyBorder="1" applyAlignment="1" applyProtection="1">
      <alignment/>
      <protection locked="0"/>
    </xf>
    <xf numFmtId="164" fontId="4" fillId="34" borderId="10" xfId="0" applyNumberFormat="1" applyFont="1" applyFill="1" applyBorder="1" applyAlignment="1" applyProtection="1">
      <alignment/>
      <protection locked="0"/>
    </xf>
    <xf numFmtId="0" fontId="4" fillId="34" borderId="17" xfId="0" applyFont="1" applyFill="1" applyBorder="1" applyAlignment="1">
      <alignment horizontal="center"/>
    </xf>
    <xf numFmtId="3" fontId="4" fillId="34" borderId="11" xfId="0" applyNumberFormat="1" applyFont="1" applyFill="1" applyBorder="1" applyAlignment="1" applyProtection="1">
      <alignment horizontal="center"/>
      <protection/>
    </xf>
    <xf numFmtId="3" fontId="4" fillId="34" borderId="13" xfId="0" applyNumberFormat="1" applyFont="1" applyFill="1" applyBorder="1" applyAlignment="1" applyProtection="1">
      <alignment horizontal="center"/>
      <protection/>
    </xf>
    <xf numFmtId="3" fontId="4" fillId="34" borderId="26" xfId="0" applyNumberFormat="1" applyFont="1" applyFill="1" applyBorder="1" applyAlignment="1" applyProtection="1">
      <alignment horizontal="center"/>
      <protection/>
    </xf>
    <xf numFmtId="166" fontId="4" fillId="34" borderId="11" xfId="0" applyNumberFormat="1" applyFont="1" applyFill="1" applyBorder="1" applyAlignment="1" applyProtection="1">
      <alignment/>
      <protection/>
    </xf>
    <xf numFmtId="37" fontId="4" fillId="34" borderId="11" xfId="0" applyNumberFormat="1" applyFont="1" applyFill="1" applyBorder="1" applyAlignment="1" applyProtection="1" quotePrefix="1">
      <alignment horizontal="right"/>
      <protection/>
    </xf>
    <xf numFmtId="0" fontId="4" fillId="34" borderId="16" xfId="0" applyFont="1" applyFill="1" applyBorder="1" applyAlignment="1">
      <alignment horizontal="center"/>
    </xf>
    <xf numFmtId="1" fontId="4" fillId="34" borderId="25" xfId="0" applyNumberFormat="1" applyFont="1" applyFill="1" applyBorder="1" applyAlignment="1" applyProtection="1">
      <alignment horizontal="center"/>
      <protection/>
    </xf>
    <xf numFmtId="0" fontId="4" fillId="0" borderId="0" xfId="0" applyFont="1" applyAlignment="1" applyProtection="1">
      <alignment horizontal="left"/>
      <protection locked="0"/>
    </xf>
    <xf numFmtId="0" fontId="3" fillId="34" borderId="16"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37" fontId="3" fillId="34" borderId="10" xfId="0" applyNumberFormat="1" applyFont="1" applyFill="1" applyBorder="1" applyAlignment="1" applyProtection="1">
      <alignment horizontal="center"/>
      <protection/>
    </xf>
    <xf numFmtId="37" fontId="4" fillId="34" borderId="22" xfId="0" applyNumberFormat="1" applyFont="1" applyFill="1" applyBorder="1" applyAlignment="1" applyProtection="1">
      <alignment horizontal="center"/>
      <protection/>
    </xf>
    <xf numFmtId="3" fontId="4" fillId="34" borderId="13" xfId="0" applyNumberFormat="1" applyFont="1" applyFill="1" applyBorder="1" applyAlignment="1" applyProtection="1">
      <alignment horizontal="right"/>
      <protection/>
    </xf>
    <xf numFmtId="3" fontId="4" fillId="34" borderId="11" xfId="42" applyNumberFormat="1" applyFont="1" applyFill="1" applyBorder="1" applyAlignment="1" applyProtection="1">
      <alignment/>
      <protection/>
    </xf>
    <xf numFmtId="0" fontId="4" fillId="34" borderId="19" xfId="0" applyFont="1" applyFill="1" applyBorder="1" applyAlignment="1" applyProtection="1">
      <alignment/>
      <protection/>
    </xf>
    <xf numFmtId="170" fontId="4" fillId="33" borderId="17" xfId="42" applyNumberFormat="1" applyFont="1" applyFill="1" applyBorder="1" applyAlignment="1" applyProtection="1">
      <alignment horizontal="center"/>
      <protection locked="0"/>
    </xf>
    <xf numFmtId="0" fontId="4" fillId="33" borderId="17" xfId="0" applyFont="1" applyFill="1" applyBorder="1" applyAlignment="1" applyProtection="1">
      <alignment horizontal="center"/>
      <protection locked="0"/>
    </xf>
    <xf numFmtId="170" fontId="4" fillId="33" borderId="10" xfId="42" applyNumberFormat="1"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3" fontId="4" fillId="34" borderId="10" xfId="0" applyNumberFormat="1" applyFont="1" applyFill="1" applyBorder="1" applyAlignment="1" applyProtection="1">
      <alignment horizontal="center"/>
      <protection/>
    </xf>
    <xf numFmtId="0" fontId="4" fillId="34" borderId="0" xfId="0" applyFont="1" applyFill="1" applyAlignment="1" applyProtection="1">
      <alignment horizontal="center"/>
      <protection locked="0"/>
    </xf>
    <xf numFmtId="168" fontId="4" fillId="33" borderId="10" xfId="0" applyNumberFormat="1" applyFont="1" applyFill="1" applyBorder="1" applyAlignment="1" applyProtection="1">
      <alignment horizontal="center"/>
      <protection locked="0"/>
    </xf>
    <xf numFmtId="2" fontId="4" fillId="33" borderId="10" xfId="0" applyNumberFormat="1" applyFont="1" applyFill="1" applyBorder="1" applyAlignment="1" applyProtection="1">
      <alignment horizontal="center"/>
      <protection locked="0"/>
    </xf>
    <xf numFmtId="3" fontId="4" fillId="33" borderId="10" xfId="0" applyNumberFormat="1" applyFont="1" applyFill="1" applyBorder="1" applyAlignment="1" applyProtection="1">
      <alignment horizontal="center"/>
      <protection locked="0"/>
    </xf>
    <xf numFmtId="37" fontId="4" fillId="33" borderId="10" xfId="0" applyNumberFormat="1" applyFont="1" applyFill="1" applyBorder="1" applyAlignment="1" applyProtection="1">
      <alignment horizontal="center"/>
      <protection locked="0"/>
    </xf>
    <xf numFmtId="169" fontId="4" fillId="33" borderId="10" xfId="0" applyNumberFormat="1" applyFont="1" applyFill="1" applyBorder="1" applyAlignment="1" applyProtection="1">
      <alignment horizontal="center"/>
      <protection locked="0"/>
    </xf>
    <xf numFmtId="168" fontId="3" fillId="34" borderId="10" xfId="0" applyNumberFormat="1" applyFont="1" applyFill="1" applyBorder="1" applyAlignment="1" applyProtection="1">
      <alignment horizontal="center"/>
      <protection/>
    </xf>
    <xf numFmtId="2" fontId="3" fillId="34" borderId="10" xfId="0" applyNumberFormat="1" applyFont="1" applyFill="1" applyBorder="1" applyAlignment="1" applyProtection="1">
      <alignment horizontal="center"/>
      <protection/>
    </xf>
    <xf numFmtId="3" fontId="3" fillId="34" borderId="10" xfId="0" applyNumberFormat="1" applyFont="1" applyFill="1" applyBorder="1" applyAlignment="1" applyProtection="1">
      <alignment horizontal="center"/>
      <protection/>
    </xf>
    <xf numFmtId="169" fontId="3" fillId="34" borderId="10" xfId="0" applyNumberFormat="1" applyFont="1" applyFill="1" applyBorder="1" applyAlignment="1" applyProtection="1">
      <alignment horizontal="center"/>
      <protection/>
    </xf>
    <xf numFmtId="168" fontId="4" fillId="34" borderId="10" xfId="0" applyNumberFormat="1" applyFont="1" applyFill="1" applyBorder="1" applyAlignment="1" applyProtection="1">
      <alignment horizontal="center"/>
      <protection/>
    </xf>
    <xf numFmtId="2" fontId="4" fillId="34" borderId="10" xfId="0" applyNumberFormat="1" applyFont="1" applyFill="1" applyBorder="1" applyAlignment="1" applyProtection="1">
      <alignment horizontal="center"/>
      <protection/>
    </xf>
    <xf numFmtId="169" fontId="4" fillId="34" borderId="10" xfId="0" applyNumberFormat="1" applyFont="1" applyFill="1" applyBorder="1" applyAlignment="1" applyProtection="1">
      <alignment horizontal="center"/>
      <protection/>
    </xf>
    <xf numFmtId="1" fontId="3" fillId="34" borderId="10" xfId="0" applyNumberFormat="1" applyFont="1" applyFill="1" applyBorder="1" applyAlignment="1" applyProtection="1">
      <alignment horizontal="center"/>
      <protection/>
    </xf>
    <xf numFmtId="1" fontId="4" fillId="34" borderId="10" xfId="0" applyNumberFormat="1" applyFont="1" applyFill="1" applyBorder="1" applyAlignment="1" applyProtection="1">
      <alignment horizontal="center"/>
      <protection/>
    </xf>
    <xf numFmtId="1" fontId="4" fillId="33" borderId="10" xfId="0" applyNumberFormat="1" applyFont="1" applyFill="1" applyBorder="1" applyAlignment="1" applyProtection="1">
      <alignment horizontal="center"/>
      <protection locked="0"/>
    </xf>
    <xf numFmtId="0" fontId="9" fillId="38" borderId="0" xfId="0" applyFont="1" applyFill="1" applyAlignment="1" applyProtection="1">
      <alignment shrinkToFit="1"/>
      <protection/>
    </xf>
    <xf numFmtId="10" fontId="4" fillId="34" borderId="0" xfId="0" applyNumberFormat="1" applyFont="1" applyFill="1" applyAlignment="1" applyProtection="1">
      <alignment horizontal="center"/>
      <protection locked="0"/>
    </xf>
    <xf numFmtId="173" fontId="4" fillId="33" borderId="17" xfId="0" applyNumberFormat="1" applyFont="1" applyFill="1" applyBorder="1" applyAlignment="1" applyProtection="1">
      <alignment/>
      <protection locked="0"/>
    </xf>
    <xf numFmtId="173" fontId="4" fillId="34" borderId="0" xfId="0" applyNumberFormat="1" applyFont="1" applyFill="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7" fontId="12" fillId="36" borderId="0" xfId="0" applyNumberFormat="1" applyFont="1" applyFill="1" applyAlignment="1" applyProtection="1">
      <alignment horizontal="left"/>
      <protection/>
    </xf>
    <xf numFmtId="37" fontId="4" fillId="38" borderId="11" xfId="0" applyNumberFormat="1" applyFont="1" applyFill="1" applyBorder="1" applyAlignment="1" applyProtection="1">
      <alignment horizontal="left"/>
      <protection/>
    </xf>
    <xf numFmtId="0" fontId="4" fillId="38" borderId="11" xfId="0" applyFont="1" applyFill="1" applyBorder="1" applyAlignment="1" applyProtection="1">
      <alignment/>
      <protection/>
    </xf>
    <xf numFmtId="37" fontId="4" fillId="38" borderId="13" xfId="0" applyNumberFormat="1" applyFont="1" applyFill="1" applyBorder="1" applyAlignment="1" applyProtection="1">
      <alignment horizontal="left"/>
      <protection/>
    </xf>
    <xf numFmtId="0" fontId="4" fillId="38" borderId="13" xfId="0" applyFont="1" applyFill="1" applyBorder="1" applyAlignment="1" applyProtection="1">
      <alignment/>
      <protection/>
    </xf>
    <xf numFmtId="37" fontId="4" fillId="38" borderId="15" xfId="0" applyNumberFormat="1" applyFont="1" applyFill="1" applyBorder="1" applyAlignment="1" applyProtection="1">
      <alignment horizontal="center"/>
      <protection/>
    </xf>
    <xf numFmtId="37" fontId="4" fillId="38" borderId="17" xfId="0" applyNumberFormat="1" applyFont="1" applyFill="1" applyBorder="1" applyAlignment="1" applyProtection="1">
      <alignment horizontal="center"/>
      <protection/>
    </xf>
    <xf numFmtId="0" fontId="4" fillId="0" borderId="0" xfId="0" applyFont="1" applyFill="1" applyAlignment="1">
      <alignment/>
    </xf>
    <xf numFmtId="0" fontId="4" fillId="0" borderId="0" xfId="0" applyFont="1" applyFill="1" applyAlignment="1">
      <alignment wrapText="1"/>
    </xf>
    <xf numFmtId="0" fontId="4" fillId="38" borderId="0" xfId="0" applyFont="1" applyFill="1" applyAlignment="1">
      <alignment wrapText="1"/>
    </xf>
    <xf numFmtId="37" fontId="4" fillId="0" borderId="0" xfId="0" applyNumberFormat="1" applyFont="1" applyFill="1" applyAlignment="1" applyProtection="1">
      <alignment horizontal="left" wrapText="1"/>
      <protection/>
    </xf>
    <xf numFmtId="0" fontId="4" fillId="0" borderId="0" xfId="0" applyFont="1" applyAlignment="1" applyProtection="1">
      <alignment wrapText="1"/>
      <protection locked="0"/>
    </xf>
    <xf numFmtId="0" fontId="4" fillId="33" borderId="13" xfId="0" applyFont="1" applyFill="1" applyBorder="1" applyAlignment="1" applyProtection="1">
      <alignment/>
      <protection locked="0"/>
    </xf>
    <xf numFmtId="0" fontId="4" fillId="34" borderId="18" xfId="0" applyFont="1" applyFill="1" applyBorder="1" applyAlignment="1" applyProtection="1">
      <alignment horizontal="right"/>
      <protection/>
    </xf>
    <xf numFmtId="37" fontId="4" fillId="39" borderId="10" xfId="0" applyNumberFormat="1" applyFont="1" applyFill="1" applyBorder="1" applyAlignment="1" applyProtection="1">
      <alignment horizontal="left"/>
      <protection/>
    </xf>
    <xf numFmtId="0" fontId="4" fillId="39" borderId="10" xfId="0" applyFont="1" applyFill="1" applyBorder="1" applyAlignment="1" applyProtection="1">
      <alignment/>
      <protection/>
    </xf>
    <xf numFmtId="37" fontId="4" fillId="39" borderId="10" xfId="0" applyNumberFormat="1" applyFont="1" applyFill="1" applyBorder="1" applyAlignment="1" applyProtection="1">
      <alignment/>
      <protection/>
    </xf>
    <xf numFmtId="0" fontId="15" fillId="39" borderId="14" xfId="0" applyFont="1" applyFill="1" applyBorder="1" applyAlignment="1" applyProtection="1">
      <alignment horizontal="center"/>
      <protection/>
    </xf>
    <xf numFmtId="0" fontId="0" fillId="39" borderId="10" xfId="0" applyFill="1" applyBorder="1" applyAlignment="1" applyProtection="1">
      <alignment/>
      <protection/>
    </xf>
    <xf numFmtId="0" fontId="16" fillId="0" borderId="0" xfId="0" applyFont="1" applyAlignment="1">
      <alignment wrapText="1"/>
    </xf>
    <xf numFmtId="0" fontId="3" fillId="33" borderId="10" xfId="0" applyFont="1" applyFill="1" applyBorder="1" applyAlignment="1" applyProtection="1">
      <alignment horizontal="center"/>
      <protection locked="0"/>
    </xf>
    <xf numFmtId="37" fontId="4" fillId="33" borderId="11" xfId="0" applyNumberFormat="1" applyFont="1" applyFill="1" applyBorder="1" applyAlignment="1" applyProtection="1">
      <alignment horizontal="left"/>
      <protection locked="0"/>
    </xf>
    <xf numFmtId="0" fontId="4" fillId="33" borderId="11" xfId="0" applyFont="1" applyFill="1" applyBorder="1" applyAlignment="1" applyProtection="1">
      <alignment/>
      <protection/>
    </xf>
    <xf numFmtId="37" fontId="4" fillId="33" borderId="13" xfId="0" applyNumberFormat="1" applyFont="1" applyFill="1" applyBorder="1" applyAlignment="1" applyProtection="1">
      <alignment horizontal="left"/>
      <protection locked="0"/>
    </xf>
    <xf numFmtId="0" fontId="4" fillId="33" borderId="13" xfId="0" applyFont="1" applyFill="1" applyBorder="1" applyAlignment="1" applyProtection="1">
      <alignment/>
      <protection/>
    </xf>
    <xf numFmtId="37" fontId="4" fillId="40" borderId="10" xfId="0" applyNumberFormat="1" applyFont="1" applyFill="1" applyBorder="1" applyAlignment="1" applyProtection="1">
      <alignment/>
      <protection/>
    </xf>
    <xf numFmtId="164" fontId="4" fillId="40" borderId="10" xfId="0" applyNumberFormat="1" applyFont="1" applyFill="1" applyBorder="1" applyAlignment="1" applyProtection="1">
      <alignment/>
      <protection/>
    </xf>
    <xf numFmtId="37" fontId="3" fillId="40" borderId="10" xfId="0" applyNumberFormat="1" applyFont="1" applyFill="1" applyBorder="1" applyAlignment="1" applyProtection="1">
      <alignment/>
      <protection/>
    </xf>
    <xf numFmtId="37" fontId="3" fillId="40" borderId="21"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3" fillId="40" borderId="10" xfId="0" applyNumberFormat="1" applyFont="1" applyFill="1" applyBorder="1" applyAlignment="1" applyProtection="1">
      <alignment/>
      <protection/>
    </xf>
    <xf numFmtId="3" fontId="4" fillId="40" borderId="21" xfId="0" applyNumberFormat="1" applyFont="1" applyFill="1" applyBorder="1" applyAlignment="1" applyProtection="1">
      <alignment/>
      <protection/>
    </xf>
    <xf numFmtId="3" fontId="11" fillId="40" borderId="10" xfId="0" applyNumberFormat="1" applyFont="1" applyFill="1" applyBorder="1" applyAlignment="1">
      <alignment horizontal="center"/>
    </xf>
    <xf numFmtId="0" fontId="11" fillId="40" borderId="10" xfId="0" applyFont="1" applyFill="1" applyBorder="1" applyAlignment="1">
      <alignment horizontal="center"/>
    </xf>
    <xf numFmtId="0" fontId="11" fillId="40" borderId="17" xfId="0" applyFont="1" applyFill="1" applyBorder="1" applyAlignment="1">
      <alignment horizontal="center"/>
    </xf>
    <xf numFmtId="3" fontId="17" fillId="39" borderId="10" xfId="0" applyNumberFormat="1" applyFont="1" applyFill="1" applyBorder="1" applyAlignment="1">
      <alignment horizontal="center"/>
    </xf>
    <xf numFmtId="0" fontId="4" fillId="40" borderId="0" xfId="0" applyFont="1" applyFill="1" applyAlignment="1">
      <alignment/>
    </xf>
    <xf numFmtId="3" fontId="4" fillId="40" borderId="10" xfId="0" applyNumberFormat="1" applyFont="1" applyFill="1" applyBorder="1" applyAlignment="1" applyProtection="1">
      <alignment horizontal="center"/>
      <protection/>
    </xf>
    <xf numFmtId="37" fontId="4" fillId="40" borderId="21" xfId="0" applyNumberFormat="1" applyFont="1" applyFill="1" applyBorder="1" applyAlignment="1" applyProtection="1">
      <alignment horizontal="center"/>
      <protection/>
    </xf>
    <xf numFmtId="165" fontId="4" fillId="40" borderId="11" xfId="0" applyNumberFormat="1" applyFont="1" applyFill="1" applyBorder="1" applyAlignment="1" applyProtection="1">
      <alignment/>
      <protection/>
    </xf>
    <xf numFmtId="37" fontId="3" fillId="40" borderId="10" xfId="0" applyNumberFormat="1" applyFont="1" applyFill="1" applyBorder="1" applyAlignment="1" applyProtection="1">
      <alignment horizontal="center"/>
      <protection/>
    </xf>
    <xf numFmtId="3" fontId="3" fillId="40" borderId="10" xfId="0" applyNumberFormat="1" applyFont="1" applyFill="1" applyBorder="1" applyAlignment="1" applyProtection="1">
      <alignment horizontal="center"/>
      <protection/>
    </xf>
    <xf numFmtId="3" fontId="3" fillId="40" borderId="21" xfId="0" applyNumberFormat="1" applyFont="1" applyFill="1" applyBorder="1" applyAlignment="1" applyProtection="1">
      <alignment horizontal="center"/>
      <protection/>
    </xf>
    <xf numFmtId="3" fontId="3" fillId="40" borderId="10" xfId="0" applyNumberFormat="1" applyFont="1" applyFill="1" applyBorder="1" applyAlignment="1" applyProtection="1">
      <alignment horizontal="right"/>
      <protection/>
    </xf>
    <xf numFmtId="3" fontId="3" fillId="40" borderId="24" xfId="0" applyNumberFormat="1" applyFont="1" applyFill="1" applyBorder="1" applyAlignment="1" applyProtection="1">
      <alignment horizontal="right"/>
      <protection/>
    </xf>
    <xf numFmtId="3" fontId="3" fillId="40" borderId="17" xfId="0" applyNumberFormat="1" applyFont="1" applyFill="1" applyBorder="1" applyAlignment="1" applyProtection="1">
      <alignment horizontal="right"/>
      <protection/>
    </xf>
    <xf numFmtId="3" fontId="3" fillId="40" borderId="14" xfId="0" applyNumberFormat="1" applyFont="1" applyFill="1" applyBorder="1" applyAlignment="1" applyProtection="1">
      <alignment horizontal="right"/>
      <protection/>
    </xf>
    <xf numFmtId="3" fontId="4" fillId="40" borderId="14" xfId="0" applyNumberFormat="1" applyFont="1" applyFill="1" applyBorder="1" applyAlignment="1" applyProtection="1">
      <alignment horizontal="right"/>
      <protection/>
    </xf>
    <xf numFmtId="0" fontId="11" fillId="33" borderId="10" xfId="0" applyFont="1" applyFill="1" applyBorder="1" applyAlignment="1" applyProtection="1">
      <alignment/>
      <protection locked="0"/>
    </xf>
    <xf numFmtId="3" fontId="11" fillId="33" borderId="10" xfId="0" applyNumberFormat="1" applyFont="1"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11" fillId="33" borderId="22" xfId="0" applyFont="1" applyFill="1" applyBorder="1" applyAlignment="1" applyProtection="1">
      <alignment/>
      <protection locked="0"/>
    </xf>
    <xf numFmtId="0" fontId="11" fillId="33" borderId="22" xfId="0" applyFont="1" applyFill="1" applyBorder="1" applyAlignment="1" applyProtection="1">
      <alignment horizontal="center"/>
      <protection locked="0"/>
    </xf>
    <xf numFmtId="0" fontId="11" fillId="33" borderId="0" xfId="0" applyFont="1" applyFill="1" applyAlignment="1" applyProtection="1">
      <alignment/>
      <protection locked="0"/>
    </xf>
    <xf numFmtId="3" fontId="11" fillId="33" borderId="24" xfId="0" applyNumberFormat="1" applyFont="1" applyFill="1" applyBorder="1" applyAlignment="1" applyProtection="1">
      <alignment horizontal="center"/>
      <protection locked="0"/>
    </xf>
    <xf numFmtId="0" fontId="11" fillId="33" borderId="14" xfId="0" applyFont="1" applyFill="1" applyBorder="1" applyAlignment="1" applyProtection="1">
      <alignment horizontal="center"/>
      <protection locked="0"/>
    </xf>
    <xf numFmtId="0" fontId="11" fillId="33" borderId="14" xfId="0" applyFont="1" applyFill="1" applyBorder="1" applyAlignment="1" applyProtection="1">
      <alignment/>
      <protection locked="0"/>
    </xf>
    <xf numFmtId="0" fontId="11" fillId="33" borderId="17" xfId="0" applyFont="1" applyFill="1" applyBorder="1" applyAlignment="1" applyProtection="1">
      <alignment/>
      <protection locked="0"/>
    </xf>
    <xf numFmtId="3" fontId="11" fillId="33" borderId="27" xfId="0" applyNumberFormat="1" applyFont="1" applyFill="1" applyBorder="1" applyAlignment="1" applyProtection="1">
      <alignment horizontal="center"/>
      <protection locked="0"/>
    </xf>
    <xf numFmtId="0" fontId="11" fillId="33" borderId="27" xfId="0" applyFont="1" applyFill="1" applyBorder="1" applyAlignment="1" applyProtection="1">
      <alignment/>
      <protection locked="0"/>
    </xf>
    <xf numFmtId="0" fontId="11" fillId="33" borderId="27" xfId="0" applyFont="1" applyFill="1" applyBorder="1" applyAlignment="1" applyProtection="1">
      <alignment horizontal="center"/>
      <protection locked="0"/>
    </xf>
    <xf numFmtId="0" fontId="11" fillId="33" borderId="17" xfId="0" applyFont="1" applyFill="1" applyBorder="1" applyAlignment="1" applyProtection="1">
      <alignment horizontal="center"/>
      <protection locked="0"/>
    </xf>
    <xf numFmtId="3" fontId="11" fillId="33" borderId="16" xfId="0" applyNumberFormat="1" applyFont="1" applyFill="1" applyBorder="1" applyAlignment="1" applyProtection="1">
      <alignment horizontal="center"/>
      <protection locked="0"/>
    </xf>
    <xf numFmtId="3" fontId="11" fillId="33" borderId="17" xfId="0" applyNumberFormat="1" applyFont="1" applyFill="1" applyBorder="1" applyAlignment="1" applyProtection="1">
      <alignment horizontal="center"/>
      <protection locked="0"/>
    </xf>
    <xf numFmtId="0" fontId="11" fillId="33" borderId="24" xfId="0" applyFont="1" applyFill="1" applyBorder="1" applyAlignment="1" applyProtection="1">
      <alignment horizontal="center"/>
      <protection locked="0"/>
    </xf>
    <xf numFmtId="173" fontId="4" fillId="33" borderId="10" xfId="0" applyNumberFormat="1" applyFont="1" applyFill="1" applyBorder="1" applyAlignment="1" applyProtection="1">
      <alignment/>
      <protection locked="0"/>
    </xf>
    <xf numFmtId="0" fontId="5" fillId="38" borderId="0" xfId="0" applyFont="1" applyFill="1" applyAlignment="1" applyProtection="1">
      <alignment/>
      <protection/>
    </xf>
    <xf numFmtId="0" fontId="4" fillId="36" borderId="11" xfId="0" applyFont="1" applyFill="1" applyBorder="1" applyAlignment="1" applyProtection="1">
      <alignment/>
      <protection/>
    </xf>
    <xf numFmtId="0" fontId="4" fillId="36" borderId="13" xfId="0" applyFont="1" applyFill="1" applyBorder="1" applyAlignment="1" applyProtection="1">
      <alignment/>
      <protection/>
    </xf>
    <xf numFmtId="171" fontId="4" fillId="33" borderId="11" xfId="0" applyNumberFormat="1" applyFont="1" applyFill="1" applyBorder="1" applyAlignment="1" applyProtection="1">
      <alignment/>
      <protection locked="0"/>
    </xf>
    <xf numFmtId="171" fontId="4" fillId="33" borderId="13" xfId="0" applyNumberFormat="1" applyFont="1" applyFill="1" applyBorder="1" applyAlignment="1" applyProtection="1">
      <alignment/>
      <protection locked="0"/>
    </xf>
    <xf numFmtId="171" fontId="4" fillId="33" borderId="19" xfId="0" applyNumberFormat="1" applyFont="1" applyFill="1" applyBorder="1" applyAlignment="1" applyProtection="1">
      <alignment/>
      <protection locked="0"/>
    </xf>
    <xf numFmtId="0" fontId="15" fillId="0" borderId="0" xfId="0" applyFont="1" applyAlignment="1" applyProtection="1">
      <alignment/>
      <protection/>
    </xf>
    <xf numFmtId="0" fontId="4" fillId="34" borderId="0" xfId="0" applyFont="1" applyFill="1" applyBorder="1" applyAlignment="1" applyProtection="1">
      <alignment horizontal="right"/>
      <protection/>
    </xf>
    <xf numFmtId="37" fontId="12" fillId="34" borderId="12" xfId="0" applyNumberFormat="1" applyFont="1" applyFill="1" applyBorder="1" applyAlignment="1" applyProtection="1">
      <alignment horizontal="left"/>
      <protection/>
    </xf>
    <xf numFmtId="37" fontId="12" fillId="34" borderId="14" xfId="0" applyNumberFormat="1" applyFont="1" applyFill="1" applyBorder="1" applyAlignment="1" applyProtection="1">
      <alignment horizontal="center"/>
      <protection/>
    </xf>
    <xf numFmtId="0" fontId="0" fillId="33" borderId="0" xfId="0" applyFill="1" applyAlignment="1" applyProtection="1">
      <alignment/>
      <protection locked="0"/>
    </xf>
    <xf numFmtId="14" fontId="4" fillId="33" borderId="10" xfId="0" applyNumberFormat="1" applyFont="1" applyFill="1" applyBorder="1" applyAlignment="1" applyProtection="1">
      <alignment horizontal="center"/>
      <protection locked="0"/>
    </xf>
    <xf numFmtId="0" fontId="4" fillId="33" borderId="12" xfId="0" applyFont="1" applyFill="1" applyBorder="1" applyAlignment="1" applyProtection="1">
      <alignment/>
      <protection locked="0"/>
    </xf>
    <xf numFmtId="0" fontId="4" fillId="33" borderId="12" xfId="0" applyFont="1" applyFill="1" applyBorder="1" applyAlignment="1" applyProtection="1">
      <alignment/>
      <protection locked="0"/>
    </xf>
    <xf numFmtId="37" fontId="4" fillId="33" borderId="12" xfId="0" applyNumberFormat="1" applyFont="1" applyFill="1" applyBorder="1" applyAlignment="1" applyProtection="1">
      <alignment horizontal="left"/>
      <protection locked="0"/>
    </xf>
    <xf numFmtId="37" fontId="4" fillId="33" borderId="14" xfId="0" applyNumberFormat="1" applyFont="1" applyFill="1" applyBorder="1" applyAlignment="1" applyProtection="1">
      <alignment/>
      <protection locked="0"/>
    </xf>
    <xf numFmtId="37" fontId="4" fillId="34" borderId="14" xfId="0" applyNumberFormat="1" applyFont="1" applyFill="1" applyBorder="1" applyAlignment="1" applyProtection="1">
      <alignment/>
      <protection/>
    </xf>
    <xf numFmtId="37" fontId="4" fillId="33" borderId="14" xfId="0" applyNumberFormat="1" applyFont="1" applyFill="1" applyBorder="1" applyAlignment="1" applyProtection="1">
      <alignment/>
      <protection locked="0"/>
    </xf>
    <xf numFmtId="37" fontId="3" fillId="40" borderId="14" xfId="0" applyNumberFormat="1" applyFont="1" applyFill="1" applyBorder="1" applyAlignment="1" applyProtection="1">
      <alignment/>
      <protection/>
    </xf>
    <xf numFmtId="37" fontId="4" fillId="34" borderId="25" xfId="0" applyNumberFormat="1" applyFont="1" applyFill="1" applyBorder="1" applyAlignment="1" applyProtection="1">
      <alignment horizontal="left"/>
      <protection/>
    </xf>
    <xf numFmtId="37" fontId="4" fillId="34" borderId="14" xfId="0" applyNumberFormat="1" applyFont="1" applyFill="1" applyBorder="1" applyAlignment="1" applyProtection="1">
      <alignment horizontal="left"/>
      <protection/>
    </xf>
    <xf numFmtId="37" fontId="4" fillId="33" borderId="14" xfId="0" applyNumberFormat="1" applyFont="1" applyFill="1" applyBorder="1" applyAlignment="1" applyProtection="1">
      <alignment horizontal="left"/>
      <protection/>
    </xf>
    <xf numFmtId="0" fontId="4" fillId="34" borderId="12" xfId="0" applyFont="1" applyFill="1" applyBorder="1" applyAlignment="1" applyProtection="1">
      <alignment horizontal="left"/>
      <protection/>
    </xf>
    <xf numFmtId="0" fontId="4" fillId="33" borderId="12" xfId="0" applyFont="1" applyFill="1" applyBorder="1" applyAlignment="1" applyProtection="1">
      <alignment horizontal="left"/>
      <protection locked="0"/>
    </xf>
    <xf numFmtId="3" fontId="4" fillId="33" borderId="14" xfId="0" applyNumberFormat="1" applyFont="1" applyFill="1" applyBorder="1" applyAlignment="1" applyProtection="1">
      <alignment/>
      <protection locked="0"/>
    </xf>
    <xf numFmtId="3" fontId="3" fillId="40" borderId="14" xfId="0" applyNumberFormat="1" applyFont="1" applyFill="1" applyBorder="1" applyAlignment="1" applyProtection="1">
      <alignment/>
      <protection/>
    </xf>
    <xf numFmtId="3" fontId="4" fillId="40" borderId="14" xfId="0" applyNumberFormat="1" applyFont="1" applyFill="1" applyBorder="1" applyAlignment="1" applyProtection="1">
      <alignment/>
      <protection/>
    </xf>
    <xf numFmtId="0" fontId="4" fillId="34" borderId="25" xfId="0" applyFont="1" applyFill="1" applyBorder="1" applyAlignment="1" applyProtection="1">
      <alignment horizontal="left"/>
      <protection/>
    </xf>
    <xf numFmtId="0" fontId="4" fillId="34" borderId="14"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4" borderId="12" xfId="0" applyFont="1" applyFill="1" applyBorder="1" applyAlignment="1" applyProtection="1">
      <alignment/>
      <protection/>
    </xf>
    <xf numFmtId="0" fontId="4" fillId="34" borderId="12" xfId="0" applyFont="1" applyFill="1" applyBorder="1" applyAlignment="1" applyProtection="1">
      <alignment/>
      <protection locked="0"/>
    </xf>
    <xf numFmtId="37" fontId="4" fillId="34" borderId="12" xfId="0" applyNumberFormat="1" applyFont="1" applyFill="1" applyBorder="1" applyAlignment="1" applyProtection="1">
      <alignment/>
      <protection/>
    </xf>
    <xf numFmtId="0" fontId="4" fillId="34" borderId="12" xfId="0" applyNumberFormat="1" applyFont="1" applyFill="1" applyBorder="1" applyAlignment="1" applyProtection="1">
      <alignment horizontal="left"/>
      <protection/>
    </xf>
    <xf numFmtId="0" fontId="4" fillId="33" borderId="12" xfId="0" applyNumberFormat="1" applyFont="1" applyFill="1" applyBorder="1" applyAlignment="1" applyProtection="1">
      <alignment horizontal="left"/>
      <protection locked="0"/>
    </xf>
    <xf numFmtId="0" fontId="4" fillId="33" borderId="23" xfId="0" applyNumberFormat="1" applyFont="1" applyFill="1" applyBorder="1" applyAlignment="1" applyProtection="1">
      <alignment horizontal="left"/>
      <protection locked="0"/>
    </xf>
    <xf numFmtId="3" fontId="4" fillId="33" borderId="14" xfId="0" applyNumberFormat="1" applyFont="1" applyFill="1" applyBorder="1" applyAlignment="1" applyProtection="1">
      <alignment horizontal="right"/>
      <protection locked="0"/>
    </xf>
    <xf numFmtId="3" fontId="4" fillId="34" borderId="14" xfId="0" applyNumberFormat="1" applyFont="1" applyFill="1" applyBorder="1" applyAlignment="1" applyProtection="1">
      <alignment horizontal="right"/>
      <protection/>
    </xf>
    <xf numFmtId="3" fontId="4" fillId="34" borderId="24" xfId="0" applyNumberFormat="1" applyFont="1" applyFill="1" applyBorder="1" applyAlignment="1" applyProtection="1">
      <alignment horizontal="right"/>
      <protection/>
    </xf>
    <xf numFmtId="37" fontId="4" fillId="33" borderId="12" xfId="0" applyNumberFormat="1" applyFont="1" applyFill="1" applyBorder="1" applyAlignment="1" applyProtection="1">
      <alignment/>
      <protection locked="0"/>
    </xf>
    <xf numFmtId="0" fontId="3" fillId="34" borderId="12" xfId="0" applyFont="1" applyFill="1" applyBorder="1" applyAlignment="1" applyProtection="1">
      <alignment horizontal="left"/>
      <protection/>
    </xf>
    <xf numFmtId="0" fontId="3" fillId="34" borderId="14" xfId="0" applyFont="1" applyFill="1" applyBorder="1" applyAlignment="1" applyProtection="1">
      <alignment horizontal="left"/>
      <protection/>
    </xf>
    <xf numFmtId="0" fontId="3" fillId="33" borderId="14" xfId="0" applyFont="1" applyFill="1" applyBorder="1" applyAlignment="1" applyProtection="1">
      <alignment horizontal="left"/>
      <protection/>
    </xf>
    <xf numFmtId="0" fontId="4" fillId="38" borderId="15" xfId="0" applyFont="1" applyFill="1" applyBorder="1" applyAlignment="1">
      <alignment horizontal="center"/>
    </xf>
    <xf numFmtId="0" fontId="4" fillId="38" borderId="17" xfId="0" applyFont="1" applyFill="1" applyBorder="1" applyAlignment="1">
      <alignment horizontal="center"/>
    </xf>
    <xf numFmtId="0" fontId="15" fillId="34" borderId="0" xfId="0" applyFont="1" applyFill="1" applyAlignment="1">
      <alignment/>
    </xf>
    <xf numFmtId="0" fontId="18" fillId="34" borderId="0" xfId="0" applyFont="1" applyFill="1" applyAlignment="1">
      <alignment/>
    </xf>
    <xf numFmtId="37" fontId="4" fillId="34" borderId="10" xfId="0" applyNumberFormat="1" applyFont="1" applyFill="1" applyBorder="1" applyAlignment="1">
      <alignment/>
    </xf>
    <xf numFmtId="0" fontId="18" fillId="34" borderId="0" xfId="0" applyFont="1" applyFill="1" applyAlignment="1">
      <alignment/>
    </xf>
    <xf numFmtId="3" fontId="4" fillId="34" borderId="0" xfId="0" applyNumberFormat="1" applyFont="1" applyFill="1" applyAlignment="1" applyProtection="1">
      <alignment horizontal="center"/>
      <protection/>
    </xf>
    <xf numFmtId="0" fontId="13"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0" fontId="4" fillId="34" borderId="22"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174" fontId="4" fillId="34" borderId="10" xfId="0" applyNumberFormat="1" applyFont="1" applyFill="1" applyBorder="1" applyAlignment="1" applyProtection="1">
      <alignment horizontal="center"/>
      <protection/>
    </xf>
    <xf numFmtId="3" fontId="4" fillId="34" borderId="21" xfId="0" applyNumberFormat="1" applyFont="1" applyFill="1" applyBorder="1" applyAlignment="1" applyProtection="1">
      <alignment horizontal="center"/>
      <protection/>
    </xf>
    <xf numFmtId="174" fontId="4" fillId="34" borderId="21" xfId="0" applyNumberFormat="1" applyFont="1" applyFill="1" applyBorder="1" applyAlignment="1" applyProtection="1">
      <alignment horizontal="center"/>
      <protection/>
    </xf>
    <xf numFmtId="174" fontId="4" fillId="34" borderId="11" xfId="0" applyNumberFormat="1" applyFont="1" applyFill="1" applyBorder="1" applyAlignment="1" applyProtection="1">
      <alignment horizontal="center"/>
      <protection/>
    </xf>
    <xf numFmtId="174" fontId="4" fillId="34" borderId="0" xfId="0" applyNumberFormat="1" applyFont="1" applyFill="1" applyBorder="1" applyAlignment="1" applyProtection="1">
      <alignment horizontal="center"/>
      <protection/>
    </xf>
    <xf numFmtId="3" fontId="4" fillId="34" borderId="11" xfId="0" applyNumberFormat="1" applyFont="1" applyFill="1" applyBorder="1" applyAlignment="1">
      <alignment horizontal="center"/>
    </xf>
    <xf numFmtId="0" fontId="0" fillId="34" borderId="0" xfId="0" applyFill="1" applyAlignment="1">
      <alignment horizontal="center"/>
    </xf>
    <xf numFmtId="171" fontId="4" fillId="34" borderId="0" xfId="0" applyNumberFormat="1" applyFont="1" applyFill="1" applyBorder="1" applyAlignment="1" applyProtection="1">
      <alignment/>
      <protection/>
    </xf>
    <xf numFmtId="37" fontId="15" fillId="39" borderId="14" xfId="0" applyNumberFormat="1" applyFont="1" applyFill="1" applyBorder="1" applyAlignment="1" applyProtection="1">
      <alignment horizontal="center"/>
      <protection/>
    </xf>
    <xf numFmtId="3" fontId="4" fillId="40" borderId="10" xfId="0" applyNumberFormat="1" applyFont="1" applyFill="1" applyBorder="1" applyAlignment="1" applyProtection="1">
      <alignment horizontal="right"/>
      <protection locked="0"/>
    </xf>
    <xf numFmtId="174" fontId="4" fillId="34" borderId="11" xfId="0" applyNumberFormat="1" applyFont="1" applyFill="1" applyBorder="1" applyAlignment="1">
      <alignment horizontal="center"/>
    </xf>
    <xf numFmtId="3" fontId="4" fillId="33" borderId="10" xfId="0" applyNumberFormat="1" applyFont="1" applyFill="1" applyBorder="1" applyAlignment="1" applyProtection="1">
      <alignment horizontal="center"/>
      <protection locked="0"/>
    </xf>
    <xf numFmtId="3" fontId="4" fillId="33" borderId="15" xfId="0" applyNumberFormat="1" applyFont="1" applyFill="1" applyBorder="1" applyAlignment="1" applyProtection="1">
      <alignment horizontal="center"/>
      <protection locked="0"/>
    </xf>
    <xf numFmtId="0" fontId="4" fillId="37" borderId="0" xfId="0" applyFont="1" applyFill="1" applyAlignment="1">
      <alignment/>
    </xf>
    <xf numFmtId="0" fontId="4" fillId="37" borderId="0" xfId="0" applyFont="1" applyFill="1" applyAlignment="1" applyProtection="1">
      <alignment/>
      <protection locked="0"/>
    </xf>
    <xf numFmtId="3" fontId="4" fillId="40" borderId="21" xfId="0" applyNumberFormat="1" applyFont="1" applyFill="1" applyBorder="1" applyAlignment="1" applyProtection="1">
      <alignment horizontal="center"/>
      <protection/>
    </xf>
    <xf numFmtId="0" fontId="4" fillId="34" borderId="15" xfId="0" applyFont="1" applyFill="1" applyBorder="1" applyAlignment="1" applyProtection="1">
      <alignment wrapText="1"/>
      <protection/>
    </xf>
    <xf numFmtId="0" fontId="4" fillId="37" borderId="0" xfId="55" applyFont="1" applyFill="1" applyProtection="1">
      <alignment/>
      <protection/>
    </xf>
    <xf numFmtId="0" fontId="4" fillId="37" borderId="0" xfId="0" applyFont="1" applyFill="1" applyAlignment="1" applyProtection="1">
      <alignment/>
      <protection/>
    </xf>
    <xf numFmtId="0" fontId="12" fillId="34" borderId="0" xfId="0" applyFont="1" applyFill="1" applyAlignment="1">
      <alignment horizontal="center"/>
    </xf>
    <xf numFmtId="0" fontId="19" fillId="34" borderId="0" xfId="0" applyFont="1" applyFill="1" applyAlignment="1">
      <alignment horizontal="center"/>
    </xf>
    <xf numFmtId="0" fontId="5" fillId="0" borderId="0" xfId="0" applyFont="1" applyAlignment="1">
      <alignment/>
    </xf>
    <xf numFmtId="0" fontId="3" fillId="33" borderId="0" xfId="0" applyFont="1" applyFill="1" applyAlignment="1" applyProtection="1">
      <alignment horizontal="left"/>
      <protection locked="0"/>
    </xf>
    <xf numFmtId="0" fontId="3" fillId="33" borderId="10" xfId="0" applyFont="1" applyFill="1" applyBorder="1" applyAlignment="1" applyProtection="1">
      <alignment horizontal="left"/>
      <protection locked="0"/>
    </xf>
    <xf numFmtId="0" fontId="3" fillId="33" borderId="10" xfId="0" applyFont="1" applyFill="1" applyBorder="1" applyAlignment="1" applyProtection="1">
      <alignment horizontal="left"/>
      <protection locked="0"/>
    </xf>
    <xf numFmtId="37" fontId="3" fillId="33" borderId="10" xfId="0" applyNumberFormat="1" applyFont="1" applyFill="1" applyBorder="1" applyAlignment="1" applyProtection="1">
      <alignment/>
      <protection locked="0"/>
    </xf>
    <xf numFmtId="37" fontId="3" fillId="34" borderId="0" xfId="0" applyNumberFormat="1" applyFont="1" applyFill="1" applyBorder="1" applyAlignment="1" applyProtection="1">
      <alignment/>
      <protection/>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3" fontId="4" fillId="33" borderId="10" xfId="0" applyNumberFormat="1" applyFont="1" applyFill="1" applyBorder="1" applyAlignment="1" applyProtection="1">
      <alignment/>
      <protection/>
    </xf>
    <xf numFmtId="37" fontId="4" fillId="33" borderId="10" xfId="0" applyNumberFormat="1" applyFont="1" applyFill="1" applyBorder="1" applyAlignment="1" applyProtection="1">
      <alignment/>
      <protection/>
    </xf>
    <xf numFmtId="0" fontId="3" fillId="33" borderId="12" xfId="0" applyFont="1" applyFill="1" applyBorder="1" applyAlignment="1" applyProtection="1">
      <alignment/>
      <protection locked="0"/>
    </xf>
    <xf numFmtId="0" fontId="0" fillId="34" borderId="0" xfId="0" applyFill="1" applyBorder="1" applyAlignment="1" applyProtection="1">
      <alignment/>
      <protection/>
    </xf>
    <xf numFmtId="0" fontId="15" fillId="34" borderId="0" xfId="0" applyFont="1" applyFill="1" applyBorder="1" applyAlignment="1" applyProtection="1">
      <alignment horizontal="center"/>
      <protection/>
    </xf>
    <xf numFmtId="0" fontId="0" fillId="0" borderId="0" xfId="0" applyFont="1" applyAlignment="1">
      <alignment/>
    </xf>
    <xf numFmtId="0" fontId="0" fillId="34" borderId="0" xfId="0" applyFont="1" applyFill="1" applyAlignment="1">
      <alignment/>
    </xf>
    <xf numFmtId="3" fontId="4" fillId="0" borderId="0" xfId="0" applyNumberFormat="1" applyFont="1" applyFill="1" applyBorder="1" applyAlignment="1" applyProtection="1">
      <alignment/>
      <protection/>
    </xf>
    <xf numFmtId="37" fontId="3"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horizontal="right"/>
      <protection/>
    </xf>
    <xf numFmtId="0" fontId="52" fillId="0" borderId="0" xfId="0" applyFont="1" applyAlignment="1">
      <alignment/>
    </xf>
    <xf numFmtId="0" fontId="3" fillId="33" borderId="12" xfId="0" applyFont="1" applyFill="1" applyBorder="1" applyAlignment="1" applyProtection="1">
      <alignment horizontal="left"/>
      <protection locked="0"/>
    </xf>
    <xf numFmtId="0" fontId="4" fillId="0" borderId="0" xfId="0" applyFont="1" applyAlignment="1" applyProtection="1" quotePrefix="1">
      <alignment/>
      <protection locked="0"/>
    </xf>
    <xf numFmtId="0" fontId="4" fillId="0" borderId="0" xfId="0" applyFont="1" applyFill="1" applyAlignment="1" applyProtection="1">
      <alignment/>
      <protection locked="0"/>
    </xf>
    <xf numFmtId="0" fontId="13" fillId="34" borderId="0" xfId="0" applyFont="1" applyFill="1" applyBorder="1" applyAlignment="1" applyProtection="1">
      <alignment horizontal="center"/>
      <protection/>
    </xf>
    <xf numFmtId="0" fontId="0" fillId="34" borderId="0" xfId="0" applyFill="1" applyBorder="1" applyAlignment="1">
      <alignment/>
    </xf>
    <xf numFmtId="0" fontId="0" fillId="0" borderId="0" xfId="0" applyBorder="1" applyAlignment="1">
      <alignment/>
    </xf>
    <xf numFmtId="1" fontId="4" fillId="34" borderId="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0" fontId="4" fillId="34" borderId="14" xfId="0" applyFont="1" applyFill="1" applyBorder="1" applyAlignment="1" applyProtection="1">
      <alignment horizontal="center"/>
      <protection/>
    </xf>
    <xf numFmtId="0" fontId="4" fillId="33" borderId="25" xfId="0" applyFont="1" applyFill="1" applyBorder="1" applyAlignment="1" applyProtection="1">
      <alignment/>
      <protection locked="0"/>
    </xf>
    <xf numFmtId="0" fontId="3" fillId="33" borderId="24" xfId="0" applyFont="1" applyFill="1" applyBorder="1" applyAlignment="1" applyProtection="1">
      <alignment horizontal="left"/>
      <protection/>
    </xf>
    <xf numFmtId="0" fontId="53" fillId="0" borderId="0" xfId="0" applyFont="1" applyAlignment="1">
      <alignment/>
    </xf>
    <xf numFmtId="37" fontId="3" fillId="7" borderId="10" xfId="0" applyNumberFormat="1" applyFont="1" applyFill="1" applyBorder="1" applyAlignment="1" applyProtection="1">
      <alignment/>
      <protection locked="0"/>
    </xf>
    <xf numFmtId="0" fontId="3" fillId="0" borderId="0" xfId="0" applyFont="1" applyFill="1" applyAlignment="1" applyProtection="1">
      <alignment/>
      <protection locked="0"/>
    </xf>
    <xf numFmtId="0" fontId="52" fillId="0" borderId="0" xfId="0" applyFont="1" applyFill="1" applyAlignment="1" applyProtection="1">
      <alignment/>
      <protection locked="0"/>
    </xf>
    <xf numFmtId="0" fontId="4" fillId="34" borderId="0" xfId="0" applyNumberFormat="1" applyFont="1" applyFill="1" applyBorder="1" applyAlignment="1" applyProtection="1">
      <alignment horizontal="right"/>
      <protection/>
    </xf>
    <xf numFmtId="0" fontId="0" fillId="0" borderId="0" xfId="0" applyBorder="1" applyAlignment="1">
      <alignment horizontal="right"/>
    </xf>
    <xf numFmtId="0" fontId="2" fillId="41" borderId="0" xfId="0" applyFont="1" applyFill="1" applyAlignment="1">
      <alignment/>
    </xf>
    <xf numFmtId="3" fontId="4" fillId="40" borderId="0" xfId="0" applyNumberFormat="1" applyFont="1" applyFill="1" applyBorder="1" applyAlignment="1" applyProtection="1">
      <alignment/>
      <protection/>
    </xf>
    <xf numFmtId="3" fontId="4" fillId="42" borderId="10" xfId="0" applyNumberFormat="1" applyFont="1" applyFill="1" applyBorder="1" applyAlignment="1" applyProtection="1">
      <alignment/>
      <protection/>
    </xf>
    <xf numFmtId="0" fontId="15" fillId="0" borderId="0" xfId="0" applyFont="1" applyFill="1" applyAlignment="1" applyProtection="1">
      <alignment/>
      <protection/>
    </xf>
    <xf numFmtId="0" fontId="4" fillId="0" borderId="0" xfId="0" applyFont="1" applyFill="1" applyAlignment="1">
      <alignment horizontal="left"/>
    </xf>
    <xf numFmtId="0" fontId="3" fillId="0" borderId="0" xfId="0" applyFont="1" applyFill="1" applyAlignment="1">
      <alignment/>
    </xf>
    <xf numFmtId="0" fontId="52" fillId="0" borderId="0" xfId="0" applyFont="1" applyFill="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alignment/>
    </xf>
    <xf numFmtId="0" fontId="53" fillId="0" borderId="0" xfId="0" applyFont="1" applyFill="1" applyAlignment="1">
      <alignment/>
    </xf>
    <xf numFmtId="0" fontId="0" fillId="0" borderId="0" xfId="0" applyFill="1" applyBorder="1" applyAlignment="1">
      <alignment/>
    </xf>
    <xf numFmtId="164" fontId="4" fillId="0" borderId="0" xfId="0" applyNumberFormat="1" applyFont="1" applyFill="1" applyBorder="1" applyAlignment="1" applyProtection="1">
      <alignment/>
      <protection/>
    </xf>
    <xf numFmtId="37" fontId="13" fillId="34" borderId="0" xfId="0" applyNumberFormat="1" applyFont="1" applyFill="1" applyAlignment="1" applyProtection="1">
      <alignment horizontal="center" vertical="justify"/>
      <protection/>
    </xf>
    <xf numFmtId="0" fontId="14" fillId="0" borderId="0" xfId="0" applyFont="1" applyAlignment="1">
      <alignment horizontal="center" vertical="justify"/>
    </xf>
    <xf numFmtId="37" fontId="12" fillId="34" borderId="0" xfId="0" applyNumberFormat="1" applyFont="1" applyFill="1" applyAlignment="1" applyProtection="1">
      <alignment horizontal="left"/>
      <protection/>
    </xf>
    <xf numFmtId="0" fontId="0" fillId="0" borderId="0" xfId="0" applyAlignment="1">
      <alignment horizontal="left"/>
    </xf>
    <xf numFmtId="0" fontId="15" fillId="34" borderId="0" xfId="0" applyFont="1" applyFill="1" applyBorder="1" applyAlignment="1">
      <alignment/>
    </xf>
    <xf numFmtId="0" fontId="18" fillId="0" borderId="0" xfId="0" applyFont="1" applyAlignment="1">
      <alignment/>
    </xf>
    <xf numFmtId="37" fontId="12" fillId="34" borderId="0" xfId="0" applyNumberFormat="1" applyFont="1" applyFill="1" applyBorder="1" applyAlignment="1" applyProtection="1">
      <alignment horizontal="center"/>
      <protection/>
    </xf>
    <xf numFmtId="0" fontId="0" fillId="0" borderId="0" xfId="0" applyAlignment="1">
      <alignment horizontal="center"/>
    </xf>
    <xf numFmtId="0" fontId="4" fillId="37" borderId="19" xfId="0" applyFont="1" applyFill="1" applyBorder="1" applyAlignment="1">
      <alignment wrapText="1"/>
    </xf>
    <xf numFmtId="0" fontId="0" fillId="0" borderId="19" xfId="0" applyBorder="1" applyAlignment="1">
      <alignment wrapText="1"/>
    </xf>
    <xf numFmtId="0" fontId="3" fillId="38" borderId="0" xfId="0" applyFont="1" applyFill="1" applyBorder="1" applyAlignment="1">
      <alignment horizontal="center"/>
    </xf>
    <xf numFmtId="0" fontId="2" fillId="38" borderId="0" xfId="0" applyFont="1" applyFill="1" applyBorder="1" applyAlignment="1">
      <alignment horizontal="center"/>
    </xf>
    <xf numFmtId="37" fontId="5" fillId="34" borderId="0" xfId="0" applyNumberFormat="1" applyFont="1" applyFill="1" applyAlignment="1" applyProtection="1">
      <alignment horizontal="center"/>
      <protection/>
    </xf>
    <xf numFmtId="0" fontId="0" fillId="34" borderId="0" xfId="0" applyFill="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9" fillId="38" borderId="19" xfId="0" applyFont="1" applyFill="1" applyBorder="1" applyAlignment="1" applyProtection="1">
      <alignment horizontal="center" wrapText="1" shrinkToFit="1"/>
      <protection/>
    </xf>
    <xf numFmtId="0" fontId="0" fillId="0" borderId="0" xfId="0" applyAlignment="1" applyProtection="1">
      <alignment horizontal="center" wrapText="1"/>
      <protection/>
    </xf>
    <xf numFmtId="0" fontId="6" fillId="34" borderId="0" xfId="0" applyFont="1" applyFill="1" applyAlignment="1">
      <alignment horizontal="center"/>
    </xf>
    <xf numFmtId="37" fontId="3" fillId="34" borderId="0" xfId="0" applyNumberFormat="1" applyFont="1" applyFill="1" applyAlignment="1">
      <alignment horizontal="center"/>
    </xf>
    <xf numFmtId="0" fontId="3" fillId="34" borderId="0" xfId="0" applyFont="1" applyFill="1" applyAlignment="1">
      <alignment horizontal="center"/>
    </xf>
    <xf numFmtId="37" fontId="3" fillId="34" borderId="0" xfId="0" applyNumberFormat="1" applyFont="1" applyFill="1" applyAlignment="1" applyProtection="1">
      <alignment horizontal="center"/>
      <protection/>
    </xf>
    <xf numFmtId="37" fontId="4" fillId="34" borderId="12" xfId="0" applyNumberFormat="1" applyFont="1" applyFill="1" applyBorder="1" applyAlignment="1" applyProtection="1">
      <alignment horizontal="center"/>
      <protection/>
    </xf>
    <xf numFmtId="37" fontId="4" fillId="34" borderId="13" xfId="0" applyNumberFormat="1" applyFont="1" applyFill="1" applyBorder="1" applyAlignment="1" applyProtection="1">
      <alignment horizontal="center"/>
      <protection/>
    </xf>
    <xf numFmtId="0" fontId="0" fillId="0" borderId="14" xfId="0" applyBorder="1" applyAlignment="1">
      <alignment/>
    </xf>
    <xf numFmtId="0" fontId="3" fillId="34" borderId="0" xfId="0" applyFont="1" applyFill="1" applyAlignment="1" applyProtection="1">
      <alignment horizontal="center"/>
      <protection/>
    </xf>
    <xf numFmtId="0" fontId="4" fillId="34" borderId="25" xfId="0" applyFont="1" applyFill="1" applyBorder="1" applyAlignment="1" applyProtection="1">
      <alignment horizontal="center"/>
      <protection/>
    </xf>
    <xf numFmtId="0" fontId="0" fillId="0" borderId="24" xfId="0" applyBorder="1" applyAlignment="1" applyProtection="1">
      <alignment/>
      <protection/>
    </xf>
    <xf numFmtId="1" fontId="4" fillId="34" borderId="25" xfId="0" applyNumberFormat="1" applyFont="1" applyFill="1" applyBorder="1" applyAlignment="1" applyProtection="1">
      <alignment horizontal="center"/>
      <protection/>
    </xf>
    <xf numFmtId="0" fontId="0" fillId="0" borderId="24" xfId="0" applyBorder="1" applyAlignment="1" applyProtection="1">
      <alignment horizontal="center"/>
      <protection/>
    </xf>
    <xf numFmtId="0" fontId="4" fillId="34" borderId="0" xfId="0" applyNumberFormat="1" applyFont="1" applyFill="1" applyBorder="1" applyAlignment="1" applyProtection="1">
      <alignment horizontal="right"/>
      <protection/>
    </xf>
    <xf numFmtId="0" fontId="0" fillId="0" borderId="27" xfId="0" applyBorder="1" applyAlignment="1">
      <alignment/>
    </xf>
    <xf numFmtId="37" fontId="4" fillId="34" borderId="0" xfId="0" applyNumberFormat="1" applyFont="1" applyFill="1" applyAlignment="1" applyProtection="1">
      <alignment horizontal="right"/>
      <protection/>
    </xf>
    <xf numFmtId="0" fontId="0" fillId="0" borderId="0" xfId="0" applyAlignment="1">
      <alignment horizontal="right"/>
    </xf>
    <xf numFmtId="0" fontId="3" fillId="33" borderId="10" xfId="0" applyFont="1" applyFill="1" applyBorder="1" applyAlignment="1" applyProtection="1">
      <alignment horizontal="left"/>
      <protection locked="0"/>
    </xf>
    <xf numFmtId="0" fontId="0" fillId="0" borderId="10" xfId="0" applyBorder="1" applyAlignment="1">
      <alignment/>
    </xf>
    <xf numFmtId="0" fontId="3" fillId="33" borderId="12" xfId="0" applyFont="1" applyFill="1" applyBorder="1" applyAlignment="1" applyProtection="1">
      <alignment horizontal="left"/>
      <protection locked="0"/>
    </xf>
    <xf numFmtId="0" fontId="0" fillId="0" borderId="14" xfId="0" applyBorder="1" applyAlignment="1">
      <alignment horizontal="left"/>
    </xf>
    <xf numFmtId="0" fontId="0" fillId="0" borderId="27" xfId="0" applyBorder="1" applyAlignment="1">
      <alignment horizontal="right"/>
    </xf>
    <xf numFmtId="0" fontId="0" fillId="0" borderId="0" xfId="0" applyBorder="1" applyAlignment="1">
      <alignment horizontal="right"/>
    </xf>
    <xf numFmtId="0" fontId="4" fillId="33" borderId="0" xfId="0" applyFont="1" applyFill="1" applyAlignment="1" applyProtection="1">
      <alignment horizontal="center"/>
      <protection locked="0"/>
    </xf>
    <xf numFmtId="0" fontId="0" fillId="33" borderId="0" xfId="0" applyFill="1" applyAlignment="1" applyProtection="1">
      <alignment/>
      <protection locked="0"/>
    </xf>
    <xf numFmtId="37" fontId="4"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0" fillId="0" borderId="0" xfId="0" applyAlignment="1">
      <alignment/>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4" fillId="34" borderId="12" xfId="0" applyFont="1" applyFill="1" applyBorder="1" applyAlignment="1">
      <alignment horizontal="center"/>
    </xf>
    <xf numFmtId="0" fontId="4" fillId="34"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ebt" xfId="55"/>
    <cellStyle name="Normal_lpform" xfId="56"/>
    <cellStyle name="Note" xfId="57"/>
    <cellStyle name="Output" xfId="58"/>
    <cellStyle name="Percent" xfId="59"/>
    <cellStyle name="Title" xfId="60"/>
    <cellStyle name="Total" xfId="61"/>
    <cellStyle name="Warning Text" xfId="62"/>
  </cellStyles>
  <dxfs count="13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59</xdr:row>
      <xdr:rowOff>123825</xdr:rowOff>
    </xdr:from>
    <xdr:to>
      <xdr:col>4</xdr:col>
      <xdr:colOff>1295400</xdr:colOff>
      <xdr:row>64</xdr:row>
      <xdr:rowOff>28575</xdr:rowOff>
    </xdr:to>
    <xdr:sp>
      <xdr:nvSpPr>
        <xdr:cNvPr id="1" name="Right Arrow 1"/>
        <xdr:cNvSpPr>
          <a:spLocks/>
        </xdr:cNvSpPr>
      </xdr:nvSpPr>
      <xdr:spPr>
        <a:xfrm>
          <a:off x="3648075" y="11363325"/>
          <a:ext cx="3476625" cy="857250"/>
        </a:xfrm>
        <a:prstGeom prst="rightArrow">
          <a:avLst>
            <a:gd name="adj" fmla="val 3575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3"/>
  <sheetViews>
    <sheetView zoomScale="80" zoomScaleNormal="80" zoomScalePageLayoutView="0" workbookViewId="0" topLeftCell="A61">
      <selection activeCell="A63" sqref="A63"/>
    </sheetView>
  </sheetViews>
  <sheetFormatPr defaultColWidth="8.8984375" defaultRowHeight="15"/>
  <cols>
    <col min="1" max="1" width="75.69921875" style="2" customWidth="1"/>
    <col min="2" max="16384" width="8.8984375" style="2" customWidth="1"/>
  </cols>
  <sheetData>
    <row r="1" ht="15">
      <c r="A1" s="1" t="s">
        <v>259</v>
      </c>
    </row>
    <row r="3" ht="39.75" customHeight="1">
      <c r="A3" s="3" t="s">
        <v>338</v>
      </c>
    </row>
    <row r="4" ht="15">
      <c r="A4" s="4"/>
    </row>
    <row r="5" ht="49.5" customHeight="1">
      <c r="A5" s="5" t="s">
        <v>382</v>
      </c>
    </row>
    <row r="6" ht="15">
      <c r="A6" s="5"/>
    </row>
    <row r="7" ht="66.75" customHeight="1">
      <c r="A7" s="5" t="s">
        <v>348</v>
      </c>
    </row>
    <row r="8" ht="15">
      <c r="A8" s="5"/>
    </row>
    <row r="9" ht="32.25" customHeight="1">
      <c r="A9" s="5" t="s">
        <v>339</v>
      </c>
    </row>
    <row r="11" ht="51" customHeight="1">
      <c r="A11" s="5" t="s">
        <v>258</v>
      </c>
    </row>
    <row r="13" ht="15">
      <c r="A13" s="1" t="s">
        <v>410</v>
      </c>
    </row>
    <row r="14" ht="15">
      <c r="A14" s="1"/>
    </row>
    <row r="15" ht="15">
      <c r="A15" s="4" t="s">
        <v>415</v>
      </c>
    </row>
    <row r="17" ht="88.5" customHeight="1">
      <c r="A17" s="6" t="s">
        <v>416</v>
      </c>
    </row>
    <row r="18" ht="9" customHeight="1">
      <c r="A18" s="6"/>
    </row>
    <row r="19" ht="100.5" customHeight="1">
      <c r="A19" s="6" t="s">
        <v>411</v>
      </c>
    </row>
    <row r="21" ht="15">
      <c r="A21" s="1" t="s">
        <v>65</v>
      </c>
    </row>
    <row r="23" ht="36" customHeight="1">
      <c r="A23" s="5" t="s">
        <v>340</v>
      </c>
    </row>
    <row r="24" ht="15">
      <c r="A24" s="5"/>
    </row>
    <row r="25" ht="15">
      <c r="A25" s="257" t="s">
        <v>341</v>
      </c>
    </row>
    <row r="26" ht="12" customHeight="1">
      <c r="A26" s="5"/>
    </row>
    <row r="27" ht="15">
      <c r="A27" s="107" t="s">
        <v>237</v>
      </c>
    </row>
    <row r="28" ht="15">
      <c r="A28" s="245"/>
    </row>
    <row r="29" ht="84.75" customHeight="1">
      <c r="A29" s="108" t="s">
        <v>371</v>
      </c>
    </row>
    <row r="30" ht="12.75" customHeight="1">
      <c r="A30" s="246"/>
    </row>
    <row r="31" ht="15">
      <c r="A31" s="247" t="s">
        <v>342</v>
      </c>
    </row>
    <row r="32" ht="15">
      <c r="A32" s="246"/>
    </row>
    <row r="33" ht="15">
      <c r="A33" s="371" t="s">
        <v>409</v>
      </c>
    </row>
    <row r="34" ht="15">
      <c r="A34" s="246"/>
    </row>
    <row r="35" ht="15">
      <c r="A35" s="5" t="s">
        <v>166</v>
      </c>
    </row>
    <row r="37" ht="15">
      <c r="A37" s="1" t="s">
        <v>167</v>
      </c>
    </row>
    <row r="39" ht="66.75" customHeight="1">
      <c r="A39" s="5" t="s">
        <v>412</v>
      </c>
    </row>
    <row r="40" ht="35.25" customHeight="1">
      <c r="A40" s="5" t="s">
        <v>261</v>
      </c>
    </row>
    <row r="41" ht="53.25" customHeight="1">
      <c r="A41" s="248" t="s">
        <v>343</v>
      </c>
    </row>
    <row r="43" ht="84" customHeight="1">
      <c r="A43" s="5" t="s">
        <v>390</v>
      </c>
    </row>
    <row r="44" ht="53.25" customHeight="1">
      <c r="A44" s="5" t="s">
        <v>344</v>
      </c>
    </row>
    <row r="45" ht="15.75" customHeight="1">
      <c r="A45" s="5"/>
    </row>
    <row r="46" ht="69.75" customHeight="1">
      <c r="A46" s="5" t="s">
        <v>345</v>
      </c>
    </row>
    <row r="47" ht="37.5" customHeight="1">
      <c r="A47" s="5" t="s">
        <v>346</v>
      </c>
    </row>
    <row r="48" ht="69" customHeight="1">
      <c r="A48" s="5" t="s">
        <v>360</v>
      </c>
    </row>
    <row r="50" ht="84.75" customHeight="1">
      <c r="A50" s="5" t="s">
        <v>359</v>
      </c>
    </row>
    <row r="51" ht="38.25" customHeight="1">
      <c r="A51" s="5" t="s">
        <v>347</v>
      </c>
    </row>
    <row r="52" ht="15">
      <c r="A52" s="5"/>
    </row>
    <row r="53" ht="68.25" customHeight="1">
      <c r="A53" s="5" t="s">
        <v>417</v>
      </c>
    </row>
    <row r="54" ht="15">
      <c r="A54" s="5"/>
    </row>
    <row r="55" ht="48.75" customHeight="1">
      <c r="A55" s="5" t="s">
        <v>361</v>
      </c>
    </row>
    <row r="56" ht="51" customHeight="1">
      <c r="A56" s="5" t="s">
        <v>418</v>
      </c>
    </row>
    <row r="58" s="5" customFormat="1" ht="66.75" customHeight="1">
      <c r="A58" s="5" t="s">
        <v>362</v>
      </c>
    </row>
    <row r="60" ht="67.5" customHeight="1">
      <c r="A60" s="5" t="s">
        <v>372</v>
      </c>
    </row>
    <row r="62" ht="95.25" customHeight="1">
      <c r="A62" s="5" t="s">
        <v>373</v>
      </c>
    </row>
    <row r="63" ht="135.75" customHeight="1">
      <c r="A63" s="5" t="s">
        <v>444</v>
      </c>
    </row>
    <row r="64" ht="73.5" customHeight="1">
      <c r="A64" s="5" t="s">
        <v>400</v>
      </c>
    </row>
    <row r="65" ht="110.25" customHeight="1">
      <c r="A65" s="5" t="s">
        <v>401</v>
      </c>
    </row>
    <row r="66" ht="67.5" customHeight="1">
      <c r="A66" s="5" t="s">
        <v>402</v>
      </c>
    </row>
    <row r="67" ht="57" customHeight="1">
      <c r="A67" s="5" t="s">
        <v>403</v>
      </c>
    </row>
    <row r="68" ht="69" customHeight="1">
      <c r="A68" s="5" t="s">
        <v>413</v>
      </c>
    </row>
    <row r="69" ht="45" customHeight="1">
      <c r="A69" s="5" t="s">
        <v>404</v>
      </c>
    </row>
    <row r="70" ht="86.25" customHeight="1">
      <c r="A70" s="5" t="s">
        <v>405</v>
      </c>
    </row>
    <row r="71" ht="177.75" customHeight="1">
      <c r="A71" s="5" t="s">
        <v>414</v>
      </c>
    </row>
    <row r="73" ht="152.25" customHeight="1">
      <c r="A73" s="5" t="s">
        <v>406</v>
      </c>
    </row>
    <row r="75" ht="58.5" customHeight="1">
      <c r="A75" s="5" t="s">
        <v>407</v>
      </c>
    </row>
    <row r="76" ht="81.75" customHeight="1">
      <c r="A76" s="249" t="s">
        <v>421</v>
      </c>
    </row>
    <row r="77" ht="38.25" customHeight="1">
      <c r="A77" s="5" t="s">
        <v>422</v>
      </c>
    </row>
    <row r="78" ht="24.75" customHeight="1">
      <c r="A78" s="5" t="s">
        <v>423</v>
      </c>
    </row>
    <row r="79" ht="25.5" customHeight="1">
      <c r="A79" s="5" t="s">
        <v>424</v>
      </c>
    </row>
    <row r="80" ht="39" customHeight="1">
      <c r="A80" s="5" t="s">
        <v>425</v>
      </c>
    </row>
    <row r="81" ht="53.25" customHeight="1">
      <c r="A81" s="5" t="s">
        <v>426</v>
      </c>
    </row>
    <row r="83" ht="46.5">
      <c r="A83" s="5" t="s">
        <v>427</v>
      </c>
    </row>
  </sheetData>
  <sheetProtection sheet="1" objects="1" scenarios="1"/>
  <printOptions/>
  <pageMargins left="0.5" right="0.5" top="0.5" bottom="0.5" header="0.5" footer="0"/>
  <pageSetup blackAndWhite="1" fitToHeight="2" horizontalDpi="300" verticalDpi="300" orientation="portrait" scale="90" r:id="rId1"/>
  <headerFooter alignWithMargins="0">
    <oddFooter>&amp;Lrevised 5/08/08</oddFooter>
  </headerFooter>
</worksheet>
</file>

<file path=xl/worksheets/sheet10.xml><?xml version="1.0" encoding="utf-8"?>
<worksheet xmlns="http://schemas.openxmlformats.org/spreadsheetml/2006/main" xmlns:r="http://schemas.openxmlformats.org/officeDocument/2006/relationships">
  <dimension ref="A1:N96"/>
  <sheetViews>
    <sheetView view="pageBreakPreview" zoomScale="60" zoomScalePageLayoutView="0" workbookViewId="0" topLeftCell="A67">
      <selection activeCell="C26" sqref="C26"/>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176</v>
      </c>
      <c r="B3" s="90"/>
      <c r="C3" s="21"/>
      <c r="D3" s="21"/>
      <c r="E3" s="23"/>
    </row>
    <row r="4" spans="1:5" ht="15">
      <c r="A4" s="21"/>
      <c r="B4" s="21"/>
      <c r="C4" s="91"/>
      <c r="D4" s="91"/>
      <c r="E4" s="91"/>
    </row>
    <row r="5" spans="1:5" ht="15">
      <c r="A5" s="92" t="s">
        <v>100</v>
      </c>
      <c r="B5" s="92"/>
      <c r="C5" s="93" t="s">
        <v>124</v>
      </c>
      <c r="D5" s="33" t="s">
        <v>262</v>
      </c>
      <c r="E5" s="33" t="s">
        <v>263</v>
      </c>
    </row>
    <row r="6" spans="1:5" ht="15">
      <c r="A6" s="137" t="str">
        <f>inputPrYr!B16</f>
        <v>General</v>
      </c>
      <c r="B6" s="137"/>
      <c r="C6" s="146">
        <f>E1-2</f>
        <v>2010</v>
      </c>
      <c r="D6" s="146">
        <f>E1-1</f>
        <v>2011</v>
      </c>
      <c r="E6" s="146">
        <f>E1</f>
        <v>2012</v>
      </c>
    </row>
    <row r="7" spans="1:14" ht="15">
      <c r="A7" s="326" t="s">
        <v>234</v>
      </c>
      <c r="B7" s="332"/>
      <c r="C7" s="319">
        <v>147269</v>
      </c>
      <c r="D7" s="40">
        <f>C84</f>
        <v>91037</v>
      </c>
      <c r="E7" s="40">
        <f>D84</f>
        <v>95329</v>
      </c>
      <c r="F7" s="400"/>
      <c r="G7" s="400"/>
      <c r="H7" s="400"/>
      <c r="I7" s="400"/>
      <c r="J7" s="400"/>
      <c r="K7" s="400"/>
      <c r="L7" s="400"/>
      <c r="M7" s="400"/>
      <c r="N7" s="400"/>
    </row>
    <row r="8" spans="1:14" ht="15">
      <c r="A8" s="331" t="s">
        <v>236</v>
      </c>
      <c r="B8" s="332"/>
      <c r="C8" s="320"/>
      <c r="D8" s="40"/>
      <c r="E8" s="40"/>
      <c r="F8" s="400"/>
      <c r="G8" s="400"/>
      <c r="H8" s="400"/>
      <c r="I8" s="400"/>
      <c r="J8" s="400"/>
      <c r="K8" s="400"/>
      <c r="L8" s="400"/>
      <c r="M8" s="400"/>
      <c r="N8" s="400"/>
    </row>
    <row r="9" spans="1:14" ht="15">
      <c r="A9" s="326" t="s">
        <v>101</v>
      </c>
      <c r="B9" s="332"/>
      <c r="C9" s="319">
        <v>200568</v>
      </c>
      <c r="D9" s="40">
        <f>inputPrYr!D16</f>
        <v>212407</v>
      </c>
      <c r="E9" s="45" t="s">
        <v>516</v>
      </c>
      <c r="F9" s="400"/>
      <c r="G9" s="400"/>
      <c r="H9" s="400"/>
      <c r="I9" s="400"/>
      <c r="J9" s="400"/>
      <c r="K9" s="400"/>
      <c r="L9" s="400"/>
      <c r="M9" s="400"/>
      <c r="N9" s="400"/>
    </row>
    <row r="10" spans="1:14" ht="15">
      <c r="A10" s="326" t="s">
        <v>102</v>
      </c>
      <c r="B10" s="332"/>
      <c r="C10" s="319">
        <v>8778</v>
      </c>
      <c r="D10" s="319">
        <v>0</v>
      </c>
      <c r="E10" s="14">
        <v>0</v>
      </c>
      <c r="F10" s="400"/>
      <c r="G10" s="400"/>
      <c r="H10" s="400"/>
      <c r="I10" s="400"/>
      <c r="J10" s="400"/>
      <c r="K10" s="400"/>
      <c r="L10" s="400"/>
      <c r="M10" s="400"/>
      <c r="N10" s="400"/>
    </row>
    <row r="11" spans="1:14" ht="15">
      <c r="A11" s="326" t="s">
        <v>103</v>
      </c>
      <c r="B11" s="332"/>
      <c r="C11" s="319">
        <v>41693</v>
      </c>
      <c r="D11" s="319">
        <v>46827</v>
      </c>
      <c r="E11" s="40">
        <f>mvalloc!C7</f>
        <v>39313</v>
      </c>
      <c r="F11" s="400"/>
      <c r="G11" s="400"/>
      <c r="H11" s="400"/>
      <c r="I11" s="400"/>
      <c r="J11" s="400"/>
      <c r="K11" s="400"/>
      <c r="L11" s="400"/>
      <c r="M11" s="400"/>
      <c r="N11" s="400"/>
    </row>
    <row r="12" spans="1:14" ht="15">
      <c r="A12" s="326" t="s">
        <v>104</v>
      </c>
      <c r="B12" s="332"/>
      <c r="C12" s="319">
        <v>1219</v>
      </c>
      <c r="D12" s="319">
        <v>1333</v>
      </c>
      <c r="E12" s="40">
        <f>mvalloc!D7</f>
        <v>1235</v>
      </c>
      <c r="F12" s="400"/>
      <c r="G12" s="400"/>
      <c r="H12" s="400"/>
      <c r="I12" s="400"/>
      <c r="J12" s="400"/>
      <c r="K12" s="400"/>
      <c r="L12" s="400"/>
      <c r="M12" s="400"/>
      <c r="N12" s="400"/>
    </row>
    <row r="13" spans="1:14" ht="15">
      <c r="A13" s="326" t="s">
        <v>211</v>
      </c>
      <c r="B13" s="332"/>
      <c r="C13" s="319">
        <v>630</v>
      </c>
      <c r="D13" s="319">
        <v>625</v>
      </c>
      <c r="E13" s="40">
        <f>mvalloc!E7</f>
        <v>650</v>
      </c>
      <c r="F13" s="400"/>
      <c r="G13" s="400"/>
      <c r="H13" s="400"/>
      <c r="I13" s="400"/>
      <c r="J13" s="400"/>
      <c r="K13" s="400"/>
      <c r="L13" s="400"/>
      <c r="M13" s="400"/>
      <c r="N13" s="400"/>
    </row>
    <row r="14" spans="1:14" ht="15">
      <c r="A14" s="326" t="s">
        <v>212</v>
      </c>
      <c r="B14" s="332"/>
      <c r="C14" s="319">
        <v>10271</v>
      </c>
      <c r="D14" s="319">
        <v>6989</v>
      </c>
      <c r="E14" s="40">
        <f>inputOth!E15</f>
        <v>6341</v>
      </c>
      <c r="F14" s="400"/>
      <c r="G14" s="400"/>
      <c r="H14" s="400"/>
      <c r="I14" s="400"/>
      <c r="J14" s="400"/>
      <c r="K14" s="400"/>
      <c r="L14" s="400"/>
      <c r="M14" s="400"/>
      <c r="N14" s="400"/>
    </row>
    <row r="15" spans="1:14" ht="15">
      <c r="A15" s="326" t="s">
        <v>280</v>
      </c>
      <c r="B15" s="332"/>
      <c r="C15" s="319">
        <v>0</v>
      </c>
      <c r="D15" s="319">
        <v>0</v>
      </c>
      <c r="E15" s="40">
        <f>inputOth!E40</f>
        <v>0</v>
      </c>
      <c r="F15" s="400"/>
      <c r="G15" s="400"/>
      <c r="H15" s="400"/>
      <c r="I15" s="400"/>
      <c r="J15" s="400"/>
      <c r="K15" s="400"/>
      <c r="L15" s="400"/>
      <c r="M15" s="400"/>
      <c r="N15" s="400"/>
    </row>
    <row r="16" spans="1:14" ht="15">
      <c r="A16" s="326" t="s">
        <v>396</v>
      </c>
      <c r="B16" s="332"/>
      <c r="C16" s="319">
        <v>-4430</v>
      </c>
      <c r="D16" s="319">
        <v>-4200</v>
      </c>
      <c r="E16" s="40">
        <v>-2493</v>
      </c>
      <c r="F16" s="400"/>
      <c r="G16" s="400"/>
      <c r="H16" s="400"/>
      <c r="I16" s="400"/>
      <c r="J16" s="400"/>
      <c r="K16" s="400"/>
      <c r="L16" s="400"/>
      <c r="M16" s="400"/>
      <c r="N16" s="400"/>
    </row>
    <row r="17" spans="1:14" ht="15">
      <c r="A17" s="336" t="s">
        <v>282</v>
      </c>
      <c r="B17" s="332"/>
      <c r="C17" s="319">
        <v>0</v>
      </c>
      <c r="D17" s="319">
        <v>0</v>
      </c>
      <c r="E17" s="40">
        <f>mvalloc!F7</f>
        <v>0</v>
      </c>
      <c r="F17" s="400"/>
      <c r="G17" s="400"/>
      <c r="H17" s="400"/>
      <c r="I17" s="400"/>
      <c r="J17" s="400"/>
      <c r="K17" s="400"/>
      <c r="L17" s="400"/>
      <c r="M17" s="400"/>
      <c r="N17" s="400"/>
    </row>
    <row r="18" spans="1:14" ht="15">
      <c r="A18" s="343" t="s">
        <v>462</v>
      </c>
      <c r="B18" s="333"/>
      <c r="C18" s="319">
        <v>32377</v>
      </c>
      <c r="D18" s="14">
        <v>32450</v>
      </c>
      <c r="E18" s="14">
        <v>32500</v>
      </c>
      <c r="F18" s="400"/>
      <c r="G18" s="400"/>
      <c r="H18" s="400"/>
      <c r="I18" s="400"/>
      <c r="J18" s="400"/>
      <c r="K18" s="400"/>
      <c r="L18" s="400"/>
      <c r="M18" s="400"/>
      <c r="N18" s="400"/>
    </row>
    <row r="19" spans="1:14" ht="15">
      <c r="A19" s="343" t="s">
        <v>105</v>
      </c>
      <c r="B19" s="333"/>
      <c r="C19" s="319">
        <v>3750</v>
      </c>
      <c r="D19" s="14">
        <v>3900</v>
      </c>
      <c r="E19" s="14">
        <v>4117</v>
      </c>
      <c r="F19" s="400"/>
      <c r="G19" s="400"/>
      <c r="H19" s="400"/>
      <c r="I19" s="400"/>
      <c r="J19" s="400"/>
      <c r="K19" s="400"/>
      <c r="L19" s="400"/>
      <c r="M19" s="400"/>
      <c r="N19" s="400"/>
    </row>
    <row r="20" spans="1:14" ht="15">
      <c r="A20" s="343" t="s">
        <v>54</v>
      </c>
      <c r="B20" s="333"/>
      <c r="C20" s="319">
        <v>572</v>
      </c>
      <c r="D20" s="14">
        <v>0</v>
      </c>
      <c r="E20" s="14">
        <v>0</v>
      </c>
      <c r="F20" s="400"/>
      <c r="G20" s="400"/>
      <c r="H20" s="400"/>
      <c r="I20" s="400"/>
      <c r="J20" s="400"/>
      <c r="K20" s="400"/>
      <c r="L20" s="400"/>
      <c r="M20" s="400"/>
      <c r="N20" s="400"/>
    </row>
    <row r="21" spans="1:14" ht="15">
      <c r="A21" s="343" t="s">
        <v>473</v>
      </c>
      <c r="B21" s="333"/>
      <c r="C21" s="319">
        <v>135788</v>
      </c>
      <c r="D21" s="14">
        <v>135800</v>
      </c>
      <c r="E21" s="14">
        <v>135900</v>
      </c>
      <c r="F21" s="400"/>
      <c r="G21" s="400"/>
      <c r="H21" s="400"/>
      <c r="I21" s="400"/>
      <c r="J21" s="400"/>
      <c r="K21" s="400"/>
      <c r="L21" s="400"/>
      <c r="M21" s="400"/>
      <c r="N21" s="400"/>
    </row>
    <row r="22" spans="1:14" ht="15">
      <c r="A22" s="343" t="s">
        <v>463</v>
      </c>
      <c r="B22" s="333"/>
      <c r="C22" s="319">
        <v>12000</v>
      </c>
      <c r="D22" s="14">
        <v>12000</v>
      </c>
      <c r="E22" s="14">
        <v>12000</v>
      </c>
      <c r="F22" s="411"/>
      <c r="G22" s="400"/>
      <c r="H22" s="400"/>
      <c r="I22" s="400"/>
      <c r="J22" s="400"/>
      <c r="K22" s="400"/>
      <c r="L22" s="400"/>
      <c r="M22" s="400"/>
      <c r="N22" s="400"/>
    </row>
    <row r="23" spans="1:14" ht="15">
      <c r="A23" s="343" t="s">
        <v>474</v>
      </c>
      <c r="B23" s="333"/>
      <c r="C23" s="319">
        <v>725</v>
      </c>
      <c r="D23" s="14">
        <v>1050</v>
      </c>
      <c r="E23" s="14">
        <v>1100</v>
      </c>
      <c r="F23" s="400"/>
      <c r="G23" s="400"/>
      <c r="H23" s="400"/>
      <c r="I23" s="400"/>
      <c r="J23" s="400"/>
      <c r="K23" s="400"/>
      <c r="L23" s="400"/>
      <c r="M23" s="400"/>
      <c r="N23" s="400"/>
    </row>
    <row r="24" spans="1:14" ht="15">
      <c r="A24" s="343" t="s">
        <v>464</v>
      </c>
      <c r="B24" s="333"/>
      <c r="C24" s="319">
        <v>650</v>
      </c>
      <c r="D24" s="14">
        <v>650</v>
      </c>
      <c r="E24" s="14">
        <v>0</v>
      </c>
      <c r="F24" s="400"/>
      <c r="G24" s="400"/>
      <c r="H24" s="400"/>
      <c r="I24" s="400"/>
      <c r="J24" s="400"/>
      <c r="K24" s="400"/>
      <c r="L24" s="400"/>
      <c r="M24" s="400"/>
      <c r="N24" s="400"/>
    </row>
    <row r="25" spans="1:14" ht="15">
      <c r="A25" s="343" t="s">
        <v>465</v>
      </c>
      <c r="B25" s="333"/>
      <c r="C25" s="319">
        <v>425</v>
      </c>
      <c r="D25" s="14">
        <v>475</v>
      </c>
      <c r="E25" s="14">
        <v>475</v>
      </c>
      <c r="F25" s="400"/>
      <c r="G25" s="400"/>
      <c r="H25" s="400"/>
      <c r="I25" s="400"/>
      <c r="J25" s="400"/>
      <c r="K25" s="400"/>
      <c r="L25" s="400"/>
      <c r="M25" s="400"/>
      <c r="N25" s="400"/>
    </row>
    <row r="26" spans="1:14" ht="15">
      <c r="A26" s="343" t="s">
        <v>0</v>
      </c>
      <c r="B26" s="333"/>
      <c r="C26" s="319">
        <v>390</v>
      </c>
      <c r="D26" s="14">
        <v>400</v>
      </c>
      <c r="E26" s="14">
        <v>415</v>
      </c>
      <c r="F26" s="400"/>
      <c r="G26" s="400"/>
      <c r="H26" s="400"/>
      <c r="I26" s="400"/>
      <c r="J26" s="400"/>
      <c r="K26" s="400"/>
      <c r="L26" s="400"/>
      <c r="M26" s="400"/>
      <c r="N26" s="400"/>
    </row>
    <row r="27" spans="1:14" ht="15">
      <c r="A27" s="343" t="s">
        <v>466</v>
      </c>
      <c r="B27" s="333"/>
      <c r="C27" s="319">
        <v>2109</v>
      </c>
      <c r="D27" s="14">
        <v>2110</v>
      </c>
      <c r="E27" s="14">
        <v>2120</v>
      </c>
      <c r="F27" s="400"/>
      <c r="G27" s="400"/>
      <c r="H27" s="400"/>
      <c r="I27" s="400"/>
      <c r="J27" s="400"/>
      <c r="K27" s="400"/>
      <c r="L27" s="400"/>
      <c r="M27" s="400"/>
      <c r="N27" s="400"/>
    </row>
    <row r="28" spans="1:14" ht="15">
      <c r="A28" s="343" t="s">
        <v>106</v>
      </c>
      <c r="B28" s="333"/>
      <c r="C28" s="319">
        <v>8556</v>
      </c>
      <c r="D28" s="14">
        <v>8200</v>
      </c>
      <c r="E28" s="14">
        <v>8250</v>
      </c>
      <c r="F28" s="400"/>
      <c r="G28" s="400"/>
      <c r="H28" s="400"/>
      <c r="I28" s="400"/>
      <c r="J28" s="400"/>
      <c r="K28" s="400"/>
      <c r="L28" s="400"/>
      <c r="M28" s="400"/>
      <c r="N28" s="400"/>
    </row>
    <row r="29" spans="1:14" ht="15">
      <c r="A29" s="343" t="s">
        <v>52</v>
      </c>
      <c r="B29" s="333"/>
      <c r="C29" s="319">
        <v>0</v>
      </c>
      <c r="D29" s="14">
        <v>0</v>
      </c>
      <c r="E29" s="14">
        <v>0</v>
      </c>
      <c r="F29" s="400"/>
      <c r="G29" s="400"/>
      <c r="H29" s="400"/>
      <c r="I29" s="400"/>
      <c r="J29" s="400"/>
      <c r="K29" s="400"/>
      <c r="L29" s="400"/>
      <c r="M29" s="400"/>
      <c r="N29" s="400"/>
    </row>
    <row r="30" spans="1:14" ht="15">
      <c r="A30" s="343" t="s">
        <v>475</v>
      </c>
      <c r="B30" s="333"/>
      <c r="C30" s="319">
        <v>120</v>
      </c>
      <c r="D30" s="14">
        <v>150</v>
      </c>
      <c r="E30" s="14">
        <v>200</v>
      </c>
      <c r="F30" s="400"/>
      <c r="G30" s="400"/>
      <c r="H30" s="400"/>
      <c r="I30" s="400"/>
      <c r="J30" s="400"/>
      <c r="K30" s="400"/>
      <c r="L30" s="400"/>
      <c r="M30" s="400"/>
      <c r="N30" s="400"/>
    </row>
    <row r="31" spans="1:14" ht="15">
      <c r="A31" s="343" t="s">
        <v>468</v>
      </c>
      <c r="B31" s="333"/>
      <c r="C31" s="319">
        <v>29785</v>
      </c>
      <c r="D31" s="14">
        <v>31500</v>
      </c>
      <c r="E31" s="14">
        <v>32500</v>
      </c>
      <c r="F31" s="400"/>
      <c r="G31" s="400"/>
      <c r="H31" s="400"/>
      <c r="I31" s="400"/>
      <c r="J31" s="400"/>
      <c r="K31" s="400"/>
      <c r="L31" s="400"/>
      <c r="M31" s="400"/>
      <c r="N31" s="400"/>
    </row>
    <row r="32" spans="1:14" ht="15">
      <c r="A32" s="343" t="s">
        <v>469</v>
      </c>
      <c r="B32" s="333"/>
      <c r="C32" s="319">
        <v>1950</v>
      </c>
      <c r="D32" s="14">
        <v>2900</v>
      </c>
      <c r="E32" s="14">
        <v>3000</v>
      </c>
      <c r="F32" s="400"/>
      <c r="G32" s="400"/>
      <c r="H32" s="400"/>
      <c r="I32" s="400"/>
      <c r="J32" s="400"/>
      <c r="K32" s="400"/>
      <c r="L32" s="400"/>
      <c r="M32" s="400"/>
      <c r="N32" s="400"/>
    </row>
    <row r="33" spans="1:14" ht="15">
      <c r="A33" s="343" t="s">
        <v>470</v>
      </c>
      <c r="B33" s="333"/>
      <c r="C33" s="319">
        <v>3314</v>
      </c>
      <c r="D33" s="14">
        <v>3400</v>
      </c>
      <c r="E33" s="14">
        <v>3500</v>
      </c>
      <c r="F33" s="400"/>
      <c r="G33" s="400"/>
      <c r="H33" s="400"/>
      <c r="I33" s="400"/>
      <c r="J33" s="400"/>
      <c r="K33" s="400"/>
      <c r="L33" s="400"/>
      <c r="M33" s="400"/>
      <c r="N33" s="400"/>
    </row>
    <row r="34" spans="1:14" ht="15">
      <c r="A34" s="343" t="s">
        <v>471</v>
      </c>
      <c r="B34" s="333"/>
      <c r="C34" s="319">
        <v>9885</v>
      </c>
      <c r="D34" s="14">
        <v>0</v>
      </c>
      <c r="E34" s="14">
        <v>0</v>
      </c>
      <c r="F34" s="400"/>
      <c r="G34" s="400"/>
      <c r="H34" s="400"/>
      <c r="I34" s="400"/>
      <c r="J34" s="400"/>
      <c r="K34" s="400"/>
      <c r="L34" s="400"/>
      <c r="M34" s="400"/>
      <c r="N34" s="400"/>
    </row>
    <row r="35" spans="1:14" ht="15">
      <c r="A35" s="343" t="s">
        <v>472</v>
      </c>
      <c r="B35" s="333"/>
      <c r="C35" s="319">
        <v>360</v>
      </c>
      <c r="D35" s="14">
        <v>650</v>
      </c>
      <c r="E35" s="14">
        <v>650</v>
      </c>
      <c r="F35" s="400"/>
      <c r="G35" s="400"/>
      <c r="H35" s="400"/>
      <c r="I35" s="400"/>
      <c r="J35" s="400"/>
      <c r="K35" s="400"/>
      <c r="L35" s="400"/>
      <c r="M35" s="400"/>
      <c r="N35" s="400"/>
    </row>
    <row r="36" spans="1:14" ht="15">
      <c r="A36" s="343" t="s">
        <v>476</v>
      </c>
      <c r="B36" s="333"/>
      <c r="C36" s="319">
        <v>5000</v>
      </c>
      <c r="D36" s="14">
        <v>140000</v>
      </c>
      <c r="E36" s="14">
        <v>140000</v>
      </c>
      <c r="F36" s="412"/>
      <c r="G36" s="412"/>
      <c r="H36" s="412"/>
      <c r="I36" s="412"/>
      <c r="J36" s="412"/>
      <c r="K36" s="412"/>
      <c r="L36" s="412"/>
      <c r="M36" s="412"/>
      <c r="N36" s="412"/>
    </row>
    <row r="37" spans="1:14" ht="15">
      <c r="A37" s="343" t="s">
        <v>487</v>
      </c>
      <c r="B37" s="333"/>
      <c r="C37" s="319">
        <v>1586</v>
      </c>
      <c r="D37" s="14">
        <v>0</v>
      </c>
      <c r="E37" s="14">
        <v>0</v>
      </c>
      <c r="F37" s="412"/>
      <c r="G37" s="412"/>
      <c r="H37" s="412"/>
      <c r="I37" s="412"/>
      <c r="J37" s="412"/>
      <c r="K37" s="412"/>
      <c r="L37" s="412"/>
      <c r="M37" s="412"/>
      <c r="N37" s="412"/>
    </row>
    <row r="38" spans="1:14" ht="15">
      <c r="A38" s="343" t="s">
        <v>499</v>
      </c>
      <c r="B38" s="333"/>
      <c r="C38" s="319">
        <v>4</v>
      </c>
      <c r="D38" s="14">
        <v>0</v>
      </c>
      <c r="E38" s="14">
        <v>0</v>
      </c>
      <c r="F38" s="412"/>
      <c r="G38" s="412"/>
      <c r="H38" s="412"/>
      <c r="I38" s="412"/>
      <c r="J38" s="412"/>
      <c r="K38" s="412"/>
      <c r="L38" s="412"/>
      <c r="M38" s="412"/>
      <c r="N38" s="412"/>
    </row>
    <row r="39" spans="1:14" ht="15">
      <c r="A39" s="343" t="s">
        <v>479</v>
      </c>
      <c r="B39" s="333"/>
      <c r="C39" s="319">
        <v>300</v>
      </c>
      <c r="D39" s="14">
        <v>0</v>
      </c>
      <c r="E39" s="14">
        <v>0</v>
      </c>
      <c r="F39" s="412"/>
      <c r="G39" s="412"/>
      <c r="H39" s="412"/>
      <c r="I39" s="412"/>
      <c r="J39" s="412"/>
      <c r="K39" s="412"/>
      <c r="L39" s="412"/>
      <c r="M39" s="412"/>
      <c r="N39" s="412"/>
    </row>
    <row r="40" spans="1:14" ht="15">
      <c r="A40" s="327" t="s">
        <v>498</v>
      </c>
      <c r="B40" s="333"/>
      <c r="C40" s="319">
        <v>20241</v>
      </c>
      <c r="D40" s="14">
        <v>0</v>
      </c>
      <c r="E40" s="14">
        <v>0</v>
      </c>
      <c r="F40" s="412"/>
      <c r="G40" s="412"/>
      <c r="H40" s="412"/>
      <c r="I40" s="412"/>
      <c r="J40" s="412"/>
      <c r="K40" s="412"/>
      <c r="L40" s="412"/>
      <c r="M40" s="412"/>
      <c r="N40" s="412"/>
    </row>
    <row r="41" spans="1:14" ht="15">
      <c r="A41" s="336" t="s">
        <v>467</v>
      </c>
      <c r="B41" s="332"/>
      <c r="C41" s="319">
        <v>16515</v>
      </c>
      <c r="D41" s="319">
        <v>5200</v>
      </c>
      <c r="E41" s="319">
        <v>6500</v>
      </c>
      <c r="F41" s="400"/>
      <c r="G41" s="400"/>
      <c r="H41" s="400"/>
      <c r="I41" s="400"/>
      <c r="J41" s="400"/>
      <c r="K41" s="400"/>
      <c r="L41" s="400"/>
      <c r="M41" s="400"/>
      <c r="N41" s="400"/>
    </row>
    <row r="42" spans="1:14" ht="15">
      <c r="A42" s="326" t="s">
        <v>399</v>
      </c>
      <c r="B42" s="332"/>
      <c r="C42" s="366">
        <f>IF(C43*0.1&lt;C41,"Exceed 10% Rule","")</f>
      </c>
      <c r="D42" s="366">
        <f>IF(D43*0.1&lt;D41,"Exceed 10% Rule","")</f>
      </c>
      <c r="E42" s="366">
        <f>IF(E43*0.1&lt;E41,"Exceed 10% Rule","")</f>
      </c>
      <c r="F42" s="400"/>
      <c r="G42" s="400"/>
      <c r="H42" s="400"/>
      <c r="I42" s="400"/>
      <c r="J42" s="400"/>
      <c r="K42" s="400"/>
      <c r="L42" s="400"/>
      <c r="M42" s="400"/>
      <c r="N42" s="400"/>
    </row>
    <row r="43" spans="1:14" ht="15">
      <c r="A43" s="152" t="s">
        <v>107</v>
      </c>
      <c r="B43" s="332"/>
      <c r="C43" s="322">
        <f>SUM(C9:C41)</f>
        <v>545131</v>
      </c>
      <c r="D43" s="265">
        <f>SUM(D9:D41)</f>
        <v>644816</v>
      </c>
      <c r="E43" s="265">
        <f>SUM(E10:E41)</f>
        <v>428273</v>
      </c>
      <c r="F43" s="400"/>
      <c r="G43" s="400"/>
      <c r="H43" s="400"/>
      <c r="I43" s="400"/>
      <c r="J43" s="400"/>
      <c r="K43" s="400"/>
      <c r="L43" s="400"/>
      <c r="M43" s="400"/>
      <c r="N43" s="400"/>
    </row>
    <row r="44" spans="1:14" ht="15">
      <c r="A44" s="152" t="s">
        <v>108</v>
      </c>
      <c r="B44" s="332"/>
      <c r="C44" s="329">
        <f>C7+C43</f>
        <v>692400</v>
      </c>
      <c r="D44" s="268">
        <f>D7+D43</f>
        <v>735853</v>
      </c>
      <c r="E44" s="268">
        <f>E7+E43</f>
        <v>523602</v>
      </c>
      <c r="F44" s="400"/>
      <c r="G44" s="400"/>
      <c r="H44" s="400"/>
      <c r="I44" s="400"/>
      <c r="J44" s="400"/>
      <c r="K44" s="400"/>
      <c r="L44" s="400"/>
      <c r="M44" s="400"/>
      <c r="N44" s="400"/>
    </row>
    <row r="45" spans="1:14" ht="15">
      <c r="A45" s="21"/>
      <c r="B45" s="21"/>
      <c r="C45" s="21"/>
      <c r="D45" s="21"/>
      <c r="E45" s="21"/>
      <c r="F45" s="400"/>
      <c r="G45" s="400"/>
      <c r="H45" s="400"/>
      <c r="I45" s="400"/>
      <c r="J45" s="400"/>
      <c r="K45" s="400"/>
      <c r="L45" s="400"/>
      <c r="M45" s="400"/>
      <c r="N45" s="400"/>
    </row>
    <row r="46" spans="1:14" ht="15">
      <c r="A46" s="442" t="s">
        <v>244</v>
      </c>
      <c r="B46" s="442"/>
      <c r="C46" s="442"/>
      <c r="D46" s="442"/>
      <c r="E46" s="442"/>
      <c r="F46" s="400"/>
      <c r="G46" s="400"/>
      <c r="H46" s="400"/>
      <c r="I46" s="400"/>
      <c r="J46" s="400"/>
      <c r="K46" s="400"/>
      <c r="L46" s="400"/>
      <c r="M46" s="400"/>
      <c r="N46" s="400"/>
    </row>
    <row r="47" spans="1:14" ht="15">
      <c r="A47" s="132"/>
      <c r="B47" s="132"/>
      <c r="C47" s="132"/>
      <c r="D47" s="132"/>
      <c r="E47" s="132"/>
      <c r="F47" s="400"/>
      <c r="G47" s="400"/>
      <c r="H47" s="400"/>
      <c r="I47" s="400"/>
      <c r="J47" s="400"/>
      <c r="K47" s="400"/>
      <c r="L47" s="400"/>
      <c r="M47" s="400"/>
      <c r="N47" s="400"/>
    </row>
    <row r="48" spans="1:14" ht="15">
      <c r="A48" s="72" t="str">
        <f>inputPrYr!D2</f>
        <v>CITY OF BLUE RAPIDS</v>
      </c>
      <c r="B48" s="72"/>
      <c r="C48" s="21"/>
      <c r="D48" s="21"/>
      <c r="E48" s="24"/>
      <c r="F48" s="400"/>
      <c r="G48" s="400"/>
      <c r="H48" s="400"/>
      <c r="I48" s="400"/>
      <c r="J48" s="400"/>
      <c r="K48" s="400"/>
      <c r="L48" s="400"/>
      <c r="M48" s="400"/>
      <c r="N48" s="400"/>
    </row>
    <row r="49" spans="1:14" ht="15">
      <c r="A49" s="21"/>
      <c r="B49" s="21"/>
      <c r="C49" s="21"/>
      <c r="D49" s="21"/>
      <c r="E49" s="23"/>
      <c r="F49" s="400"/>
      <c r="G49" s="400"/>
      <c r="H49" s="400"/>
      <c r="I49" s="400"/>
      <c r="J49" s="400"/>
      <c r="K49" s="400"/>
      <c r="L49" s="400"/>
      <c r="M49" s="400"/>
      <c r="N49" s="400"/>
    </row>
    <row r="50" spans="1:14" ht="15">
      <c r="A50" s="89" t="s">
        <v>176</v>
      </c>
      <c r="B50" s="89"/>
      <c r="C50" s="87"/>
      <c r="D50" s="87"/>
      <c r="E50" s="87"/>
      <c r="F50" s="400"/>
      <c r="G50" s="400"/>
      <c r="H50" s="400"/>
      <c r="I50" s="400"/>
      <c r="J50" s="400"/>
      <c r="K50" s="400"/>
      <c r="L50" s="400"/>
      <c r="M50" s="400"/>
      <c r="N50" s="400"/>
    </row>
    <row r="51" spans="1:14" ht="15">
      <c r="A51" s="21" t="s">
        <v>100</v>
      </c>
      <c r="B51" s="21"/>
      <c r="C51" s="93" t="s">
        <v>124</v>
      </c>
      <c r="D51" s="33" t="s">
        <v>262</v>
      </c>
      <c r="E51" s="33" t="s">
        <v>263</v>
      </c>
      <c r="F51" s="400"/>
      <c r="G51" s="400"/>
      <c r="H51" s="400"/>
      <c r="I51" s="400"/>
      <c r="J51" s="400"/>
      <c r="K51" s="400"/>
      <c r="L51" s="400"/>
      <c r="M51" s="400"/>
      <c r="N51" s="400"/>
    </row>
    <row r="52" spans="1:14" ht="15">
      <c r="A52" s="137" t="str">
        <f>inputPrYr!B16</f>
        <v>General</v>
      </c>
      <c r="B52" s="137"/>
      <c r="C52" s="146">
        <f>C6</f>
        <v>2010</v>
      </c>
      <c r="D52" s="146">
        <f>D6</f>
        <v>2011</v>
      </c>
      <c r="E52" s="146">
        <f>E6</f>
        <v>2012</v>
      </c>
      <c r="F52" s="400"/>
      <c r="G52" s="400"/>
      <c r="H52" s="400"/>
      <c r="I52" s="400"/>
      <c r="J52" s="400"/>
      <c r="K52" s="400"/>
      <c r="L52" s="400"/>
      <c r="M52" s="400"/>
      <c r="N52" s="400"/>
    </row>
    <row r="53" spans="1:14" ht="15">
      <c r="A53" s="344" t="s">
        <v>108</v>
      </c>
      <c r="B53" s="345"/>
      <c r="C53" s="118">
        <f>C44</f>
        <v>692400</v>
      </c>
      <c r="D53" s="85">
        <f>D44</f>
        <v>735853</v>
      </c>
      <c r="E53" s="85">
        <f>E44</f>
        <v>523602</v>
      </c>
      <c r="F53" s="400"/>
      <c r="G53" s="400"/>
      <c r="H53" s="400"/>
      <c r="I53" s="400"/>
      <c r="J53" s="400"/>
      <c r="K53" s="400"/>
      <c r="L53" s="400"/>
      <c r="M53" s="400"/>
      <c r="N53" s="400"/>
    </row>
    <row r="54" spans="1:14" ht="15">
      <c r="A54" s="331" t="s">
        <v>110</v>
      </c>
      <c r="B54" s="345"/>
      <c r="C54" s="320"/>
      <c r="D54" s="40"/>
      <c r="E54" s="40"/>
      <c r="F54" s="400"/>
      <c r="G54" s="400"/>
      <c r="H54" s="400"/>
      <c r="I54" s="400"/>
      <c r="J54" s="400"/>
      <c r="K54" s="400"/>
      <c r="L54" s="400"/>
      <c r="M54" s="400"/>
      <c r="N54" s="400"/>
    </row>
    <row r="55" spans="1:14" ht="15">
      <c r="A55" s="327"/>
      <c r="B55" s="346"/>
      <c r="C55" s="319"/>
      <c r="D55" s="14"/>
      <c r="E55" s="14"/>
      <c r="F55" s="400"/>
      <c r="G55" s="400"/>
      <c r="H55" s="400"/>
      <c r="I55" s="400"/>
      <c r="J55" s="400"/>
      <c r="K55" s="400"/>
      <c r="L55" s="400"/>
      <c r="M55" s="400"/>
      <c r="N55" s="400"/>
    </row>
    <row r="56" spans="1:14" ht="15">
      <c r="A56" s="462" t="s">
        <v>1</v>
      </c>
      <c r="B56" s="463"/>
      <c r="C56" s="14">
        <f>'general-detail'!B12</f>
        <v>103012</v>
      </c>
      <c r="D56" s="14">
        <f>'general-detail'!C12</f>
        <v>97150</v>
      </c>
      <c r="E56" s="14">
        <f>'general-detail'!D12</f>
        <v>170100</v>
      </c>
      <c r="F56" s="400"/>
      <c r="G56" s="400"/>
      <c r="H56" s="400"/>
      <c r="I56" s="400"/>
      <c r="J56" s="400"/>
      <c r="K56" s="400"/>
      <c r="L56" s="400"/>
      <c r="M56" s="400"/>
      <c r="N56" s="400"/>
    </row>
    <row r="57" spans="1:14" ht="15">
      <c r="A57" s="327"/>
      <c r="B57" s="346"/>
      <c r="C57" s="319"/>
      <c r="D57" s="14"/>
      <c r="E57" s="14"/>
      <c r="F57" s="400"/>
      <c r="G57" s="400"/>
      <c r="H57" s="400"/>
      <c r="I57" s="400"/>
      <c r="J57" s="400"/>
      <c r="K57" s="400"/>
      <c r="L57" s="400"/>
      <c r="M57" s="400"/>
      <c r="N57" s="400"/>
    </row>
    <row r="58" spans="1:14" ht="15">
      <c r="A58" s="398" t="s">
        <v>2</v>
      </c>
      <c r="B58" s="346"/>
      <c r="C58" s="319">
        <f>'general-detail'!B18</f>
        <v>160772</v>
      </c>
      <c r="D58" s="14">
        <f>'general-detail'!C18</f>
        <v>164800</v>
      </c>
      <c r="E58" s="14">
        <f>'general-detail'!D18</f>
        <v>171100</v>
      </c>
      <c r="F58" s="400"/>
      <c r="G58" s="400"/>
      <c r="H58" s="400"/>
      <c r="I58" s="400"/>
      <c r="J58" s="400"/>
      <c r="K58" s="400"/>
      <c r="L58" s="400"/>
      <c r="M58" s="400"/>
      <c r="N58" s="400"/>
    </row>
    <row r="59" spans="1:14" ht="15">
      <c r="A59" s="316"/>
      <c r="B59" s="346"/>
      <c r="C59" s="319"/>
      <c r="D59" s="14"/>
      <c r="E59" s="14"/>
      <c r="F59" s="400"/>
      <c r="G59" s="400"/>
      <c r="H59" s="400"/>
      <c r="I59" s="400"/>
      <c r="J59" s="400"/>
      <c r="K59" s="400"/>
      <c r="L59" s="400"/>
      <c r="M59" s="400"/>
      <c r="N59" s="400"/>
    </row>
    <row r="60" spans="1:14" ht="15">
      <c r="A60" s="398" t="s">
        <v>3</v>
      </c>
      <c r="B60" s="346"/>
      <c r="C60" s="319">
        <f>'general-detail'!B24</f>
        <v>17666</v>
      </c>
      <c r="D60" s="14">
        <f>'general-detail'!C24</f>
        <v>20800</v>
      </c>
      <c r="E60" s="14">
        <f>'general-detail'!D24</f>
        <v>22000</v>
      </c>
      <c r="F60" s="400"/>
      <c r="G60" s="400"/>
      <c r="H60" s="400"/>
      <c r="I60" s="400"/>
      <c r="J60" s="400"/>
      <c r="K60" s="400"/>
      <c r="L60" s="400"/>
      <c r="M60" s="400"/>
      <c r="N60" s="400"/>
    </row>
    <row r="61" spans="1:14" ht="15">
      <c r="A61" s="316"/>
      <c r="B61" s="346"/>
      <c r="C61" s="319"/>
      <c r="D61" s="14"/>
      <c r="E61" s="14"/>
      <c r="F61" s="400"/>
      <c r="G61" s="400"/>
      <c r="H61" s="400"/>
      <c r="I61" s="400"/>
      <c r="J61" s="400"/>
      <c r="K61" s="400"/>
      <c r="L61" s="400"/>
      <c r="M61" s="400"/>
      <c r="N61" s="400"/>
    </row>
    <row r="62" spans="1:14" ht="15">
      <c r="A62" s="398" t="s">
        <v>4</v>
      </c>
      <c r="B62" s="346"/>
      <c r="C62" s="319">
        <f>'general-detail'!B30</f>
        <v>116082</v>
      </c>
      <c r="D62" s="14">
        <f>'general-detail'!C30</f>
        <v>121419</v>
      </c>
      <c r="E62" s="14">
        <f>'general-detail'!D30</f>
        <v>125369</v>
      </c>
      <c r="F62" s="400"/>
      <c r="G62" s="400"/>
      <c r="H62" s="400"/>
      <c r="I62" s="400"/>
      <c r="J62" s="400"/>
      <c r="K62" s="400"/>
      <c r="L62" s="400"/>
      <c r="M62" s="400"/>
      <c r="N62" s="400"/>
    </row>
    <row r="63" spans="1:14" ht="15">
      <c r="A63" s="316"/>
      <c r="B63" s="346"/>
      <c r="C63" s="319"/>
      <c r="D63" s="14"/>
      <c r="E63" s="14"/>
      <c r="F63" s="400"/>
      <c r="G63" s="400"/>
      <c r="H63" s="400"/>
      <c r="I63" s="400"/>
      <c r="J63" s="400"/>
      <c r="K63" s="400"/>
      <c r="L63" s="400"/>
      <c r="M63" s="400"/>
      <c r="N63" s="400"/>
    </row>
    <row r="64" spans="1:14" ht="15">
      <c r="A64" s="398" t="s">
        <v>5</v>
      </c>
      <c r="B64" s="346"/>
      <c r="C64" s="319">
        <f>'general-detail'!B36</f>
        <v>0</v>
      </c>
      <c r="D64" s="14">
        <f>'general-detail'!C36</f>
        <v>0</v>
      </c>
      <c r="E64" s="14">
        <f>'general-detail'!D36</f>
        <v>0</v>
      </c>
      <c r="F64" s="400"/>
      <c r="G64" s="400"/>
      <c r="H64" s="400"/>
      <c r="I64" s="400"/>
      <c r="J64" s="400"/>
      <c r="K64" s="400"/>
      <c r="L64" s="400"/>
      <c r="M64" s="400"/>
      <c r="N64" s="400"/>
    </row>
    <row r="65" spans="1:14" ht="15">
      <c r="A65" s="327"/>
      <c r="B65" s="346"/>
      <c r="C65" s="319"/>
      <c r="D65" s="14"/>
      <c r="E65" s="14"/>
      <c r="F65" s="400"/>
      <c r="G65" s="400"/>
      <c r="H65" s="400"/>
      <c r="I65" s="400"/>
      <c r="J65" s="400"/>
      <c r="K65" s="400"/>
      <c r="L65" s="400"/>
      <c r="M65" s="400"/>
      <c r="N65" s="400"/>
    </row>
    <row r="66" spans="1:14" ht="15">
      <c r="A66" s="398" t="s">
        <v>6</v>
      </c>
      <c r="B66" s="346"/>
      <c r="C66" s="319">
        <f>'general-detail'!B43</f>
        <v>99527</v>
      </c>
      <c r="D66" s="14">
        <f>'general-detail'!C43</f>
        <v>112630</v>
      </c>
      <c r="E66" s="14">
        <f>'general-detail'!D43</f>
        <v>125400</v>
      </c>
      <c r="F66" s="400"/>
      <c r="G66" s="400"/>
      <c r="H66" s="400"/>
      <c r="I66" s="400"/>
      <c r="J66" s="400"/>
      <c r="K66" s="400"/>
      <c r="L66" s="400"/>
      <c r="M66" s="400"/>
      <c r="N66" s="400"/>
    </row>
    <row r="67" spans="1:14" ht="15">
      <c r="A67" s="327"/>
      <c r="B67" s="346"/>
      <c r="C67" s="319"/>
      <c r="D67" s="14"/>
      <c r="E67" s="14"/>
      <c r="F67" s="400"/>
      <c r="G67" s="400"/>
      <c r="H67" s="400"/>
      <c r="I67" s="400"/>
      <c r="J67" s="400"/>
      <c r="K67" s="400"/>
      <c r="L67" s="400"/>
      <c r="M67" s="400"/>
      <c r="N67" s="400"/>
    </row>
    <row r="68" spans="1:14" ht="15">
      <c r="A68" s="398" t="s">
        <v>7</v>
      </c>
      <c r="B68" s="346"/>
      <c r="C68" s="319">
        <f>'general-detail'!B49</f>
        <v>4808</v>
      </c>
      <c r="D68" s="14">
        <f>'general-detail'!C49</f>
        <v>5600</v>
      </c>
      <c r="E68" s="14">
        <f>'general-detail'!D49</f>
        <v>5900</v>
      </c>
      <c r="F68" s="400"/>
      <c r="G68" s="400"/>
      <c r="H68" s="400"/>
      <c r="I68" s="400"/>
      <c r="J68" s="400"/>
      <c r="K68" s="400"/>
      <c r="L68" s="400"/>
      <c r="M68" s="400"/>
      <c r="N68" s="400"/>
    </row>
    <row r="69" spans="1:14" ht="15">
      <c r="A69" s="327"/>
      <c r="B69" s="346"/>
      <c r="C69" s="319"/>
      <c r="D69" s="14"/>
      <c r="E69" s="14"/>
      <c r="F69" s="400"/>
      <c r="G69" s="400"/>
      <c r="H69" s="400"/>
      <c r="I69" s="400"/>
      <c r="J69" s="400"/>
      <c r="K69" s="400"/>
      <c r="L69" s="400"/>
      <c r="M69" s="400"/>
      <c r="N69" s="400"/>
    </row>
    <row r="70" spans="1:14" ht="15">
      <c r="A70" s="464" t="s">
        <v>21</v>
      </c>
      <c r="B70" s="465"/>
      <c r="C70" s="319">
        <f>'general-detail'!B50</f>
        <v>12000</v>
      </c>
      <c r="D70" s="14">
        <f>'general-detail'!C50</f>
        <v>12000</v>
      </c>
      <c r="E70" s="14">
        <f>'general-detail'!D50</f>
        <v>12000</v>
      </c>
      <c r="F70" s="400"/>
      <c r="G70" s="400"/>
      <c r="H70" s="400"/>
      <c r="I70" s="400"/>
      <c r="J70" s="400"/>
      <c r="K70" s="400"/>
      <c r="L70" s="400"/>
      <c r="M70" s="400"/>
      <c r="N70" s="400"/>
    </row>
    <row r="71" spans="1:14" ht="15">
      <c r="A71" s="464"/>
      <c r="B71" s="465"/>
      <c r="C71" s="319"/>
      <c r="D71" s="14"/>
      <c r="E71" s="14"/>
      <c r="F71" s="400"/>
      <c r="G71" s="400"/>
      <c r="H71" s="400"/>
      <c r="I71" s="400"/>
      <c r="J71" s="400"/>
      <c r="K71" s="400"/>
      <c r="L71" s="400"/>
      <c r="M71" s="400"/>
      <c r="N71" s="400"/>
    </row>
    <row r="72" spans="1:14" ht="15">
      <c r="A72" s="464" t="s">
        <v>22</v>
      </c>
      <c r="B72" s="465"/>
      <c r="C72" s="319">
        <f>'general-detail'!B51</f>
        <v>29085</v>
      </c>
      <c r="D72" s="14">
        <f>'general-detail'!C51</f>
        <v>31850</v>
      </c>
      <c r="E72" s="14">
        <f>'general-detail'!D51</f>
        <v>34100</v>
      </c>
      <c r="F72" s="400"/>
      <c r="G72" s="400"/>
      <c r="H72" s="400"/>
      <c r="I72" s="400"/>
      <c r="J72" s="400"/>
      <c r="K72" s="400"/>
      <c r="L72" s="400"/>
      <c r="M72" s="400"/>
      <c r="N72" s="400"/>
    </row>
    <row r="73" spans="1:14" ht="15">
      <c r="A73" s="316"/>
      <c r="B73" s="346"/>
      <c r="C73" s="319"/>
      <c r="D73" s="14"/>
      <c r="E73" s="14"/>
      <c r="F73" s="400"/>
      <c r="G73" s="400"/>
      <c r="H73" s="400"/>
      <c r="I73" s="400"/>
      <c r="J73" s="400"/>
      <c r="K73" s="400"/>
      <c r="L73" s="400"/>
      <c r="M73" s="400"/>
      <c r="N73" s="400"/>
    </row>
    <row r="74" spans="1:14" ht="15">
      <c r="A74" s="398" t="s">
        <v>8</v>
      </c>
      <c r="B74" s="346"/>
      <c r="C74" s="319">
        <f>'general-detail'!B61</f>
        <v>58411</v>
      </c>
      <c r="D74" s="14">
        <f>'general-detail'!C61</f>
        <v>74275</v>
      </c>
      <c r="E74" s="14">
        <f>'general-detail'!D61</f>
        <v>75300</v>
      </c>
      <c r="F74" s="400"/>
      <c r="G74" s="400"/>
      <c r="H74" s="400"/>
      <c r="I74" s="400"/>
      <c r="J74" s="400"/>
      <c r="K74" s="400"/>
      <c r="L74" s="400"/>
      <c r="M74" s="400"/>
      <c r="N74" s="400"/>
    </row>
    <row r="75" spans="1:14" ht="15">
      <c r="A75" s="407"/>
      <c r="B75" s="408"/>
      <c r="C75" s="319"/>
      <c r="D75" s="319"/>
      <c r="E75" s="319"/>
      <c r="F75" s="400"/>
      <c r="G75" s="400"/>
      <c r="H75" s="400"/>
      <c r="I75" s="400"/>
      <c r="J75" s="400"/>
      <c r="K75" s="400"/>
      <c r="L75" s="400"/>
      <c r="M75" s="400"/>
      <c r="N75" s="400"/>
    </row>
    <row r="76" spans="1:14" ht="15">
      <c r="A76" s="389"/>
      <c r="B76" s="346"/>
      <c r="C76" s="319"/>
      <c r="D76" s="319"/>
      <c r="E76" s="319"/>
      <c r="F76" s="400"/>
      <c r="G76" s="400"/>
      <c r="H76" s="400"/>
      <c r="I76" s="400"/>
      <c r="J76" s="400"/>
      <c r="K76" s="400"/>
      <c r="L76" s="400"/>
      <c r="M76" s="400"/>
      <c r="N76" s="400"/>
    </row>
    <row r="77" spans="1:14" ht="15">
      <c r="A77" s="316"/>
      <c r="B77" s="346"/>
      <c r="C77" s="319"/>
      <c r="D77" s="319"/>
      <c r="E77" s="319"/>
      <c r="F77" s="400"/>
      <c r="G77" s="400"/>
      <c r="H77" s="400"/>
      <c r="I77" s="400"/>
      <c r="J77" s="400"/>
      <c r="K77" s="400"/>
      <c r="L77" s="400"/>
      <c r="M77" s="400"/>
      <c r="N77" s="400"/>
    </row>
    <row r="78" spans="1:14" ht="15">
      <c r="A78" s="316"/>
      <c r="B78" s="346"/>
      <c r="C78" s="319"/>
      <c r="D78" s="319"/>
      <c r="E78" s="319"/>
      <c r="F78" s="400"/>
      <c r="G78" s="400"/>
      <c r="H78" s="400"/>
      <c r="I78" s="400"/>
      <c r="J78" s="400"/>
      <c r="K78" s="400"/>
      <c r="L78" s="400"/>
      <c r="M78" s="400"/>
      <c r="N78" s="400"/>
    </row>
    <row r="79" spans="1:14" ht="15">
      <c r="A79" s="316"/>
      <c r="B79" s="346"/>
      <c r="C79" s="319"/>
      <c r="D79" s="14"/>
      <c r="E79" s="18"/>
      <c r="F79" s="400"/>
      <c r="G79" s="400"/>
      <c r="H79" s="400"/>
      <c r="I79" s="400"/>
      <c r="J79" s="400"/>
      <c r="K79" s="400"/>
      <c r="L79" s="400"/>
      <c r="M79" s="400"/>
      <c r="N79" s="400"/>
    </row>
    <row r="80" spans="1:14" ht="15">
      <c r="A80" s="334"/>
      <c r="B80" s="332"/>
      <c r="C80" s="319"/>
      <c r="D80" s="14"/>
      <c r="E80" s="388"/>
      <c r="F80" s="400"/>
      <c r="G80" s="400"/>
      <c r="H80" s="400"/>
      <c r="I80" s="400"/>
      <c r="J80" s="400"/>
      <c r="K80" s="400"/>
      <c r="L80" s="400"/>
      <c r="M80" s="400"/>
      <c r="N80" s="400"/>
    </row>
    <row r="81" spans="1:14" ht="15">
      <c r="A81" s="334" t="s">
        <v>397</v>
      </c>
      <c r="B81" s="332"/>
      <c r="C81" s="319"/>
      <c r="D81" s="319"/>
      <c r="E81" s="319"/>
      <c r="F81" s="400"/>
      <c r="G81" s="400"/>
      <c r="H81" s="400"/>
      <c r="I81" s="400"/>
      <c r="J81" s="400"/>
      <c r="K81" s="400"/>
      <c r="L81" s="400"/>
      <c r="M81" s="400"/>
      <c r="N81" s="400"/>
    </row>
    <row r="82" spans="1:14" ht="15">
      <c r="A82" s="334" t="s">
        <v>398</v>
      </c>
      <c r="B82" s="332"/>
      <c r="C82" s="366">
        <f>IF(C83*0.1&lt;C81,"Exceed 10% Rule","")</f>
      </c>
      <c r="D82" s="366">
        <f>IF(D83*0.1&lt;D81,"Exceed 10% Rule","")</f>
      </c>
      <c r="E82" s="366">
        <f>IF(E83*0.1&lt;E81,"Exceed 10% Rule","")</f>
      </c>
      <c r="F82" s="400"/>
      <c r="G82" s="400"/>
      <c r="H82" s="400"/>
      <c r="I82" s="400"/>
      <c r="J82" s="400"/>
      <c r="K82" s="400"/>
      <c r="L82" s="400"/>
      <c r="M82" s="400"/>
      <c r="N82" s="400"/>
    </row>
    <row r="83" spans="1:14" ht="15">
      <c r="A83" s="152" t="s">
        <v>114</v>
      </c>
      <c r="B83" s="345"/>
      <c r="C83" s="322">
        <f>SUM(C55:C81)</f>
        <v>601363</v>
      </c>
      <c r="D83" s="265">
        <f>SUM(D55:D81)</f>
        <v>640524</v>
      </c>
      <c r="E83" s="265">
        <f>SUM(E55:E81)</f>
        <v>741269</v>
      </c>
      <c r="F83" s="400"/>
      <c r="G83" s="400"/>
      <c r="H83" s="400"/>
      <c r="I83" s="400"/>
      <c r="J83" s="400"/>
      <c r="K83" s="400"/>
      <c r="L83" s="400"/>
      <c r="M83" s="400"/>
      <c r="N83" s="400"/>
    </row>
    <row r="84" spans="1:14" ht="15">
      <c r="A84" s="37" t="s">
        <v>235</v>
      </c>
      <c r="B84" s="345"/>
      <c r="C84" s="330">
        <f>C44-C83</f>
        <v>91037</v>
      </c>
      <c r="D84" s="267">
        <f>D44-D83</f>
        <v>95329</v>
      </c>
      <c r="E84" s="45" t="s">
        <v>88</v>
      </c>
      <c r="F84" s="400"/>
      <c r="G84" s="400"/>
      <c r="H84" s="400"/>
      <c r="I84" s="400"/>
      <c r="J84" s="400"/>
      <c r="K84" s="400"/>
      <c r="L84" s="400"/>
      <c r="M84" s="400"/>
      <c r="N84" s="400"/>
    </row>
    <row r="85" spans="1:14" ht="15">
      <c r="A85" s="23" t="str">
        <f>CONCATENATE("",E1-2," Budget Authority Limited Amount:")</f>
        <v>2010 Budget Authority Limited Amount:</v>
      </c>
      <c r="B85" s="353">
        <f>inputOth!B59</f>
        <v>725655</v>
      </c>
      <c r="C85" s="72"/>
      <c r="D85" s="23" t="s">
        <v>115</v>
      </c>
      <c r="E85" s="14"/>
      <c r="F85" s="418"/>
      <c r="G85" s="400"/>
      <c r="H85" s="400"/>
      <c r="I85" s="400"/>
      <c r="J85" s="400"/>
      <c r="K85" s="400"/>
      <c r="L85" s="400"/>
      <c r="M85" s="400"/>
      <c r="N85" s="400"/>
    </row>
    <row r="86" spans="1:14" ht="15">
      <c r="A86" s="23" t="str">
        <f>CONCATENATE("Violation of Budget Law for ",E1-2,":")</f>
        <v>Violation of Budget Law for 2010:</v>
      </c>
      <c r="B86" s="354">
        <f>IF(C83&gt;B85,"Yes","")</f>
      </c>
      <c r="C86" s="72"/>
      <c r="D86" s="23" t="s">
        <v>385</v>
      </c>
      <c r="E86" s="40">
        <f>E83+E85</f>
        <v>741269</v>
      </c>
      <c r="F86" s="400"/>
      <c r="G86" s="400"/>
      <c r="H86" s="400"/>
      <c r="I86" s="400"/>
      <c r="J86" s="400"/>
      <c r="K86" s="400"/>
      <c r="L86" s="400"/>
      <c r="M86" s="400"/>
      <c r="N86" s="400"/>
    </row>
    <row r="87" spans="1:14" ht="15">
      <c r="A87" s="23" t="str">
        <f>CONCATENATE("Possible Cash Violation for ",E1-2,":")</f>
        <v>Possible Cash Violation for 2010:</v>
      </c>
      <c r="B87" s="354">
        <f>IF(C84&lt;0,"Yes","")</f>
      </c>
      <c r="C87" s="21"/>
      <c r="D87" s="24" t="s">
        <v>116</v>
      </c>
      <c r="E87" s="263">
        <f>IF(E86-E44&gt;0,E86-E44,0)</f>
        <v>217667</v>
      </c>
      <c r="F87" s="400"/>
      <c r="G87" s="400"/>
      <c r="H87" s="400"/>
      <c r="I87" s="400"/>
      <c r="J87" s="400"/>
      <c r="K87" s="400"/>
      <c r="L87" s="400"/>
      <c r="M87" s="400"/>
      <c r="N87" s="400"/>
    </row>
    <row r="88" spans="1:14" ht="15">
      <c r="A88" s="460" t="s">
        <v>321</v>
      </c>
      <c r="B88" s="460"/>
      <c r="C88" s="461"/>
      <c r="D88" s="232">
        <f>(inputOth!E46)</f>
        <v>0</v>
      </c>
      <c r="E88" s="40">
        <f>ROUND(IF(D88&gt;0,(E87*D88),0),0)</f>
        <v>0</v>
      </c>
      <c r="F88" s="400"/>
      <c r="G88" s="400"/>
      <c r="H88" s="400"/>
      <c r="I88" s="400"/>
      <c r="J88" s="400"/>
      <c r="K88" s="400"/>
      <c r="L88" s="400"/>
      <c r="M88" s="400"/>
      <c r="N88" s="400"/>
    </row>
    <row r="89" spans="1:14" ht="15">
      <c r="A89" s="21"/>
      <c r="B89" s="21"/>
      <c r="C89" s="458" t="str">
        <f>CONCATENATE("Amount of  ",E1-1," Ad Valorem Tax")</f>
        <v>Amount of  2011 Ad Valorem Tax</v>
      </c>
      <c r="D89" s="459"/>
      <c r="E89" s="263">
        <f>E87+E88</f>
        <v>217667</v>
      </c>
      <c r="F89" s="400"/>
      <c r="G89" s="400"/>
      <c r="H89" s="400"/>
      <c r="I89" s="400"/>
      <c r="J89" s="400"/>
      <c r="K89" s="400"/>
      <c r="L89" s="400"/>
      <c r="M89" s="400"/>
      <c r="N89" s="400"/>
    </row>
    <row r="90" spans="1:5" ht="15">
      <c r="A90" s="21"/>
      <c r="B90" s="21"/>
      <c r="C90" s="21"/>
      <c r="D90" s="21"/>
      <c r="E90" s="21"/>
    </row>
    <row r="91" spans="1:5" ht="15">
      <c r="A91" s="442" t="s">
        <v>254</v>
      </c>
      <c r="B91" s="442"/>
      <c r="C91" s="442"/>
      <c r="D91" s="442"/>
      <c r="E91" s="442"/>
    </row>
    <row r="93" spans="1:2" ht="15">
      <c r="A93"/>
      <c r="B93"/>
    </row>
    <row r="96" spans="1:3" ht="15">
      <c r="A96" s="2"/>
      <c r="B96" s="2"/>
      <c r="C96" s="2"/>
    </row>
  </sheetData>
  <sheetProtection/>
  <mergeCells count="8">
    <mergeCell ref="A46:E46"/>
    <mergeCell ref="A91:E91"/>
    <mergeCell ref="C89:D89"/>
    <mergeCell ref="A88:C88"/>
    <mergeCell ref="A56:B56"/>
    <mergeCell ref="A70:B70"/>
    <mergeCell ref="A71:B71"/>
    <mergeCell ref="A72:B72"/>
  </mergeCells>
  <conditionalFormatting sqref="C81">
    <cfRule type="cellIs" priority="1" dxfId="138" operator="greaterThan" stopIfTrue="1">
      <formula>$C$83*0.1</formula>
    </cfRule>
  </conditionalFormatting>
  <conditionalFormatting sqref="D81">
    <cfRule type="cellIs" priority="2" dxfId="138" operator="greaterThan" stopIfTrue="1">
      <formula>$D$83*0.1</formula>
    </cfRule>
  </conditionalFormatting>
  <conditionalFormatting sqref="E81">
    <cfRule type="cellIs" priority="3" dxfId="138" operator="greaterThan" stopIfTrue="1">
      <formula>$E$83*0.1</formula>
    </cfRule>
  </conditionalFormatting>
  <conditionalFormatting sqref="E85">
    <cfRule type="cellIs" priority="4" dxfId="138" operator="greaterThan" stopIfTrue="1">
      <formula>$E$83/0.95-$E$83</formula>
    </cfRule>
  </conditionalFormatting>
  <conditionalFormatting sqref="C41">
    <cfRule type="cellIs" priority="5" dxfId="138" operator="greaterThan" stopIfTrue="1">
      <formula>$C$43*0.1</formula>
    </cfRule>
  </conditionalFormatting>
  <conditionalFormatting sqref="D41">
    <cfRule type="cellIs" priority="6" dxfId="138" operator="greaterThan" stopIfTrue="1">
      <formula>$D$43*0.1</formula>
    </cfRule>
  </conditionalFormatting>
  <conditionalFormatting sqref="E41">
    <cfRule type="cellIs" priority="7" dxfId="138" operator="greaterThan" stopIfTrue="1">
      <formula>$E$43*0.1</formula>
    </cfRule>
  </conditionalFormatting>
  <printOptions/>
  <pageMargins left="0.5" right="0.5" top="1" bottom="0.5" header="0.5" footer="0.5"/>
  <pageSetup blackAndWhite="1" fitToHeight="2" horizontalDpi="600" verticalDpi="600" orientation="portrait" scale="87" r:id="rId1"/>
  <headerFooter alignWithMargins="0">
    <oddHeader>&amp;RState of Kansas
City</oddHeader>
    <oddFooter>&amp;Lrevised 8/06/07</oddFooter>
  </headerFooter>
  <rowBreaks count="1" manualBreakCount="1">
    <brk id="46" max="4" man="1"/>
  </rowBreaks>
</worksheet>
</file>

<file path=xl/worksheets/sheet11.xml><?xml version="1.0" encoding="utf-8"?>
<worksheet xmlns="http://schemas.openxmlformats.org/spreadsheetml/2006/main" xmlns:r="http://schemas.openxmlformats.org/officeDocument/2006/relationships">
  <sheetPr>
    <pageSetUpPr fitToPage="1"/>
  </sheetPr>
  <dimension ref="A1:M66"/>
  <sheetViews>
    <sheetView tabSelected="1" zoomScalePageLayoutView="0" workbookViewId="0" topLeftCell="A1">
      <selection activeCell="G17" sqref="G17"/>
    </sheetView>
  </sheetViews>
  <sheetFormatPr defaultColWidth="8.8984375" defaultRowHeight="15"/>
  <cols>
    <col min="1" max="1" width="28.296875" style="2" customWidth="1"/>
    <col min="2" max="4" width="15.69921875" style="2" customWidth="1"/>
    <col min="5" max="16384" width="8.8984375" style="2" customWidth="1"/>
  </cols>
  <sheetData>
    <row r="1" spans="1:4" ht="15">
      <c r="A1" s="72" t="str">
        <f>inputPrYr!D2</f>
        <v>CITY OF BLUE RAPIDS</v>
      </c>
      <c r="B1" s="21"/>
      <c r="C1" s="92"/>
      <c r="D1" s="21">
        <f>inputPrYr!C5</f>
        <v>2012</v>
      </c>
    </row>
    <row r="2" spans="1:4" ht="15">
      <c r="A2" s="21"/>
      <c r="B2" s="21"/>
      <c r="C2" s="21"/>
      <c r="D2" s="92"/>
    </row>
    <row r="3" spans="1:4" ht="15">
      <c r="A3" s="90" t="s">
        <v>179</v>
      </c>
      <c r="B3" s="98"/>
      <c r="C3" s="98"/>
      <c r="D3" s="98"/>
    </row>
    <row r="4" spans="1:4" ht="15">
      <c r="A4" s="92" t="s">
        <v>100</v>
      </c>
      <c r="B4" s="93" t="s">
        <v>124</v>
      </c>
      <c r="C4" s="33" t="s">
        <v>262</v>
      </c>
      <c r="D4" s="33" t="s">
        <v>263</v>
      </c>
    </row>
    <row r="5" spans="1:4" ht="15">
      <c r="A5" s="20" t="s">
        <v>119</v>
      </c>
      <c r="B5" s="146">
        <f>D1-2</f>
        <v>2010</v>
      </c>
      <c r="C5" s="146">
        <f>D1-1</f>
        <v>2011</v>
      </c>
      <c r="D5" s="146">
        <f>D1</f>
        <v>2012</v>
      </c>
    </row>
    <row r="6" spans="1:13" ht="15">
      <c r="A6" s="83" t="s">
        <v>110</v>
      </c>
      <c r="B6" s="40"/>
      <c r="C6" s="40"/>
      <c r="D6" s="40"/>
      <c r="E6" s="245"/>
      <c r="F6" s="245"/>
      <c r="G6" s="245"/>
      <c r="H6" s="245"/>
      <c r="I6" s="245"/>
      <c r="J6" s="245"/>
      <c r="K6" s="245"/>
      <c r="L6" s="245"/>
      <c r="M6" s="245"/>
    </row>
    <row r="7" spans="1:13" ht="15">
      <c r="A7" s="382" t="s">
        <v>1</v>
      </c>
      <c r="B7" s="40"/>
      <c r="C7" s="40"/>
      <c r="D7" s="40"/>
      <c r="E7" s="419"/>
      <c r="F7" s="245"/>
      <c r="G7" s="245"/>
      <c r="H7" s="245"/>
      <c r="I7" s="245"/>
      <c r="J7" s="245"/>
      <c r="K7" s="245"/>
      <c r="L7" s="245"/>
      <c r="M7" s="245"/>
    </row>
    <row r="8" spans="1:13" ht="15">
      <c r="A8" s="15" t="s">
        <v>120</v>
      </c>
      <c r="B8" s="14">
        <v>43935</v>
      </c>
      <c r="C8" s="14">
        <v>45250</v>
      </c>
      <c r="D8" s="14">
        <v>46600</v>
      </c>
      <c r="E8" s="420"/>
      <c r="F8" s="245"/>
      <c r="G8" s="245"/>
      <c r="H8" s="245"/>
      <c r="I8" s="245"/>
      <c r="J8" s="245"/>
      <c r="K8" s="245"/>
      <c r="L8" s="245"/>
      <c r="M8" s="245"/>
    </row>
    <row r="9" spans="1:13" ht="15">
      <c r="A9" s="15" t="s">
        <v>111</v>
      </c>
      <c r="B9" s="14">
        <v>28398</v>
      </c>
      <c r="C9" s="14">
        <v>20400</v>
      </c>
      <c r="D9" s="14">
        <v>22000</v>
      </c>
      <c r="E9" s="245"/>
      <c r="F9" s="245"/>
      <c r="G9" s="245"/>
      <c r="H9" s="245"/>
      <c r="I9" s="245"/>
      <c r="J9" s="245"/>
      <c r="K9" s="245"/>
      <c r="L9" s="245"/>
      <c r="M9" s="245"/>
    </row>
    <row r="10" spans="1:13" ht="15">
      <c r="A10" s="15" t="s">
        <v>112</v>
      </c>
      <c r="B10" s="14">
        <v>29637</v>
      </c>
      <c r="C10" s="14">
        <v>30000</v>
      </c>
      <c r="D10" s="14">
        <v>32000</v>
      </c>
      <c r="E10" s="245"/>
      <c r="F10" s="245"/>
      <c r="G10" s="245"/>
      <c r="H10" s="245"/>
      <c r="I10" s="245"/>
      <c r="J10" s="245"/>
      <c r="K10" s="245"/>
      <c r="L10" s="245"/>
      <c r="M10" s="245"/>
    </row>
    <row r="11" spans="1:13" ht="15">
      <c r="A11" s="15" t="s">
        <v>113</v>
      </c>
      <c r="B11" s="14">
        <v>1042</v>
      </c>
      <c r="C11" s="14">
        <v>1500</v>
      </c>
      <c r="D11" s="14">
        <v>69500</v>
      </c>
      <c r="E11" s="421"/>
      <c r="F11" s="421"/>
      <c r="G11" s="421"/>
      <c r="H11" s="421"/>
      <c r="I11" s="421"/>
      <c r="J11" s="421"/>
      <c r="K11" s="421"/>
      <c r="L11" s="245"/>
      <c r="M11" s="245"/>
    </row>
    <row r="12" spans="1:13" ht="15">
      <c r="A12" s="385" t="s">
        <v>71</v>
      </c>
      <c r="B12" s="265">
        <f>SUM(B8:B11)</f>
        <v>103012</v>
      </c>
      <c r="C12" s="265">
        <f>SUM(C8:C11)</f>
        <v>97150</v>
      </c>
      <c r="D12" s="265">
        <f>SUM(D8:D11)</f>
        <v>170100</v>
      </c>
      <c r="E12" s="421"/>
      <c r="F12" s="421"/>
      <c r="G12" s="421"/>
      <c r="H12" s="421"/>
      <c r="I12" s="421"/>
      <c r="J12" s="421"/>
      <c r="K12" s="421"/>
      <c r="L12" s="245"/>
      <c r="M12" s="245"/>
    </row>
    <row r="13" spans="1:13" ht="15">
      <c r="A13" s="380" t="s">
        <v>2</v>
      </c>
      <c r="B13" s="72"/>
      <c r="C13" s="72"/>
      <c r="D13" s="72"/>
      <c r="E13" s="245"/>
      <c r="F13" s="245"/>
      <c r="G13" s="245"/>
      <c r="H13" s="245"/>
      <c r="I13" s="245"/>
      <c r="J13" s="245"/>
      <c r="K13" s="245"/>
      <c r="L13" s="245"/>
      <c r="M13" s="245"/>
    </row>
    <row r="14" spans="1:13" ht="15">
      <c r="A14" s="15" t="s">
        <v>120</v>
      </c>
      <c r="B14" s="14">
        <v>97406</v>
      </c>
      <c r="C14" s="14">
        <v>100350</v>
      </c>
      <c r="D14" s="14">
        <v>103400</v>
      </c>
      <c r="E14" s="245"/>
      <c r="F14" s="245"/>
      <c r="G14" s="245"/>
      <c r="H14" s="245"/>
      <c r="I14" s="245"/>
      <c r="J14" s="245"/>
      <c r="K14" s="245"/>
      <c r="L14" s="245"/>
      <c r="M14" s="245"/>
    </row>
    <row r="15" spans="1:13" ht="15">
      <c r="A15" s="15" t="s">
        <v>111</v>
      </c>
      <c r="B15" s="14">
        <v>2335</v>
      </c>
      <c r="C15" s="14">
        <v>2450</v>
      </c>
      <c r="D15" s="14">
        <v>2700</v>
      </c>
      <c r="E15" s="245"/>
      <c r="F15" s="245"/>
      <c r="G15" s="245"/>
      <c r="H15" s="245"/>
      <c r="I15" s="245"/>
      <c r="J15" s="245"/>
      <c r="K15" s="245"/>
      <c r="L15" s="245"/>
      <c r="M15" s="245"/>
    </row>
    <row r="16" spans="1:13" ht="15">
      <c r="A16" s="15" t="s">
        <v>112</v>
      </c>
      <c r="B16" s="14">
        <v>61031</v>
      </c>
      <c r="C16" s="14">
        <v>62000</v>
      </c>
      <c r="D16" s="14">
        <v>65000</v>
      </c>
      <c r="E16" s="245"/>
      <c r="F16" s="245"/>
      <c r="G16" s="245"/>
      <c r="H16" s="245"/>
      <c r="I16" s="245"/>
      <c r="J16" s="245"/>
      <c r="K16" s="245"/>
      <c r="L16" s="245"/>
      <c r="M16" s="245"/>
    </row>
    <row r="17" spans="1:13" ht="15">
      <c r="A17" s="15" t="s">
        <v>113</v>
      </c>
      <c r="B17" s="14">
        <v>0</v>
      </c>
      <c r="C17" s="14">
        <v>0</v>
      </c>
      <c r="D17" s="14">
        <v>0</v>
      </c>
      <c r="E17" s="245"/>
      <c r="F17" s="245"/>
      <c r="G17" s="245"/>
      <c r="H17" s="245"/>
      <c r="I17" s="245"/>
      <c r="J17" s="245"/>
      <c r="K17" s="245"/>
      <c r="L17" s="245"/>
      <c r="M17" s="245"/>
    </row>
    <row r="18" spans="1:13" ht="15">
      <c r="A18" s="385" t="s">
        <v>71</v>
      </c>
      <c r="B18" s="265">
        <f>SUM(B14:B17)</f>
        <v>160772</v>
      </c>
      <c r="C18" s="265">
        <f>SUM(C14:C17)</f>
        <v>164800</v>
      </c>
      <c r="D18" s="265">
        <f>SUM(D14:D17)</f>
        <v>171100</v>
      </c>
      <c r="E18" s="245"/>
      <c r="F18" s="245"/>
      <c r="G18" s="245"/>
      <c r="H18" s="245"/>
      <c r="I18" s="245"/>
      <c r="J18" s="245"/>
      <c r="K18" s="245"/>
      <c r="L18" s="245"/>
      <c r="M18" s="245"/>
    </row>
    <row r="19" spans="1:13" ht="15">
      <c r="A19" s="380" t="s">
        <v>3</v>
      </c>
      <c r="B19" s="72"/>
      <c r="C19" s="72"/>
      <c r="D19" s="72"/>
      <c r="E19" s="245"/>
      <c r="F19" s="245"/>
      <c r="G19" s="245"/>
      <c r="H19" s="245"/>
      <c r="I19" s="245"/>
      <c r="J19" s="245"/>
      <c r="K19" s="245"/>
      <c r="L19" s="245"/>
      <c r="M19" s="245"/>
    </row>
    <row r="20" spans="1:13" ht="15">
      <c r="A20" s="15" t="s">
        <v>120</v>
      </c>
      <c r="B20" s="14">
        <v>11564</v>
      </c>
      <c r="C20" s="14">
        <v>12000</v>
      </c>
      <c r="D20" s="14">
        <v>12400</v>
      </c>
      <c r="E20" s="245"/>
      <c r="F20" s="245"/>
      <c r="G20" s="245"/>
      <c r="H20" s="245"/>
      <c r="I20" s="245"/>
      <c r="J20" s="245"/>
      <c r="K20" s="245"/>
      <c r="L20" s="245"/>
      <c r="M20" s="245"/>
    </row>
    <row r="21" spans="1:13" ht="15">
      <c r="A21" s="15" t="s">
        <v>111</v>
      </c>
      <c r="B21" s="14">
        <v>2000</v>
      </c>
      <c r="C21" s="14">
        <v>3100</v>
      </c>
      <c r="D21" s="14">
        <v>3500</v>
      </c>
      <c r="E21" s="245"/>
      <c r="F21" s="245"/>
      <c r="G21" s="245"/>
      <c r="H21" s="245"/>
      <c r="I21" s="245"/>
      <c r="J21" s="245"/>
      <c r="K21" s="245"/>
      <c r="L21" s="245"/>
      <c r="M21" s="245"/>
    </row>
    <row r="22" spans="1:13" ht="15">
      <c r="A22" s="15" t="s">
        <v>112</v>
      </c>
      <c r="B22" s="14">
        <v>4102</v>
      </c>
      <c r="C22" s="14">
        <v>5700</v>
      </c>
      <c r="D22" s="14">
        <v>6100</v>
      </c>
      <c r="E22" s="245"/>
      <c r="F22" s="245"/>
      <c r="G22" s="245"/>
      <c r="H22" s="245"/>
      <c r="I22" s="245"/>
      <c r="J22" s="245"/>
      <c r="K22" s="245"/>
      <c r="L22" s="245"/>
      <c r="M22" s="245"/>
    </row>
    <row r="23" spans="1:13" ht="15">
      <c r="A23" s="15" t="s">
        <v>113</v>
      </c>
      <c r="B23" s="14">
        <v>0</v>
      </c>
      <c r="C23" s="14">
        <v>0</v>
      </c>
      <c r="D23" s="14">
        <v>0</v>
      </c>
      <c r="E23" s="245"/>
      <c r="F23" s="245"/>
      <c r="G23" s="245"/>
      <c r="H23" s="245"/>
      <c r="I23" s="245"/>
      <c r="J23" s="245"/>
      <c r="K23" s="245"/>
      <c r="L23" s="245"/>
      <c r="M23" s="245"/>
    </row>
    <row r="24" spans="1:13" ht="15">
      <c r="A24" s="385" t="s">
        <v>71</v>
      </c>
      <c r="B24" s="265">
        <f>SUM(B20:B23)</f>
        <v>17666</v>
      </c>
      <c r="C24" s="265">
        <f>SUM(C20:C23)</f>
        <v>20800</v>
      </c>
      <c r="D24" s="265">
        <f>SUM(D20:D23)</f>
        <v>22000</v>
      </c>
      <c r="E24" s="245"/>
      <c r="F24" s="245"/>
      <c r="G24" s="245"/>
      <c r="H24" s="245"/>
      <c r="I24" s="245"/>
      <c r="J24" s="245"/>
      <c r="K24" s="245"/>
      <c r="L24" s="245"/>
      <c r="M24" s="245"/>
    </row>
    <row r="25" spans="1:13" ht="15">
      <c r="A25" s="380" t="s">
        <v>4</v>
      </c>
      <c r="B25" s="72"/>
      <c r="C25" s="72"/>
      <c r="D25" s="72"/>
      <c r="E25" s="245"/>
      <c r="F25" s="245"/>
      <c r="G25" s="245"/>
      <c r="H25" s="245"/>
      <c r="I25" s="245"/>
      <c r="J25" s="245"/>
      <c r="K25" s="245"/>
      <c r="L25" s="245"/>
      <c r="M25" s="245"/>
    </row>
    <row r="26" spans="1:13" ht="15">
      <c r="A26" s="15" t="s">
        <v>120</v>
      </c>
      <c r="B26" s="14">
        <v>75508</v>
      </c>
      <c r="C26" s="14">
        <v>77800</v>
      </c>
      <c r="D26" s="14">
        <v>80150</v>
      </c>
      <c r="E26" s="245"/>
      <c r="F26" s="245"/>
      <c r="G26" s="245"/>
      <c r="H26" s="245"/>
      <c r="I26" s="245"/>
      <c r="J26" s="245"/>
      <c r="K26" s="245"/>
      <c r="L26" s="245"/>
      <c r="M26" s="245"/>
    </row>
    <row r="27" spans="1:13" ht="15">
      <c r="A27" s="15" t="s">
        <v>111</v>
      </c>
      <c r="B27" s="14">
        <v>15335</v>
      </c>
      <c r="C27" s="14">
        <v>16400</v>
      </c>
      <c r="D27" s="14">
        <v>17000</v>
      </c>
      <c r="E27" s="245"/>
      <c r="F27" s="245"/>
      <c r="G27" s="245"/>
      <c r="H27" s="245"/>
      <c r="I27" s="245"/>
      <c r="J27" s="245"/>
      <c r="K27" s="245"/>
      <c r="L27" s="245"/>
      <c r="M27" s="245"/>
    </row>
    <row r="28" spans="1:13" ht="15">
      <c r="A28" s="15" t="s">
        <v>112</v>
      </c>
      <c r="B28" s="14">
        <v>20020</v>
      </c>
      <c r="C28" s="14">
        <v>22000</v>
      </c>
      <c r="D28" s="14">
        <v>23000</v>
      </c>
      <c r="E28" s="245"/>
      <c r="F28" s="245"/>
      <c r="G28" s="245"/>
      <c r="H28" s="245"/>
      <c r="I28" s="245"/>
      <c r="J28" s="245"/>
      <c r="K28" s="245"/>
      <c r="L28" s="245"/>
      <c r="M28" s="245"/>
    </row>
    <row r="29" spans="1:13" ht="15">
      <c r="A29" s="15" t="s">
        <v>113</v>
      </c>
      <c r="B29" s="14">
        <v>5219</v>
      </c>
      <c r="C29" s="14">
        <v>5219</v>
      </c>
      <c r="D29" s="14">
        <v>5219</v>
      </c>
      <c r="E29" s="245"/>
      <c r="F29" s="245"/>
      <c r="G29" s="245"/>
      <c r="H29" s="245"/>
      <c r="I29" s="245"/>
      <c r="J29" s="245"/>
      <c r="K29" s="245"/>
      <c r="L29" s="245"/>
      <c r="M29" s="245"/>
    </row>
    <row r="30" spans="1:13" ht="15">
      <c r="A30" s="385" t="s">
        <v>71</v>
      </c>
      <c r="B30" s="265">
        <f>SUM(B26:B29)</f>
        <v>116082</v>
      </c>
      <c r="C30" s="265">
        <f>SUM(C26:C29)</f>
        <v>121419</v>
      </c>
      <c r="D30" s="265">
        <f>SUM(D26:D29)</f>
        <v>125369</v>
      </c>
      <c r="E30" s="245"/>
      <c r="F30" s="245"/>
      <c r="G30" s="245"/>
      <c r="H30" s="245"/>
      <c r="I30" s="245"/>
      <c r="J30" s="245"/>
      <c r="K30" s="245"/>
      <c r="L30" s="245"/>
      <c r="M30" s="245"/>
    </row>
    <row r="31" spans="1:13" ht="15">
      <c r="A31" s="380" t="s">
        <v>5</v>
      </c>
      <c r="B31" s="72"/>
      <c r="C31" s="72"/>
      <c r="D31" s="72"/>
      <c r="E31" s="245"/>
      <c r="F31" s="245"/>
      <c r="G31" s="245"/>
      <c r="H31" s="245"/>
      <c r="I31" s="245"/>
      <c r="J31" s="245"/>
      <c r="K31" s="245"/>
      <c r="L31" s="245"/>
      <c r="M31" s="245"/>
    </row>
    <row r="32" spans="1:13" ht="15">
      <c r="A32" s="15" t="s">
        <v>120</v>
      </c>
      <c r="B32" s="14">
        <v>0</v>
      </c>
      <c r="C32" s="14">
        <v>0</v>
      </c>
      <c r="D32" s="14">
        <v>0</v>
      </c>
      <c r="E32" s="245"/>
      <c r="F32" s="245"/>
      <c r="G32" s="245"/>
      <c r="H32" s="245"/>
      <c r="I32" s="245"/>
      <c r="J32" s="245"/>
      <c r="K32" s="245"/>
      <c r="L32" s="245"/>
      <c r="M32" s="245"/>
    </row>
    <row r="33" spans="1:13" ht="15">
      <c r="A33" s="15" t="s">
        <v>111</v>
      </c>
      <c r="B33" s="14">
        <v>0</v>
      </c>
      <c r="C33" s="14">
        <v>0</v>
      </c>
      <c r="D33" s="14">
        <v>0</v>
      </c>
      <c r="E33" s="245"/>
      <c r="F33" s="245"/>
      <c r="G33" s="245"/>
      <c r="H33" s="245"/>
      <c r="I33" s="245"/>
      <c r="J33" s="245"/>
      <c r="K33" s="245"/>
      <c r="L33" s="245"/>
      <c r="M33" s="245"/>
    </row>
    <row r="34" spans="1:13" ht="15">
      <c r="A34" s="15" t="s">
        <v>112</v>
      </c>
      <c r="B34" s="14">
        <v>0</v>
      </c>
      <c r="C34" s="14">
        <v>0</v>
      </c>
      <c r="D34" s="14">
        <v>0</v>
      </c>
      <c r="E34" s="245"/>
      <c r="F34" s="245"/>
      <c r="G34" s="245"/>
      <c r="H34" s="245"/>
      <c r="I34" s="245"/>
      <c r="J34" s="245"/>
      <c r="K34" s="245"/>
      <c r="L34" s="245"/>
      <c r="M34" s="245"/>
    </row>
    <row r="35" spans="1:13" ht="15">
      <c r="A35" s="15" t="s">
        <v>113</v>
      </c>
      <c r="B35" s="14">
        <v>0</v>
      </c>
      <c r="C35" s="14">
        <v>0</v>
      </c>
      <c r="D35" s="14">
        <v>0</v>
      </c>
      <c r="E35" s="245"/>
      <c r="F35" s="245"/>
      <c r="G35" s="245"/>
      <c r="H35" s="245"/>
      <c r="I35" s="245"/>
      <c r="J35" s="245"/>
      <c r="K35" s="245"/>
      <c r="L35" s="245"/>
      <c r="M35" s="245"/>
    </row>
    <row r="36" spans="1:13" ht="15">
      <c r="A36" s="385" t="s">
        <v>71</v>
      </c>
      <c r="B36" s="265">
        <f>SUM(B32:B35)</f>
        <v>0</v>
      </c>
      <c r="C36" s="265">
        <f>SUM(C32:C35)</f>
        <v>0</v>
      </c>
      <c r="D36" s="265">
        <f>SUM(D32:D35)</f>
        <v>0</v>
      </c>
      <c r="E36" s="245"/>
      <c r="F36" s="245"/>
      <c r="G36" s="245"/>
      <c r="H36" s="245"/>
      <c r="I36" s="245"/>
      <c r="J36" s="245"/>
      <c r="K36" s="245"/>
      <c r="L36" s="245"/>
      <c r="M36" s="245"/>
    </row>
    <row r="37" spans="1:13" ht="15">
      <c r="A37" s="380" t="s">
        <v>6</v>
      </c>
      <c r="B37" s="72"/>
      <c r="C37" s="72"/>
      <c r="D37" s="72"/>
      <c r="E37" s="245"/>
      <c r="F37" s="245"/>
      <c r="G37" s="245"/>
      <c r="H37" s="245"/>
      <c r="I37" s="245"/>
      <c r="J37" s="245"/>
      <c r="K37" s="245"/>
      <c r="L37" s="245"/>
      <c r="M37" s="245"/>
    </row>
    <row r="38" spans="1:13" ht="15">
      <c r="A38" s="15" t="s">
        <v>16</v>
      </c>
      <c r="B38" s="14">
        <v>10343</v>
      </c>
      <c r="C38" s="14">
        <v>10500</v>
      </c>
      <c r="D38" s="14">
        <v>10900</v>
      </c>
      <c r="E38" s="245"/>
      <c r="F38" s="245"/>
      <c r="G38" s="245"/>
      <c r="H38" s="245"/>
      <c r="I38" s="245"/>
      <c r="J38" s="245"/>
      <c r="K38" s="245"/>
      <c r="L38" s="245"/>
      <c r="M38" s="245"/>
    </row>
    <row r="39" spans="1:13" ht="15">
      <c r="A39" s="15" t="s">
        <v>17</v>
      </c>
      <c r="B39" s="14">
        <v>61277</v>
      </c>
      <c r="C39" s="14">
        <v>73000</v>
      </c>
      <c r="D39" s="14">
        <v>83950</v>
      </c>
      <c r="E39" s="245"/>
      <c r="F39" s="245"/>
      <c r="G39" s="245"/>
      <c r="H39" s="245"/>
      <c r="I39" s="245"/>
      <c r="J39" s="245"/>
      <c r="K39" s="245"/>
      <c r="L39" s="245"/>
      <c r="M39" s="245"/>
    </row>
    <row r="40" spans="1:13" ht="15">
      <c r="A40" s="15" t="s">
        <v>20</v>
      </c>
      <c r="B40" s="14">
        <v>606</v>
      </c>
      <c r="C40" s="14">
        <v>630</v>
      </c>
      <c r="D40" s="14">
        <v>650</v>
      </c>
      <c r="E40" s="245"/>
      <c r="F40" s="245"/>
      <c r="G40" s="245"/>
      <c r="H40" s="245"/>
      <c r="I40" s="245"/>
      <c r="J40" s="245"/>
      <c r="K40" s="245"/>
      <c r="L40" s="245"/>
      <c r="M40" s="245"/>
    </row>
    <row r="41" spans="1:13" ht="15">
      <c r="A41" s="15" t="s">
        <v>18</v>
      </c>
      <c r="B41" s="14">
        <v>10387</v>
      </c>
      <c r="C41" s="14">
        <v>10700</v>
      </c>
      <c r="D41" s="14">
        <v>11000</v>
      </c>
      <c r="E41" s="245"/>
      <c r="F41" s="245"/>
      <c r="G41" s="245"/>
      <c r="H41" s="245"/>
      <c r="I41" s="245"/>
      <c r="J41" s="245"/>
      <c r="K41" s="245"/>
      <c r="L41" s="245"/>
      <c r="M41" s="245"/>
    </row>
    <row r="42" spans="1:13" ht="15">
      <c r="A42" s="15" t="s">
        <v>19</v>
      </c>
      <c r="B42" s="14">
        <v>16914</v>
      </c>
      <c r="C42" s="14">
        <v>17800</v>
      </c>
      <c r="D42" s="14">
        <v>18900</v>
      </c>
      <c r="E42" s="245"/>
      <c r="F42" s="245"/>
      <c r="G42" s="245"/>
      <c r="H42" s="245"/>
      <c r="I42" s="245"/>
      <c r="J42" s="245"/>
      <c r="K42" s="245"/>
      <c r="L42" s="245"/>
      <c r="M42" s="245"/>
    </row>
    <row r="43" spans="1:13" ht="15">
      <c r="A43" s="385" t="s">
        <v>71</v>
      </c>
      <c r="B43" s="265">
        <f>SUM(B38:B42)</f>
        <v>99527</v>
      </c>
      <c r="C43" s="265">
        <f>SUM(C38:C42)</f>
        <v>112630</v>
      </c>
      <c r="D43" s="265">
        <f>SUM(D38:D42)</f>
        <v>125400</v>
      </c>
      <c r="E43" s="245"/>
      <c r="F43" s="245"/>
      <c r="G43" s="245"/>
      <c r="H43" s="245"/>
      <c r="I43" s="245"/>
      <c r="J43" s="245"/>
      <c r="K43" s="245"/>
      <c r="L43" s="245"/>
      <c r="M43" s="245"/>
    </row>
    <row r="44" spans="1:13" ht="15">
      <c r="A44" s="380" t="s">
        <v>7</v>
      </c>
      <c r="B44" s="72"/>
      <c r="C44" s="72"/>
      <c r="D44" s="72"/>
      <c r="E44" s="245"/>
      <c r="F44" s="245"/>
      <c r="G44" s="245"/>
      <c r="H44" s="245"/>
      <c r="I44" s="245"/>
      <c r="J44" s="245"/>
      <c r="K44" s="245"/>
      <c r="L44" s="245"/>
      <c r="M44" s="245"/>
    </row>
    <row r="45" spans="1:13" ht="15">
      <c r="A45" s="15" t="s">
        <v>120</v>
      </c>
      <c r="B45" s="14">
        <v>0</v>
      </c>
      <c r="C45" s="14">
        <v>0</v>
      </c>
      <c r="D45" s="14">
        <v>0</v>
      </c>
      <c r="E45" s="245"/>
      <c r="F45" s="245"/>
      <c r="G45" s="245"/>
      <c r="H45" s="245"/>
      <c r="I45" s="245"/>
      <c r="J45" s="245"/>
      <c r="K45" s="245"/>
      <c r="L45" s="245"/>
      <c r="M45" s="245"/>
    </row>
    <row r="46" spans="1:13" ht="15">
      <c r="A46" s="15" t="s">
        <v>111</v>
      </c>
      <c r="B46" s="14">
        <v>4800</v>
      </c>
      <c r="C46" s="14">
        <v>5500</v>
      </c>
      <c r="D46" s="14">
        <v>5700</v>
      </c>
      <c r="E46" s="245"/>
      <c r="F46" s="245"/>
      <c r="G46" s="245"/>
      <c r="H46" s="245"/>
      <c r="I46" s="245"/>
      <c r="J46" s="245"/>
      <c r="K46" s="245"/>
      <c r="L46" s="245"/>
      <c r="M46" s="245"/>
    </row>
    <row r="47" spans="1:13" ht="15">
      <c r="A47" s="15" t="s">
        <v>112</v>
      </c>
      <c r="B47" s="14">
        <v>8</v>
      </c>
      <c r="C47" s="14">
        <v>100</v>
      </c>
      <c r="D47" s="14">
        <v>200</v>
      </c>
      <c r="E47" s="245"/>
      <c r="F47" s="245"/>
      <c r="G47" s="245"/>
      <c r="H47" s="245"/>
      <c r="I47" s="245"/>
      <c r="J47" s="245"/>
      <c r="K47" s="245"/>
      <c r="L47" s="245"/>
      <c r="M47" s="245"/>
    </row>
    <row r="48" spans="1:13" ht="15">
      <c r="A48" s="15" t="s">
        <v>113</v>
      </c>
      <c r="B48" s="14">
        <v>0</v>
      </c>
      <c r="C48" s="14">
        <v>0</v>
      </c>
      <c r="D48" s="14">
        <v>0</v>
      </c>
      <c r="E48" s="245"/>
      <c r="F48" s="245"/>
      <c r="G48" s="245"/>
      <c r="H48" s="245"/>
      <c r="I48" s="245"/>
      <c r="J48" s="245"/>
      <c r="K48" s="245"/>
      <c r="L48" s="245"/>
      <c r="M48" s="245"/>
    </row>
    <row r="49" spans="1:13" ht="15">
      <c r="A49" s="386" t="s">
        <v>71</v>
      </c>
      <c r="B49" s="410">
        <f>SUM(B45:B48)</f>
        <v>4808</v>
      </c>
      <c r="C49" s="410">
        <f>SUM(C45:C48)</f>
        <v>5600</v>
      </c>
      <c r="D49" s="410">
        <f>SUM(D45:D48)</f>
        <v>5900</v>
      </c>
      <c r="E49" s="245"/>
      <c r="F49" s="245"/>
      <c r="G49" s="245"/>
      <c r="H49" s="245"/>
      <c r="I49" s="245"/>
      <c r="J49" s="245"/>
      <c r="K49" s="245"/>
      <c r="L49" s="245"/>
      <c r="M49" s="245"/>
    </row>
    <row r="50" spans="1:13" ht="15">
      <c r="A50" s="381" t="s">
        <v>21</v>
      </c>
      <c r="B50" s="383">
        <v>12000</v>
      </c>
      <c r="C50" s="383">
        <v>12000</v>
      </c>
      <c r="D50" s="383">
        <v>12000</v>
      </c>
      <c r="E50" s="245"/>
      <c r="F50" s="245"/>
      <c r="G50" s="245"/>
      <c r="H50" s="245"/>
      <c r="I50" s="245"/>
      <c r="J50" s="245"/>
      <c r="K50" s="245"/>
      <c r="L50" s="245"/>
      <c r="M50" s="245"/>
    </row>
    <row r="51" spans="1:13" ht="15">
      <c r="A51" s="381" t="s">
        <v>22</v>
      </c>
      <c r="B51" s="383">
        <v>29085</v>
      </c>
      <c r="C51" s="383">
        <v>31850</v>
      </c>
      <c r="D51" s="383">
        <v>34100</v>
      </c>
      <c r="E51" s="245"/>
      <c r="F51" s="245"/>
      <c r="G51" s="245"/>
      <c r="H51" s="245"/>
      <c r="I51" s="245"/>
      <c r="J51" s="245"/>
      <c r="K51" s="245"/>
      <c r="L51" s="245"/>
      <c r="M51" s="245"/>
    </row>
    <row r="52" spans="1:13" ht="15">
      <c r="A52" s="380" t="s">
        <v>8</v>
      </c>
      <c r="B52" s="72"/>
      <c r="C52" s="72"/>
      <c r="D52" s="72"/>
      <c r="E52" s="245"/>
      <c r="F52" s="245"/>
      <c r="G52" s="245"/>
      <c r="H52" s="245"/>
      <c r="I52" s="245"/>
      <c r="J52" s="245"/>
      <c r="K52" s="245"/>
      <c r="L52" s="245"/>
      <c r="M52" s="245"/>
    </row>
    <row r="53" spans="1:13" ht="15">
      <c r="A53" s="15" t="s">
        <v>9</v>
      </c>
      <c r="B53" s="14">
        <v>0</v>
      </c>
      <c r="C53" s="14">
        <v>0</v>
      </c>
      <c r="D53" s="14">
        <v>0</v>
      </c>
      <c r="E53" s="245"/>
      <c r="F53" s="245"/>
      <c r="G53" s="245"/>
      <c r="H53" s="245"/>
      <c r="I53" s="245"/>
      <c r="J53" s="245"/>
      <c r="K53" s="245"/>
      <c r="L53" s="245"/>
      <c r="M53" s="245"/>
    </row>
    <row r="54" spans="1:13" ht="15">
      <c r="A54" s="15" t="s">
        <v>10</v>
      </c>
      <c r="B54" s="14">
        <v>0</v>
      </c>
      <c r="C54" s="14">
        <v>0</v>
      </c>
      <c r="D54" s="14">
        <v>0</v>
      </c>
      <c r="E54" s="245"/>
      <c r="F54" s="245"/>
      <c r="G54" s="245"/>
      <c r="H54" s="245"/>
      <c r="I54" s="245"/>
      <c r="J54" s="245"/>
      <c r="K54" s="245"/>
      <c r="L54" s="245"/>
      <c r="M54" s="245"/>
    </row>
    <row r="55" spans="1:13" ht="15">
      <c r="A55" s="15" t="s">
        <v>11</v>
      </c>
      <c r="B55" s="14">
        <v>0</v>
      </c>
      <c r="C55" s="14">
        <v>0</v>
      </c>
      <c r="D55" s="14">
        <v>0</v>
      </c>
      <c r="E55" s="245"/>
      <c r="F55" s="245"/>
      <c r="G55" s="245"/>
      <c r="H55" s="245"/>
      <c r="I55" s="245"/>
      <c r="J55" s="245"/>
      <c r="K55" s="245"/>
      <c r="L55" s="245"/>
      <c r="M55" s="245"/>
    </row>
    <row r="56" spans="1:13" ht="15">
      <c r="A56" s="15" t="s">
        <v>12</v>
      </c>
      <c r="B56" s="14">
        <v>0</v>
      </c>
      <c r="C56" s="14">
        <v>0</v>
      </c>
      <c r="D56" s="14">
        <v>0</v>
      </c>
      <c r="E56" s="245"/>
      <c r="F56" s="245"/>
      <c r="G56" s="245"/>
      <c r="H56" s="245"/>
      <c r="I56" s="245"/>
      <c r="J56" s="245"/>
      <c r="K56" s="245"/>
      <c r="L56" s="245"/>
      <c r="M56" s="245"/>
    </row>
    <row r="57" spans="1:13" ht="15">
      <c r="A57" s="15" t="s">
        <v>13</v>
      </c>
      <c r="B57" s="14">
        <v>0</v>
      </c>
      <c r="C57" s="14">
        <v>15000</v>
      </c>
      <c r="D57" s="14">
        <v>15000</v>
      </c>
      <c r="E57" s="421"/>
      <c r="F57" s="421"/>
      <c r="G57" s="421"/>
      <c r="H57" s="421"/>
      <c r="I57" s="421"/>
      <c r="J57" s="421"/>
      <c r="K57" s="421"/>
      <c r="L57" s="421"/>
      <c r="M57" s="245"/>
    </row>
    <row r="58" spans="1:13" ht="15">
      <c r="A58" s="15" t="s">
        <v>14</v>
      </c>
      <c r="B58" s="14">
        <v>0</v>
      </c>
      <c r="C58" s="14">
        <v>0</v>
      </c>
      <c r="D58" s="14">
        <v>0</v>
      </c>
      <c r="E58" s="421"/>
      <c r="F58" s="421"/>
      <c r="G58" s="421"/>
      <c r="H58" s="421"/>
      <c r="I58" s="421"/>
      <c r="J58" s="421"/>
      <c r="K58" s="421"/>
      <c r="L58" s="421"/>
      <c r="M58" s="245"/>
    </row>
    <row r="59" spans="1:13" ht="15">
      <c r="A59" s="15" t="s">
        <v>51</v>
      </c>
      <c r="B59" s="14">
        <v>45263</v>
      </c>
      <c r="C59" s="14">
        <v>45275</v>
      </c>
      <c r="D59" s="14">
        <v>45300</v>
      </c>
      <c r="E59" s="245"/>
      <c r="F59" s="245"/>
      <c r="G59" s="245"/>
      <c r="H59" s="245"/>
      <c r="I59" s="245"/>
      <c r="J59" s="245"/>
      <c r="K59" s="245"/>
      <c r="L59" s="245"/>
      <c r="M59" s="245"/>
    </row>
    <row r="60" spans="1:13" ht="15">
      <c r="A60" s="15" t="s">
        <v>15</v>
      </c>
      <c r="B60" s="14">
        <v>13148</v>
      </c>
      <c r="C60" s="14">
        <v>14000</v>
      </c>
      <c r="D60" s="14">
        <v>15000</v>
      </c>
      <c r="E60" s="245"/>
      <c r="F60" s="245"/>
      <c r="G60" s="245"/>
      <c r="H60" s="245"/>
      <c r="I60" s="245"/>
      <c r="J60" s="245"/>
      <c r="K60" s="245"/>
      <c r="L60" s="245"/>
      <c r="M60" s="245"/>
    </row>
    <row r="61" spans="1:13" ht="15">
      <c r="A61" s="385" t="s">
        <v>71</v>
      </c>
      <c r="B61" s="265">
        <f>SUM(B53:B60)</f>
        <v>58411</v>
      </c>
      <c r="C61" s="265">
        <f>SUM(C53:C60)</f>
        <v>74275</v>
      </c>
      <c r="D61" s="265">
        <f>SUM(D53:D60)</f>
        <v>75300</v>
      </c>
      <c r="E61" s="245"/>
      <c r="F61" s="245"/>
      <c r="G61" s="245"/>
      <c r="H61" s="245"/>
      <c r="I61" s="245"/>
      <c r="J61" s="245"/>
      <c r="K61" s="245"/>
      <c r="L61" s="245"/>
      <c r="M61" s="245"/>
    </row>
    <row r="62" spans="1:13" ht="15">
      <c r="A62" s="21"/>
      <c r="B62" s="72"/>
      <c r="C62" s="72"/>
      <c r="D62" s="72"/>
      <c r="E62" s="245"/>
      <c r="F62" s="245"/>
      <c r="G62" s="245"/>
      <c r="H62" s="245"/>
      <c r="I62" s="245"/>
      <c r="J62" s="245"/>
      <c r="K62" s="245"/>
      <c r="L62" s="245"/>
      <c r="M62" s="245"/>
    </row>
    <row r="63" spans="1:13" ht="15.75" thickBot="1">
      <c r="A63" s="83" t="s">
        <v>121</v>
      </c>
      <c r="B63" s="266">
        <f>B12+B18+B24+B30+B36+B43+B49+B50+B51+B61</f>
        <v>601363</v>
      </c>
      <c r="C63" s="266">
        <f>C12+C18+C24+C30+C36+C43+C49+C50+C51+C61</f>
        <v>640524</v>
      </c>
      <c r="D63" s="266">
        <f>D12+D18+D24+D30+D36+D43+D49+D50+D51+D61</f>
        <v>741269</v>
      </c>
      <c r="E63" s="245"/>
      <c r="F63" s="245"/>
      <c r="G63" s="245"/>
      <c r="H63" s="245"/>
      <c r="I63" s="245"/>
      <c r="J63" s="245"/>
      <c r="K63" s="245"/>
      <c r="L63" s="245"/>
      <c r="M63" s="245"/>
    </row>
    <row r="64" spans="1:13" ht="15.75" thickTop="1">
      <c r="A64" s="21"/>
      <c r="B64" s="72"/>
      <c r="C64" s="72"/>
      <c r="D64" s="72"/>
      <c r="E64" s="245"/>
      <c r="F64" s="245"/>
      <c r="G64" s="245"/>
      <c r="H64" s="245"/>
      <c r="I64" s="245"/>
      <c r="J64" s="245"/>
      <c r="K64" s="245"/>
      <c r="L64" s="245"/>
      <c r="M64" s="245"/>
    </row>
    <row r="65" spans="1:13" ht="15">
      <c r="A65" s="21"/>
      <c r="B65" s="99" t="s">
        <v>522</v>
      </c>
      <c r="C65" s="72"/>
      <c r="D65" s="72"/>
      <c r="E65" s="245"/>
      <c r="F65" s="245"/>
      <c r="G65" s="245"/>
      <c r="H65" s="245"/>
      <c r="I65" s="245"/>
      <c r="J65" s="245"/>
      <c r="K65" s="245"/>
      <c r="L65" s="245"/>
      <c r="M65" s="245"/>
    </row>
    <row r="66" spans="5:13" ht="15">
      <c r="E66" s="245"/>
      <c r="F66" s="245"/>
      <c r="G66" s="245"/>
      <c r="H66" s="245"/>
      <c r="I66" s="245"/>
      <c r="J66" s="245"/>
      <c r="K66" s="245"/>
      <c r="L66" s="245"/>
      <c r="M66" s="245"/>
    </row>
  </sheetData>
  <sheetProtection/>
  <printOptions/>
  <pageMargins left="0.5" right="0.5" top="1" bottom="0.5" header="0.5" footer="0.5"/>
  <pageSetup blackAndWhite="1" fitToHeight="1" fitToWidth="1" horizontalDpi="300" verticalDpi="300" orientation="portrait" scale="65" r:id="rId1"/>
  <headerFooter alignWithMargins="0">
    <oddHeader>&amp;RState of Kansas
City</oddHeader>
    <oddFooter>&amp;Lrevised 8/06/07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1">
      <selection activeCell="G20" sqref="G20"/>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177</v>
      </c>
      <c r="B3" s="90"/>
      <c r="C3" s="94"/>
      <c r="D3" s="94"/>
      <c r="E3" s="95"/>
    </row>
    <row r="4" spans="1:5" ht="15">
      <c r="A4" s="21"/>
      <c r="B4" s="21"/>
      <c r="C4" s="96"/>
      <c r="D4" s="96"/>
      <c r="E4" s="96"/>
    </row>
    <row r="5" spans="1:5" ht="15">
      <c r="A5" s="25" t="s">
        <v>100</v>
      </c>
      <c r="B5" s="25"/>
      <c r="C5" s="93" t="s">
        <v>124</v>
      </c>
      <c r="D5" s="33" t="s">
        <v>262</v>
      </c>
      <c r="E5" s="33" t="s">
        <v>263</v>
      </c>
    </row>
    <row r="6" spans="1:14" ht="15">
      <c r="A6" s="137" t="str">
        <f>inputPrYr!B19</f>
        <v>Library</v>
      </c>
      <c r="B6" s="137"/>
      <c r="C6" s="146">
        <f>E1-2</f>
        <v>2010</v>
      </c>
      <c r="D6" s="146">
        <f>E1-1</f>
        <v>2011</v>
      </c>
      <c r="E6" s="146">
        <f>E1</f>
        <v>2012</v>
      </c>
      <c r="F6" s="400"/>
      <c r="G6" s="400"/>
      <c r="H6" s="400"/>
      <c r="I6" s="400"/>
      <c r="J6" s="400"/>
      <c r="K6" s="400"/>
      <c r="L6" s="400"/>
      <c r="M6" s="400"/>
      <c r="N6" s="400"/>
    </row>
    <row r="7" spans="1:14" ht="15">
      <c r="A7" s="326" t="s">
        <v>234</v>
      </c>
      <c r="B7" s="332"/>
      <c r="C7" s="328">
        <v>77</v>
      </c>
      <c r="D7" s="85">
        <f>C25</f>
        <v>0</v>
      </c>
      <c r="E7" s="85">
        <f>D25</f>
        <v>82</v>
      </c>
      <c r="F7" s="400"/>
      <c r="G7" s="400"/>
      <c r="H7" s="400"/>
      <c r="I7" s="400"/>
      <c r="J7" s="400"/>
      <c r="K7" s="400"/>
      <c r="L7" s="400"/>
      <c r="M7" s="400"/>
      <c r="N7" s="400"/>
    </row>
    <row r="8" spans="1:14" ht="15">
      <c r="A8" s="331" t="s">
        <v>236</v>
      </c>
      <c r="B8" s="332"/>
      <c r="C8" s="320"/>
      <c r="D8" s="40"/>
      <c r="E8" s="40"/>
      <c r="F8" s="400"/>
      <c r="G8" s="400"/>
      <c r="H8" s="400"/>
      <c r="I8" s="400"/>
      <c r="J8" s="400"/>
      <c r="K8" s="400"/>
      <c r="L8" s="400"/>
      <c r="M8" s="400"/>
      <c r="N8" s="400"/>
    </row>
    <row r="9" spans="1:14" ht="15">
      <c r="A9" s="37" t="s">
        <v>101</v>
      </c>
      <c r="B9" s="332"/>
      <c r="C9" s="328">
        <v>8450</v>
      </c>
      <c r="D9" s="85">
        <v>8922</v>
      </c>
      <c r="E9" s="97" t="s">
        <v>88</v>
      </c>
      <c r="F9" s="400"/>
      <c r="G9" s="400"/>
      <c r="H9" s="400"/>
      <c r="I9" s="400"/>
      <c r="J9" s="400"/>
      <c r="K9" s="400"/>
      <c r="L9" s="400"/>
      <c r="M9" s="400"/>
      <c r="N9" s="400"/>
    </row>
    <row r="10" spans="1:14" ht="15">
      <c r="A10" s="37" t="s">
        <v>102</v>
      </c>
      <c r="B10" s="332"/>
      <c r="C10" s="328">
        <v>392</v>
      </c>
      <c r="D10" s="9">
        <v>0</v>
      </c>
      <c r="E10" s="9">
        <v>0</v>
      </c>
      <c r="F10" s="400"/>
      <c r="G10" s="400"/>
      <c r="H10" s="400"/>
      <c r="I10" s="400"/>
      <c r="J10" s="400"/>
      <c r="K10" s="400"/>
      <c r="L10" s="400"/>
      <c r="M10" s="400"/>
      <c r="N10" s="400"/>
    </row>
    <row r="11" spans="1:14" ht="15">
      <c r="A11" s="37" t="s">
        <v>103</v>
      </c>
      <c r="B11" s="332"/>
      <c r="C11" s="328">
        <v>1837</v>
      </c>
      <c r="D11" s="9">
        <v>1973</v>
      </c>
      <c r="E11" s="85">
        <f>mvalloc!C9</f>
        <v>1651</v>
      </c>
      <c r="F11" s="412"/>
      <c r="G11" s="394"/>
      <c r="H11" s="400"/>
      <c r="I11" s="400"/>
      <c r="J11" s="400"/>
      <c r="K11" s="400"/>
      <c r="L11" s="400"/>
      <c r="M11" s="400"/>
      <c r="N11" s="400"/>
    </row>
    <row r="12" spans="1:14" ht="15">
      <c r="A12" s="37" t="s">
        <v>104</v>
      </c>
      <c r="B12" s="332"/>
      <c r="C12" s="328">
        <v>54</v>
      </c>
      <c r="D12" s="9">
        <v>56</v>
      </c>
      <c r="E12" s="85">
        <f>mvalloc!D9</f>
        <v>52</v>
      </c>
      <c r="F12" s="400"/>
      <c r="G12" s="394"/>
      <c r="H12" s="400"/>
      <c r="I12" s="400"/>
      <c r="J12" s="400"/>
      <c r="K12" s="400"/>
      <c r="L12" s="400"/>
      <c r="M12" s="400"/>
      <c r="N12" s="400"/>
    </row>
    <row r="13" spans="1:14" ht="15">
      <c r="A13" s="336" t="s">
        <v>211</v>
      </c>
      <c r="B13" s="332"/>
      <c r="C13" s="328">
        <v>28</v>
      </c>
      <c r="D13" s="9">
        <v>26</v>
      </c>
      <c r="E13" s="85">
        <f>mvalloc!E9</f>
        <v>27</v>
      </c>
      <c r="F13" s="400"/>
      <c r="G13" s="394"/>
      <c r="H13" s="400"/>
      <c r="I13" s="400"/>
      <c r="J13" s="400"/>
      <c r="K13" s="400"/>
      <c r="L13" s="400"/>
      <c r="M13" s="400"/>
      <c r="N13" s="400"/>
    </row>
    <row r="14" spans="1:14" ht="15">
      <c r="A14" s="337" t="s">
        <v>282</v>
      </c>
      <c r="B14" s="332"/>
      <c r="C14" s="328">
        <v>0</v>
      </c>
      <c r="D14" s="9">
        <v>0</v>
      </c>
      <c r="E14" s="85">
        <f>mvalloc!F9</f>
        <v>0</v>
      </c>
      <c r="F14" s="400"/>
      <c r="G14" s="394"/>
      <c r="H14" s="400"/>
      <c r="I14" s="400"/>
      <c r="J14" s="400"/>
      <c r="K14" s="400"/>
      <c r="L14" s="400"/>
      <c r="M14" s="400"/>
      <c r="N14" s="400"/>
    </row>
    <row r="15" spans="1:14" ht="15">
      <c r="A15" s="316" t="s">
        <v>396</v>
      </c>
      <c r="B15" s="333"/>
      <c r="C15" s="328">
        <v>-187</v>
      </c>
      <c r="D15" s="9">
        <v>-195</v>
      </c>
      <c r="E15" s="9">
        <v>-106</v>
      </c>
      <c r="F15" s="400"/>
      <c r="G15" s="400"/>
      <c r="H15" s="400"/>
      <c r="I15" s="400"/>
      <c r="J15" s="400"/>
      <c r="K15" s="400"/>
      <c r="L15" s="400"/>
      <c r="M15" s="400"/>
      <c r="N15" s="400"/>
    </row>
    <row r="16" spans="1:14" ht="15">
      <c r="A16" s="336" t="s">
        <v>397</v>
      </c>
      <c r="B16" s="332"/>
      <c r="C16" s="328">
        <v>0</v>
      </c>
      <c r="D16" s="328">
        <v>0</v>
      </c>
      <c r="E16" s="328">
        <v>0</v>
      </c>
      <c r="F16" s="400"/>
      <c r="G16" s="400"/>
      <c r="H16" s="400"/>
      <c r="I16" s="400"/>
      <c r="J16" s="400"/>
      <c r="K16" s="400"/>
      <c r="L16" s="400"/>
      <c r="M16" s="400"/>
      <c r="N16" s="400"/>
    </row>
    <row r="17" spans="1:14" ht="15">
      <c r="A17" s="326" t="s">
        <v>399</v>
      </c>
      <c r="B17" s="332"/>
      <c r="C17" s="366">
        <f>IF(C18*0.1&lt;C16,"Exceed 10% Rule","")</f>
      </c>
      <c r="D17" s="366">
        <f>IF(D18*0.1&lt;D16,"Exceed 10% Rule","")</f>
      </c>
      <c r="E17" s="366">
        <f>IF(E18*0.1&lt;E16,"Exceed 10% Rule","")</f>
      </c>
      <c r="F17" s="400"/>
      <c r="G17" s="400"/>
      <c r="H17" s="400"/>
      <c r="I17" s="400"/>
      <c r="J17" s="400"/>
      <c r="K17" s="400"/>
      <c r="L17" s="400"/>
      <c r="M17" s="400"/>
      <c r="N17" s="400"/>
    </row>
    <row r="18" spans="1:14" ht="15">
      <c r="A18" s="152" t="s">
        <v>107</v>
      </c>
      <c r="B18" s="332"/>
      <c r="C18" s="329">
        <f>SUM(C9:C16)</f>
        <v>10574</v>
      </c>
      <c r="D18" s="268">
        <f>SUM(D9:D16)</f>
        <v>10782</v>
      </c>
      <c r="E18" s="268">
        <f>SUM(E9:E16)</f>
        <v>1624</v>
      </c>
      <c r="F18" s="400"/>
      <c r="G18" s="400"/>
      <c r="H18" s="400"/>
      <c r="I18" s="400"/>
      <c r="J18" s="400"/>
      <c r="K18" s="400"/>
      <c r="L18" s="400"/>
      <c r="M18" s="400"/>
      <c r="N18" s="400"/>
    </row>
    <row r="19" spans="1:14" ht="15">
      <c r="A19" s="152" t="s">
        <v>108</v>
      </c>
      <c r="B19" s="332"/>
      <c r="C19" s="330">
        <f>C7+C18</f>
        <v>10651</v>
      </c>
      <c r="D19" s="267">
        <f>D7+D18</f>
        <v>10782</v>
      </c>
      <c r="E19" s="267">
        <f>E7+E18</f>
        <v>1706</v>
      </c>
      <c r="F19" s="400"/>
      <c r="G19" s="400"/>
      <c r="H19" s="400"/>
      <c r="I19" s="400"/>
      <c r="J19" s="400"/>
      <c r="K19" s="400"/>
      <c r="L19" s="400"/>
      <c r="M19" s="400"/>
      <c r="N19" s="400"/>
    </row>
    <row r="20" spans="1:14" ht="15">
      <c r="A20" s="37" t="s">
        <v>110</v>
      </c>
      <c r="B20" s="332"/>
      <c r="C20" s="38"/>
      <c r="D20" s="42"/>
      <c r="E20" s="42"/>
      <c r="F20" s="400"/>
      <c r="G20" s="400"/>
      <c r="H20" s="400"/>
      <c r="I20" s="400"/>
      <c r="J20" s="400"/>
      <c r="K20" s="400"/>
      <c r="L20" s="400"/>
      <c r="M20" s="400"/>
      <c r="N20" s="400"/>
    </row>
    <row r="21" spans="1:14" ht="15">
      <c r="A21" s="316" t="s">
        <v>23</v>
      </c>
      <c r="B21" s="333"/>
      <c r="C21" s="328">
        <v>10651</v>
      </c>
      <c r="D21" s="9">
        <v>10700</v>
      </c>
      <c r="E21" s="9">
        <v>10850</v>
      </c>
      <c r="F21" s="400"/>
      <c r="G21" s="400"/>
      <c r="H21" s="400"/>
      <c r="I21" s="400"/>
      <c r="J21" s="400"/>
      <c r="K21" s="400"/>
      <c r="L21" s="400"/>
      <c r="M21" s="400"/>
      <c r="N21" s="400"/>
    </row>
    <row r="22" spans="1:14" ht="15">
      <c r="A22" s="334" t="s">
        <v>397</v>
      </c>
      <c r="B22" s="332"/>
      <c r="C22" s="328">
        <v>0</v>
      </c>
      <c r="D22" s="328">
        <v>0</v>
      </c>
      <c r="E22" s="328">
        <v>0</v>
      </c>
      <c r="F22" s="400"/>
      <c r="G22" s="400"/>
      <c r="H22" s="400"/>
      <c r="I22" s="400"/>
      <c r="J22" s="400"/>
      <c r="K22" s="400"/>
      <c r="L22" s="400"/>
      <c r="M22" s="400"/>
      <c r="N22" s="400"/>
    </row>
    <row r="23" spans="1:14" ht="15">
      <c r="A23" s="334" t="s">
        <v>398</v>
      </c>
      <c r="B23" s="332"/>
      <c r="C23" s="366">
        <f>IF(C24*0.1&lt;C22,"Exceed 10% Rule","")</f>
      </c>
      <c r="D23" s="366">
        <f>IF(D24*0.1&lt;D22,"Exceed 10% Rule","")</f>
      </c>
      <c r="E23" s="366">
        <f>IF(E24*0.1&lt;E22,"Exceed 10% Rule","")</f>
      </c>
      <c r="F23" s="400"/>
      <c r="G23" s="400"/>
      <c r="H23" s="400"/>
      <c r="I23" s="400"/>
      <c r="J23" s="400"/>
      <c r="K23" s="400"/>
      <c r="L23" s="400"/>
      <c r="M23" s="400"/>
      <c r="N23" s="400"/>
    </row>
    <row r="24" spans="1:14" ht="15">
      <c r="A24" s="152" t="s">
        <v>114</v>
      </c>
      <c r="B24" s="332"/>
      <c r="C24" s="329">
        <f>SUM(C21:C22)</f>
        <v>10651</v>
      </c>
      <c r="D24" s="268">
        <f>SUM(D21:D22)</f>
        <v>10700</v>
      </c>
      <c r="E24" s="268">
        <f>SUM(E21:E22)</f>
        <v>10850</v>
      </c>
      <c r="F24" s="400"/>
      <c r="G24" s="400"/>
      <c r="H24" s="400"/>
      <c r="I24" s="400"/>
      <c r="J24" s="400"/>
      <c r="K24" s="400"/>
      <c r="L24" s="400"/>
      <c r="M24" s="400"/>
      <c r="N24" s="400"/>
    </row>
    <row r="25" spans="1:14" ht="15">
      <c r="A25" s="37" t="s">
        <v>235</v>
      </c>
      <c r="B25" s="332"/>
      <c r="C25" s="330">
        <f>C19-C24</f>
        <v>0</v>
      </c>
      <c r="D25" s="267">
        <f>D19-D24</f>
        <v>82</v>
      </c>
      <c r="E25" s="97" t="s">
        <v>88</v>
      </c>
      <c r="F25" s="400"/>
      <c r="G25" s="400"/>
      <c r="H25" s="400"/>
      <c r="I25" s="400"/>
      <c r="J25" s="400"/>
      <c r="K25" s="400"/>
      <c r="L25" s="400"/>
      <c r="M25" s="400"/>
      <c r="N25" s="400"/>
    </row>
    <row r="26" spans="1:14" ht="15">
      <c r="A26" s="23" t="str">
        <f>CONCATENATE("",E1-2," Budget Authority Limited Amount:")</f>
        <v>2010 Budget Authority Limited Amount:</v>
      </c>
      <c r="B26" s="353">
        <f>inputOth!B61</f>
        <v>10900</v>
      </c>
      <c r="C26" s="21"/>
      <c r="D26" s="24" t="s">
        <v>115</v>
      </c>
      <c r="E26" s="9"/>
      <c r="F26" s="418"/>
      <c r="G26" s="400"/>
      <c r="H26" s="400"/>
      <c r="I26" s="400"/>
      <c r="J26" s="400"/>
      <c r="K26" s="400"/>
      <c r="L26" s="400"/>
      <c r="M26" s="400"/>
      <c r="N26" s="400"/>
    </row>
    <row r="27" spans="1:14" ht="15">
      <c r="A27" s="23" t="str">
        <f>CONCATENATE("Violation of Budget Law for ",E1-2,":")</f>
        <v>Violation of Budget Law for 2010:</v>
      </c>
      <c r="B27" s="354">
        <f>IF(C24&gt;B26,"Yes","")</f>
      </c>
      <c r="C27" s="21"/>
      <c r="D27" s="24" t="s">
        <v>385</v>
      </c>
      <c r="E27" s="85">
        <f>E24+E26</f>
        <v>10850</v>
      </c>
      <c r="F27" s="400"/>
      <c r="G27" s="400"/>
      <c r="H27" s="400"/>
      <c r="I27" s="400"/>
      <c r="J27" s="400"/>
      <c r="K27" s="400"/>
      <c r="L27" s="400"/>
      <c r="M27" s="400"/>
      <c r="N27" s="400"/>
    </row>
    <row r="28" spans="1:14" ht="15">
      <c r="A28" s="23" t="str">
        <f>CONCATENATE("Possible Cash Violation for ",E1-2,":")</f>
        <v>Possible Cash Violation for 2010:</v>
      </c>
      <c r="B28" s="354">
        <f>IF(C25&lt;0,"Yes","")</f>
      </c>
      <c r="C28" s="21"/>
      <c r="D28" s="24" t="s">
        <v>116</v>
      </c>
      <c r="E28" s="267">
        <f>IF(E27-E19&gt;0,E27-E19,0)</f>
        <v>9144</v>
      </c>
      <c r="F28" s="400"/>
      <c r="G28" s="400"/>
      <c r="H28" s="400"/>
      <c r="I28" s="400"/>
      <c r="J28" s="400"/>
      <c r="K28" s="400"/>
      <c r="L28" s="400"/>
      <c r="M28" s="400"/>
      <c r="N28" s="400"/>
    </row>
    <row r="29" spans="1:14" ht="15">
      <c r="A29" s="460" t="s">
        <v>321</v>
      </c>
      <c r="B29" s="460"/>
      <c r="C29" s="461"/>
      <c r="D29" s="232">
        <f>(inputOth!E46)</f>
        <v>0</v>
      </c>
      <c r="E29" s="85">
        <f>ROUND(IF(D29&gt;0,(E28*D29),0),0)</f>
        <v>0</v>
      </c>
      <c r="F29" s="400"/>
      <c r="G29" s="400"/>
      <c r="H29" s="400"/>
      <c r="I29" s="400"/>
      <c r="J29" s="400"/>
      <c r="K29" s="400"/>
      <c r="L29" s="400"/>
      <c r="M29" s="400"/>
      <c r="N29" s="400"/>
    </row>
    <row r="30" spans="1:14" ht="15">
      <c r="A30" s="24"/>
      <c r="B30" s="24"/>
      <c r="C30" s="458" t="str">
        <f>CONCATENATE("Amount of  ",E1-1," Ad Valorem Tax")</f>
        <v>Amount of  2011 Ad Valorem Tax</v>
      </c>
      <c r="D30" s="466"/>
      <c r="E30" s="267">
        <f>E28+E29</f>
        <v>9144</v>
      </c>
      <c r="F30" s="400"/>
      <c r="G30" s="400"/>
      <c r="H30" s="400"/>
      <c r="I30" s="400"/>
      <c r="J30" s="400"/>
      <c r="K30" s="400"/>
      <c r="L30" s="400"/>
      <c r="M30" s="400"/>
      <c r="N30" s="400"/>
    </row>
    <row r="31" spans="1:14" ht="15">
      <c r="A31" s="21"/>
      <c r="B31" s="21"/>
      <c r="C31" s="458"/>
      <c r="D31" s="467"/>
      <c r="E31" s="105"/>
      <c r="F31" s="400"/>
      <c r="G31" s="400"/>
      <c r="H31" s="400"/>
      <c r="I31" s="400"/>
      <c r="J31" s="400"/>
      <c r="K31" s="400"/>
      <c r="L31" s="400"/>
      <c r="M31" s="400"/>
      <c r="N31" s="400"/>
    </row>
    <row r="32" spans="1:14" ht="15">
      <c r="A32" s="25" t="s">
        <v>100</v>
      </c>
      <c r="B32" s="25"/>
      <c r="C32" s="96"/>
      <c r="D32" s="96"/>
      <c r="E32" s="96"/>
      <c r="F32" s="400"/>
      <c r="G32" s="400"/>
      <c r="H32" s="400"/>
      <c r="I32" s="400"/>
      <c r="J32" s="400"/>
      <c r="K32" s="400"/>
      <c r="L32" s="400"/>
      <c r="M32" s="400"/>
      <c r="N32" s="400"/>
    </row>
    <row r="33" spans="1:14" ht="15">
      <c r="A33" s="21"/>
      <c r="B33" s="21"/>
      <c r="C33" s="93" t="s">
        <v>124</v>
      </c>
      <c r="D33" s="33" t="s">
        <v>262</v>
      </c>
      <c r="E33" s="33" t="s">
        <v>263</v>
      </c>
      <c r="F33" s="400"/>
      <c r="G33" s="400"/>
      <c r="H33" s="400"/>
      <c r="I33" s="400"/>
      <c r="J33" s="400"/>
      <c r="K33" s="400"/>
      <c r="L33" s="400"/>
      <c r="M33" s="400"/>
      <c r="N33" s="400"/>
    </row>
    <row r="34" spans="1:14" ht="15">
      <c r="A34" s="137" t="s">
        <v>278</v>
      </c>
      <c r="B34" s="137"/>
      <c r="C34" s="146">
        <f>E1-2</f>
        <v>2010</v>
      </c>
      <c r="D34" s="146">
        <f>E1-1</f>
        <v>2011</v>
      </c>
      <c r="E34" s="146">
        <f>E1</f>
        <v>2012</v>
      </c>
      <c r="F34" s="400"/>
      <c r="G34" s="400"/>
      <c r="H34" s="400"/>
      <c r="I34" s="400"/>
      <c r="J34" s="400"/>
      <c r="K34" s="400"/>
      <c r="L34" s="400"/>
      <c r="M34" s="400"/>
      <c r="N34" s="400"/>
    </row>
    <row r="35" spans="1:14" ht="15">
      <c r="A35" s="326" t="s">
        <v>234</v>
      </c>
      <c r="B35" s="332"/>
      <c r="C35" s="328">
        <v>850</v>
      </c>
      <c r="D35" s="85">
        <f>C59</f>
        <v>0</v>
      </c>
      <c r="E35" s="85">
        <f>D59</f>
        <v>54260</v>
      </c>
      <c r="F35" s="411"/>
      <c r="G35" s="400"/>
      <c r="H35" s="400"/>
      <c r="I35" s="400"/>
      <c r="J35" s="400"/>
      <c r="K35" s="400"/>
      <c r="L35" s="400"/>
      <c r="M35" s="400"/>
      <c r="N35" s="400"/>
    </row>
    <row r="36" spans="1:14" ht="15">
      <c r="A36" s="331" t="s">
        <v>236</v>
      </c>
      <c r="B36" s="332"/>
      <c r="C36" s="320"/>
      <c r="D36" s="40"/>
      <c r="E36" s="40"/>
      <c r="F36" s="400"/>
      <c r="G36" s="400"/>
      <c r="H36" s="400"/>
      <c r="I36" s="400"/>
      <c r="J36" s="400"/>
      <c r="K36" s="400"/>
      <c r="L36" s="400"/>
      <c r="M36" s="400"/>
      <c r="N36" s="400"/>
    </row>
    <row r="37" spans="1:14" ht="15">
      <c r="A37" s="37" t="s">
        <v>101</v>
      </c>
      <c r="B37" s="332"/>
      <c r="C37" s="328">
        <v>0</v>
      </c>
      <c r="D37" s="387">
        <v>0</v>
      </c>
      <c r="E37" s="97" t="s">
        <v>88</v>
      </c>
      <c r="F37" s="400"/>
      <c r="G37" s="400"/>
      <c r="H37" s="400"/>
      <c r="I37" s="400"/>
      <c r="J37" s="400"/>
      <c r="K37" s="400"/>
      <c r="L37" s="400"/>
      <c r="M37" s="400"/>
      <c r="N37" s="400"/>
    </row>
    <row r="38" spans="1:14" ht="15">
      <c r="A38" s="37" t="s">
        <v>102</v>
      </c>
      <c r="B38" s="332"/>
      <c r="C38" s="328">
        <v>251</v>
      </c>
      <c r="D38" s="9">
        <v>0</v>
      </c>
      <c r="E38" s="9">
        <v>0</v>
      </c>
      <c r="F38" s="400"/>
      <c r="G38" s="400"/>
      <c r="H38" s="400"/>
      <c r="I38" s="400"/>
      <c r="J38" s="400"/>
      <c r="K38" s="400"/>
      <c r="L38" s="400"/>
      <c r="M38" s="400"/>
      <c r="N38" s="400"/>
    </row>
    <row r="39" spans="1:14" ht="15">
      <c r="A39" s="37" t="s">
        <v>103</v>
      </c>
      <c r="B39" s="332"/>
      <c r="C39" s="328">
        <v>452</v>
      </c>
      <c r="D39" s="9">
        <v>0</v>
      </c>
      <c r="E39" s="85" t="str">
        <f>mvalloc!C8</f>
        <v>  </v>
      </c>
      <c r="F39" s="400"/>
      <c r="G39" s="400"/>
      <c r="H39" s="400"/>
      <c r="I39" s="400"/>
      <c r="J39" s="400"/>
      <c r="K39" s="400"/>
      <c r="L39" s="400"/>
      <c r="M39" s="400"/>
      <c r="N39" s="400"/>
    </row>
    <row r="40" spans="1:14" ht="15">
      <c r="A40" s="37" t="s">
        <v>104</v>
      </c>
      <c r="B40" s="332"/>
      <c r="C40" s="328">
        <v>13</v>
      </c>
      <c r="D40" s="9">
        <v>0</v>
      </c>
      <c r="E40" s="85" t="str">
        <f>mvalloc!D8</f>
        <v> </v>
      </c>
      <c r="F40" s="400"/>
      <c r="G40" s="400"/>
      <c r="H40" s="400"/>
      <c r="I40" s="400"/>
      <c r="J40" s="400"/>
      <c r="K40" s="400"/>
      <c r="L40" s="400"/>
      <c r="M40" s="400"/>
      <c r="N40" s="400"/>
    </row>
    <row r="41" spans="1:14" ht="15">
      <c r="A41" s="336" t="s">
        <v>211</v>
      </c>
      <c r="B41" s="332"/>
      <c r="C41" s="328">
        <v>20</v>
      </c>
      <c r="D41" s="9">
        <v>0</v>
      </c>
      <c r="E41" s="85" t="str">
        <f>mvalloc!E8</f>
        <v> </v>
      </c>
      <c r="F41" s="400"/>
      <c r="G41" s="400"/>
      <c r="H41" s="400"/>
      <c r="I41" s="400"/>
      <c r="J41" s="400"/>
      <c r="K41" s="400"/>
      <c r="L41" s="400"/>
      <c r="M41" s="400"/>
      <c r="N41" s="400"/>
    </row>
    <row r="42" spans="1:14" ht="15">
      <c r="A42" s="337" t="s">
        <v>282</v>
      </c>
      <c r="B42" s="332"/>
      <c r="C42" s="328">
        <v>0</v>
      </c>
      <c r="D42" s="9">
        <v>0</v>
      </c>
      <c r="E42" s="85" t="str">
        <f>mvalloc!F8</f>
        <v> </v>
      </c>
      <c r="F42" s="400"/>
      <c r="G42" s="400"/>
      <c r="H42" s="400"/>
      <c r="I42" s="400"/>
      <c r="J42" s="400"/>
      <c r="K42" s="400"/>
      <c r="L42" s="400"/>
      <c r="M42" s="400"/>
      <c r="N42" s="400"/>
    </row>
    <row r="43" spans="1:14" ht="15">
      <c r="A43" s="316" t="s">
        <v>277</v>
      </c>
      <c r="B43" s="333"/>
      <c r="C43" s="328">
        <v>0</v>
      </c>
      <c r="D43" s="9">
        <v>0</v>
      </c>
      <c r="E43" s="9">
        <v>0</v>
      </c>
      <c r="F43" s="400"/>
      <c r="G43" s="400"/>
      <c r="H43" s="400"/>
      <c r="I43" s="400"/>
      <c r="J43" s="400"/>
      <c r="K43" s="400"/>
      <c r="L43" s="400"/>
      <c r="M43" s="400"/>
      <c r="N43" s="400"/>
    </row>
    <row r="44" spans="1:14" ht="15">
      <c r="A44" s="327" t="s">
        <v>514</v>
      </c>
      <c r="B44" s="333"/>
      <c r="C44" s="328">
        <v>0</v>
      </c>
      <c r="D44" s="9">
        <v>54260</v>
      </c>
      <c r="E44" s="9">
        <v>0</v>
      </c>
      <c r="F44" s="400"/>
      <c r="G44" s="400"/>
      <c r="H44" s="400"/>
      <c r="I44" s="400"/>
      <c r="J44" s="400"/>
      <c r="K44" s="400"/>
      <c r="L44" s="400"/>
      <c r="M44" s="400"/>
      <c r="N44" s="400"/>
    </row>
    <row r="45" spans="1:14" ht="15">
      <c r="A45" s="336" t="s">
        <v>397</v>
      </c>
      <c r="B45" s="332"/>
      <c r="C45" s="328">
        <v>0</v>
      </c>
      <c r="D45" s="328">
        <v>0</v>
      </c>
      <c r="E45" s="328">
        <v>0</v>
      </c>
      <c r="F45" s="400"/>
      <c r="G45" s="400"/>
      <c r="H45" s="400"/>
      <c r="I45" s="400"/>
      <c r="J45" s="400"/>
      <c r="K45" s="400"/>
      <c r="L45" s="400"/>
      <c r="M45" s="400"/>
      <c r="N45" s="400"/>
    </row>
    <row r="46" spans="1:14" ht="15">
      <c r="A46" s="326" t="s">
        <v>399</v>
      </c>
      <c r="B46" s="332"/>
      <c r="C46" s="366">
        <f>IF(C47*0.1&lt;C45,"Exceed 10% Rule","")</f>
      </c>
      <c r="D46" s="366">
        <f>IF(D47*0.1&lt;D45,"Exceed 10% Rule","")</f>
      </c>
      <c r="E46" s="366">
        <f>IF(E47*0.1&lt;E45,"Exceed 10% Rule","")</f>
      </c>
      <c r="F46" s="400"/>
      <c r="G46" s="400"/>
      <c r="H46" s="400"/>
      <c r="I46" s="400"/>
      <c r="J46" s="400"/>
      <c r="K46" s="400"/>
      <c r="L46" s="400"/>
      <c r="M46" s="400"/>
      <c r="N46" s="400"/>
    </row>
    <row r="47" spans="1:14" ht="15">
      <c r="A47" s="152" t="s">
        <v>107</v>
      </c>
      <c r="B47" s="332"/>
      <c r="C47" s="329">
        <f>SUM(C37:C45)</f>
        <v>736</v>
      </c>
      <c r="D47" s="268">
        <f>SUM(D37:D45)</f>
        <v>54260</v>
      </c>
      <c r="E47" s="268">
        <f>SUM(E37:E45)</f>
        <v>0</v>
      </c>
      <c r="F47" s="400"/>
      <c r="G47" s="400"/>
      <c r="H47" s="400"/>
      <c r="I47" s="400"/>
      <c r="J47" s="400"/>
      <c r="K47" s="400"/>
      <c r="L47" s="400"/>
      <c r="M47" s="400"/>
      <c r="N47" s="400"/>
    </row>
    <row r="48" spans="1:14" ht="15">
      <c r="A48" s="152" t="s">
        <v>108</v>
      </c>
      <c r="B48" s="332"/>
      <c r="C48" s="329">
        <f>C35+C47</f>
        <v>1586</v>
      </c>
      <c r="D48" s="268">
        <f>D35+D47</f>
        <v>54260</v>
      </c>
      <c r="E48" s="268">
        <f>E35+E47</f>
        <v>54260</v>
      </c>
      <c r="F48" s="400"/>
      <c r="G48" s="400"/>
      <c r="H48" s="400"/>
      <c r="I48" s="400"/>
      <c r="J48" s="400"/>
      <c r="K48" s="400"/>
      <c r="L48" s="400"/>
      <c r="M48" s="400"/>
      <c r="N48" s="400"/>
    </row>
    <row r="49" spans="1:14" ht="15">
      <c r="A49" s="37" t="s">
        <v>110</v>
      </c>
      <c r="B49" s="332"/>
      <c r="C49" s="38"/>
      <c r="D49" s="42"/>
      <c r="E49" s="42"/>
      <c r="F49" s="400"/>
      <c r="G49" s="400"/>
      <c r="H49" s="400"/>
      <c r="I49" s="400"/>
      <c r="J49" s="400"/>
      <c r="K49" s="400"/>
      <c r="L49" s="400"/>
      <c r="M49" s="400"/>
      <c r="N49" s="400"/>
    </row>
    <row r="50" spans="1:14" ht="15">
      <c r="A50" s="316" t="s">
        <v>44</v>
      </c>
      <c r="B50" s="333"/>
      <c r="C50" s="328">
        <v>0</v>
      </c>
      <c r="D50" s="9">
        <v>0</v>
      </c>
      <c r="E50" s="9">
        <v>2000</v>
      </c>
      <c r="F50" s="400"/>
      <c r="G50" s="400"/>
      <c r="H50" s="400"/>
      <c r="I50" s="400"/>
      <c r="J50" s="400"/>
      <c r="K50" s="400"/>
      <c r="L50" s="400"/>
      <c r="M50" s="400"/>
      <c r="N50" s="400"/>
    </row>
    <row r="51" spans="1:14" ht="15">
      <c r="A51" s="316" t="s">
        <v>45</v>
      </c>
      <c r="B51" s="333"/>
      <c r="C51" s="328">
        <v>0</v>
      </c>
      <c r="D51" s="9">
        <v>0</v>
      </c>
      <c r="E51" s="9">
        <v>13328</v>
      </c>
      <c r="F51" s="400"/>
      <c r="G51" s="400"/>
      <c r="H51" s="400"/>
      <c r="I51" s="400"/>
      <c r="J51" s="400"/>
      <c r="K51" s="400"/>
      <c r="L51" s="400"/>
      <c r="M51" s="400"/>
      <c r="N51" s="400"/>
    </row>
    <row r="52" spans="1:14" ht="15">
      <c r="A52" s="316" t="s">
        <v>46</v>
      </c>
      <c r="B52" s="333"/>
      <c r="C52" s="328">
        <v>0</v>
      </c>
      <c r="D52" s="9">
        <v>0</v>
      </c>
      <c r="E52" s="9">
        <v>2</v>
      </c>
      <c r="F52" s="400"/>
      <c r="G52" s="400"/>
      <c r="H52" s="400"/>
      <c r="I52" s="400"/>
      <c r="J52" s="400"/>
      <c r="K52" s="400"/>
      <c r="L52" s="400"/>
      <c r="M52" s="400"/>
      <c r="N52" s="400"/>
    </row>
    <row r="53" spans="1:14" ht="15">
      <c r="A53" s="316" t="s">
        <v>515</v>
      </c>
      <c r="B53" s="333"/>
      <c r="C53" s="328">
        <v>0</v>
      </c>
      <c r="D53" s="9">
        <v>0</v>
      </c>
      <c r="E53" s="9">
        <v>15245</v>
      </c>
      <c r="F53" s="412"/>
      <c r="G53" s="412"/>
      <c r="H53" s="412"/>
      <c r="I53" s="412"/>
      <c r="J53" s="412"/>
      <c r="K53" s="412"/>
      <c r="L53" s="412"/>
      <c r="M53" s="412"/>
      <c r="N53" s="400"/>
    </row>
    <row r="54" spans="1:14" ht="15">
      <c r="A54" s="316" t="s">
        <v>486</v>
      </c>
      <c r="B54" s="333"/>
      <c r="C54" s="328">
        <v>1586</v>
      </c>
      <c r="D54" s="9">
        <v>0</v>
      </c>
      <c r="E54" s="9">
        <v>0</v>
      </c>
      <c r="F54" s="412"/>
      <c r="G54" s="412"/>
      <c r="H54" s="412"/>
      <c r="I54" s="412"/>
      <c r="J54" s="412"/>
      <c r="K54" s="412"/>
      <c r="L54" s="412"/>
      <c r="M54" s="412"/>
      <c r="N54" s="400"/>
    </row>
    <row r="55" spans="1:14" ht="15">
      <c r="A55" s="334" t="s">
        <v>396</v>
      </c>
      <c r="B55" s="332"/>
      <c r="C55" s="328">
        <v>0</v>
      </c>
      <c r="D55" s="9">
        <v>0</v>
      </c>
      <c r="E55" s="417">
        <v>0</v>
      </c>
      <c r="F55" s="412"/>
      <c r="G55" s="412"/>
      <c r="H55" s="412"/>
      <c r="I55" s="412"/>
      <c r="J55" s="412"/>
      <c r="K55" s="412"/>
      <c r="L55" s="412"/>
      <c r="M55" s="412"/>
      <c r="N55" s="400"/>
    </row>
    <row r="56" spans="1:14" ht="15">
      <c r="A56" s="334" t="s">
        <v>397</v>
      </c>
      <c r="B56" s="332"/>
      <c r="C56" s="328">
        <v>0</v>
      </c>
      <c r="D56" s="328">
        <v>0</v>
      </c>
      <c r="E56" s="328">
        <v>0</v>
      </c>
      <c r="F56" s="412"/>
      <c r="G56" s="412"/>
      <c r="H56" s="412"/>
      <c r="I56" s="412"/>
      <c r="J56" s="412"/>
      <c r="K56" s="412"/>
      <c r="L56" s="412"/>
      <c r="M56" s="412"/>
      <c r="N56" s="400"/>
    </row>
    <row r="57" spans="1:14" ht="15">
      <c r="A57" s="334" t="s">
        <v>398</v>
      </c>
      <c r="B57" s="332"/>
      <c r="C57" s="366">
        <f>IF(C58*0.1&lt;C56,"Exceed 10% Rule","")</f>
      </c>
      <c r="D57" s="366">
        <f>IF(D58*0.1&lt;D56,"Exceed 10% Rule","")</f>
      </c>
      <c r="E57" s="366">
        <f>IF(E58*0.1&lt;E56,"Exceed 10% Rule","")</f>
      </c>
      <c r="F57" s="412"/>
      <c r="G57" s="412"/>
      <c r="H57" s="412"/>
      <c r="I57" s="412"/>
      <c r="J57" s="412"/>
      <c r="K57" s="412"/>
      <c r="L57" s="412"/>
      <c r="M57" s="412"/>
      <c r="N57" s="400"/>
    </row>
    <row r="58" spans="1:14" ht="15">
      <c r="A58" s="152" t="s">
        <v>114</v>
      </c>
      <c r="B58" s="332"/>
      <c r="C58" s="329">
        <f>SUM(C50:C56)</f>
        <v>1586</v>
      </c>
      <c r="D58" s="268">
        <f>SUM(D50:D56)</f>
        <v>0</v>
      </c>
      <c r="E58" s="268">
        <f>SUM(E50:E56)</f>
        <v>30575</v>
      </c>
      <c r="F58" s="411"/>
      <c r="G58" s="400"/>
      <c r="H58" s="400"/>
      <c r="I58" s="400"/>
      <c r="J58" s="400"/>
      <c r="K58" s="400"/>
      <c r="L58" s="400"/>
      <c r="M58" s="400"/>
      <c r="N58" s="400"/>
    </row>
    <row r="59" spans="1:14" ht="15">
      <c r="A59" s="37" t="s">
        <v>235</v>
      </c>
      <c r="B59" s="332"/>
      <c r="C59" s="330">
        <f>C48-C58</f>
        <v>0</v>
      </c>
      <c r="D59" s="267">
        <f>D48-D58</f>
        <v>54260</v>
      </c>
      <c r="E59" s="97" t="s">
        <v>88</v>
      </c>
      <c r="F59" s="400"/>
      <c r="G59" s="400"/>
      <c r="H59" s="400"/>
      <c r="I59" s="400"/>
      <c r="J59" s="400"/>
      <c r="K59" s="400"/>
      <c r="L59" s="400"/>
      <c r="M59" s="400"/>
      <c r="N59" s="400"/>
    </row>
    <row r="60" spans="1:14" ht="15">
      <c r="A60" s="23" t="str">
        <f>CONCATENATE("",E1-2," Budget Authority Limited Amount:")</f>
        <v>2010 Budget Authority Limited Amount:</v>
      </c>
      <c r="B60" s="353">
        <f>inputOth!B60</f>
        <v>0</v>
      </c>
      <c r="C60" s="65" t="s">
        <v>363</v>
      </c>
      <c r="D60" s="24" t="s">
        <v>115</v>
      </c>
      <c r="E60" s="9"/>
      <c r="F60" s="418"/>
      <c r="G60" s="400"/>
      <c r="H60" s="400"/>
      <c r="I60" s="400"/>
      <c r="J60" s="400"/>
      <c r="K60" s="400"/>
      <c r="L60" s="400"/>
      <c r="M60" s="400"/>
      <c r="N60" s="400"/>
    </row>
    <row r="61" spans="1:14" ht="15">
      <c r="A61" s="23" t="str">
        <f>CONCATENATE("Violation of Budget Law for ",E1-2,":")</f>
        <v>Violation of Budget Law for 2010:</v>
      </c>
      <c r="B61" s="354" t="str">
        <f>IF(C58&gt;B60,"Yes","")</f>
        <v>Yes</v>
      </c>
      <c r="C61" s="65"/>
      <c r="D61" s="24" t="s">
        <v>385</v>
      </c>
      <c r="E61" s="85">
        <f>E58+E60</f>
        <v>30575</v>
      </c>
      <c r="F61" s="400"/>
      <c r="G61" s="400"/>
      <c r="H61" s="400"/>
      <c r="I61" s="400"/>
      <c r="J61" s="400"/>
      <c r="K61" s="400"/>
      <c r="L61" s="400"/>
      <c r="M61" s="400"/>
      <c r="N61" s="400"/>
    </row>
    <row r="62" spans="1:14" ht="15">
      <c r="A62" s="23" t="str">
        <f>CONCATENATE("Possible Cash Violation for ",E1-2,":")</f>
        <v>Possible Cash Violation for 2010:</v>
      </c>
      <c r="B62" s="354">
        <f>IF(C59&lt;0,"Yes","")</f>
      </c>
      <c r="C62" s="21"/>
      <c r="D62" s="24" t="s">
        <v>116</v>
      </c>
      <c r="E62" s="267">
        <f>IF(E61-E48&gt;0,E61-E48,0)</f>
        <v>0</v>
      </c>
      <c r="F62" s="400"/>
      <c r="G62" s="400"/>
      <c r="H62" s="400"/>
      <c r="I62" s="400"/>
      <c r="J62" s="400"/>
      <c r="K62" s="400"/>
      <c r="L62" s="400"/>
      <c r="M62" s="400"/>
      <c r="N62" s="400"/>
    </row>
    <row r="63" spans="1:14" ht="15">
      <c r="A63" s="460" t="s">
        <v>321</v>
      </c>
      <c r="B63" s="460"/>
      <c r="C63" s="461"/>
      <c r="D63" s="234">
        <f>(inputOth!E46)</f>
        <v>0</v>
      </c>
      <c r="E63" s="85">
        <f>ROUND(IF(D63&gt;0,(E62*D63),0),0)</f>
        <v>0</v>
      </c>
      <c r="F63" s="400"/>
      <c r="G63" s="400"/>
      <c r="H63" s="400"/>
      <c r="I63" s="400"/>
      <c r="J63" s="400"/>
      <c r="K63" s="400"/>
      <c r="L63" s="400"/>
      <c r="M63" s="400"/>
      <c r="N63" s="400"/>
    </row>
    <row r="64" spans="1:14" ht="15.75" thickBot="1">
      <c r="A64" s="21"/>
      <c r="B64" s="21"/>
      <c r="C64" s="458" t="str">
        <f>CONCATENATE("Amount of  ",E1-1," Ad Valorem Tax")</f>
        <v>Amount of  2011 Ad Valorem Tax</v>
      </c>
      <c r="D64" s="466"/>
      <c r="E64" s="269">
        <f>E62+E63</f>
        <v>0</v>
      </c>
      <c r="F64" s="400"/>
      <c r="G64" s="400"/>
      <c r="H64" s="400"/>
      <c r="I64" s="400"/>
      <c r="J64" s="400"/>
      <c r="K64" s="400"/>
      <c r="L64" s="400"/>
      <c r="M64" s="400"/>
      <c r="N64" s="400"/>
    </row>
    <row r="65" spans="1:14" ht="15.75" thickTop="1">
      <c r="A65" s="21" t="s">
        <v>530</v>
      </c>
      <c r="B65" s="21"/>
      <c r="C65" s="413"/>
      <c r="D65" s="414"/>
      <c r="E65" s="416"/>
      <c r="F65" s="400"/>
      <c r="G65" s="400"/>
      <c r="H65" s="400"/>
      <c r="I65" s="400"/>
      <c r="J65" s="400"/>
      <c r="K65" s="400"/>
      <c r="L65" s="400"/>
      <c r="M65" s="400"/>
      <c r="N65" s="400"/>
    </row>
    <row r="66" spans="1:5" ht="15">
      <c r="A66" s="21" t="s">
        <v>531</v>
      </c>
      <c r="B66" s="21"/>
      <c r="C66" s="413"/>
      <c r="D66" s="414"/>
      <c r="E66" s="416"/>
    </row>
    <row r="67" spans="1:5" ht="15">
      <c r="A67" s="24"/>
      <c r="B67" s="24" t="s">
        <v>118</v>
      </c>
      <c r="C67" s="16">
        <v>8</v>
      </c>
      <c r="D67" s="21"/>
      <c r="E67" s="21"/>
    </row>
    <row r="68" spans="1:2" ht="15">
      <c r="A68" s="2"/>
      <c r="B68" s="2"/>
    </row>
  </sheetData>
  <sheetProtection/>
  <mergeCells count="5">
    <mergeCell ref="C64:D64"/>
    <mergeCell ref="A29:C29"/>
    <mergeCell ref="A63:C63"/>
    <mergeCell ref="C31:D31"/>
    <mergeCell ref="C30:D30"/>
  </mergeCells>
  <conditionalFormatting sqref="C56">
    <cfRule type="cellIs" priority="1" dxfId="138" operator="greaterThan" stopIfTrue="1">
      <formula>$C$58*0.1</formula>
    </cfRule>
  </conditionalFormatting>
  <conditionalFormatting sqref="D56">
    <cfRule type="cellIs" priority="2" dxfId="138" operator="greaterThan" stopIfTrue="1">
      <formula>$D$58*0.1</formula>
    </cfRule>
  </conditionalFormatting>
  <conditionalFormatting sqref="E56">
    <cfRule type="cellIs" priority="3" dxfId="138" operator="greaterThan" stopIfTrue="1">
      <formula>$E$58*0.1</formula>
    </cfRule>
  </conditionalFormatting>
  <conditionalFormatting sqref="E60">
    <cfRule type="cellIs" priority="4" dxfId="138" operator="greaterThan" stopIfTrue="1">
      <formula>$E$58/0.95-$E$58</formula>
    </cfRule>
  </conditionalFormatting>
  <conditionalFormatting sqref="C45">
    <cfRule type="cellIs" priority="5" dxfId="138" operator="greaterThan" stopIfTrue="1">
      <formula>$C$47*0.1</formula>
    </cfRule>
  </conditionalFormatting>
  <conditionalFormatting sqref="D45">
    <cfRule type="cellIs" priority="6" dxfId="138" operator="greaterThan" stopIfTrue="1">
      <formula>$D$47*0.1</formula>
    </cfRule>
  </conditionalFormatting>
  <conditionalFormatting sqref="E45">
    <cfRule type="cellIs" priority="7" dxfId="138" operator="greaterThan" stopIfTrue="1">
      <formula>$E$47*0.1</formula>
    </cfRule>
  </conditionalFormatting>
  <conditionalFormatting sqref="C22">
    <cfRule type="cellIs" priority="8" dxfId="138" operator="greaterThan" stopIfTrue="1">
      <formula>$C$24*0.1</formula>
    </cfRule>
  </conditionalFormatting>
  <conditionalFormatting sqref="D22">
    <cfRule type="cellIs" priority="9" dxfId="138" operator="greaterThan" stopIfTrue="1">
      <formula>$D$24*0.1</formula>
    </cfRule>
  </conditionalFormatting>
  <conditionalFormatting sqref="E22">
    <cfRule type="cellIs" priority="10" dxfId="138" operator="greaterThan" stopIfTrue="1">
      <formula>$E$24*0.1</formula>
    </cfRule>
  </conditionalFormatting>
  <conditionalFormatting sqref="E26">
    <cfRule type="cellIs" priority="11" dxfId="138" operator="greaterThan" stopIfTrue="1">
      <formula>$E$24/0.95-$E$24</formula>
    </cfRule>
  </conditionalFormatting>
  <conditionalFormatting sqref="C16">
    <cfRule type="cellIs" priority="12" dxfId="138" operator="greaterThan" stopIfTrue="1">
      <formula>$C$18*0.1</formula>
    </cfRule>
  </conditionalFormatting>
  <conditionalFormatting sqref="D16">
    <cfRule type="cellIs" priority="13" dxfId="138" operator="greaterThan" stopIfTrue="1">
      <formula>$D$18*0.1</formula>
    </cfRule>
  </conditionalFormatting>
  <conditionalFormatting sqref="E16">
    <cfRule type="cellIs" priority="14" dxfId="138" operator="greaterThan" stopIfTrue="1">
      <formula>$E$18*0.1</formula>
    </cfRule>
  </conditionalFormatting>
  <printOptions/>
  <pageMargins left="0.5" right="0.5" top="1" bottom="0.5" header="0.5" footer="0.5"/>
  <pageSetup blackAndWhite="1" fitToHeight="1" fitToWidth="1" horizontalDpi="600" verticalDpi="600" orientation="portrait" scale="65" r:id="rId1"/>
  <headerFooter alignWithMargins="0">
    <oddHeader>&amp;RState of Kansas
City</oddHeader>
    <oddFooter>&amp;Lrevised 8/06/07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4">
      <selection activeCell="F33" sqref="F33"/>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178</v>
      </c>
      <c r="B3" s="90"/>
      <c r="C3" s="96"/>
      <c r="D3" s="96"/>
      <c r="E3" s="96"/>
    </row>
    <row r="4" spans="1:5" ht="15">
      <c r="A4" s="25" t="s">
        <v>100</v>
      </c>
      <c r="B4" s="25"/>
      <c r="C4" s="93" t="s">
        <v>124</v>
      </c>
      <c r="D4" s="33" t="s">
        <v>262</v>
      </c>
      <c r="E4" s="33" t="s">
        <v>263</v>
      </c>
    </row>
    <row r="5" spans="1:14" ht="15">
      <c r="A5" s="384" t="str">
        <f>(inputPrYr!B24)</f>
        <v>Special Highway</v>
      </c>
      <c r="B5" s="137"/>
      <c r="C5" s="146">
        <f>E1-2</f>
        <v>2010</v>
      </c>
      <c r="D5" s="146">
        <f>E1-1</f>
        <v>2011</v>
      </c>
      <c r="E5" s="146">
        <f>E1</f>
        <v>2012</v>
      </c>
      <c r="F5" s="400"/>
      <c r="G5" s="400"/>
      <c r="H5" s="400"/>
      <c r="I5" s="400"/>
      <c r="J5" s="400"/>
      <c r="K5" s="400"/>
      <c r="L5" s="400"/>
      <c r="M5" s="400"/>
      <c r="N5" s="400"/>
    </row>
    <row r="6" spans="1:14" ht="15">
      <c r="A6" s="326" t="s">
        <v>234</v>
      </c>
      <c r="B6" s="332"/>
      <c r="C6" s="328">
        <v>313</v>
      </c>
      <c r="D6" s="85">
        <f>C23</f>
        <v>0</v>
      </c>
      <c r="E6" s="85">
        <f>D23</f>
        <v>450</v>
      </c>
      <c r="F6" s="411"/>
      <c r="G6" s="400"/>
      <c r="H6" s="400"/>
      <c r="I6" s="400"/>
      <c r="J6" s="400"/>
      <c r="K6" s="400"/>
      <c r="L6" s="400"/>
      <c r="M6" s="400"/>
      <c r="N6" s="400"/>
    </row>
    <row r="7" spans="1:14" ht="15">
      <c r="A7" s="331" t="s">
        <v>236</v>
      </c>
      <c r="B7" s="332"/>
      <c r="C7" s="320"/>
      <c r="D7" s="40"/>
      <c r="E7" s="40"/>
      <c r="F7" s="400"/>
      <c r="G7" s="400"/>
      <c r="H7" s="400"/>
      <c r="I7" s="400"/>
      <c r="J7" s="400"/>
      <c r="K7" s="400"/>
      <c r="L7" s="400"/>
      <c r="M7" s="400"/>
      <c r="N7" s="400"/>
    </row>
    <row r="8" spans="1:14" ht="15">
      <c r="A8" s="334" t="s">
        <v>214</v>
      </c>
      <c r="B8" s="332"/>
      <c r="C8" s="328">
        <v>27272</v>
      </c>
      <c r="D8" s="142">
        <f>inputOth!E51</f>
        <v>27150</v>
      </c>
      <c r="E8" s="85">
        <f>inputOth!E49</f>
        <v>27690</v>
      </c>
      <c r="F8" s="400"/>
      <c r="G8" s="400"/>
      <c r="H8" s="400"/>
      <c r="I8" s="400"/>
      <c r="J8" s="400"/>
      <c r="K8" s="400"/>
      <c r="L8" s="400"/>
      <c r="M8" s="400"/>
      <c r="N8" s="400"/>
    </row>
    <row r="9" spans="1:14" ht="15">
      <c r="A9" s="335" t="s">
        <v>482</v>
      </c>
      <c r="B9" s="332"/>
      <c r="C9" s="328">
        <v>0</v>
      </c>
      <c r="D9" s="142">
        <v>0</v>
      </c>
      <c r="E9" s="142">
        <f>inputOth!E50</f>
        <v>0</v>
      </c>
      <c r="F9" s="400"/>
      <c r="G9" s="400"/>
      <c r="H9" s="400"/>
      <c r="I9" s="400"/>
      <c r="J9" s="400"/>
      <c r="K9" s="400"/>
      <c r="L9" s="400"/>
      <c r="M9" s="400"/>
      <c r="N9" s="400"/>
    </row>
    <row r="10" spans="1:14" ht="15">
      <c r="A10" s="316" t="s">
        <v>24</v>
      </c>
      <c r="B10" s="333"/>
      <c r="C10" s="328">
        <v>0</v>
      </c>
      <c r="D10" s="9">
        <v>800</v>
      </c>
      <c r="E10" s="9">
        <v>800</v>
      </c>
      <c r="F10" s="400"/>
      <c r="G10" s="400"/>
      <c r="H10" s="400"/>
      <c r="I10" s="400"/>
      <c r="J10" s="400"/>
      <c r="K10" s="400"/>
      <c r="L10" s="400"/>
      <c r="M10" s="400"/>
      <c r="N10" s="400"/>
    </row>
    <row r="11" spans="1:14" ht="15">
      <c r="A11" s="336" t="s">
        <v>397</v>
      </c>
      <c r="B11" s="332"/>
      <c r="C11" s="328">
        <v>0</v>
      </c>
      <c r="D11" s="328">
        <v>0</v>
      </c>
      <c r="E11" s="328">
        <v>0</v>
      </c>
      <c r="F11" s="400"/>
      <c r="G11" s="400"/>
      <c r="H11" s="400"/>
      <c r="I11" s="400"/>
      <c r="J11" s="400"/>
      <c r="K11" s="400"/>
      <c r="L11" s="400"/>
      <c r="M11" s="400"/>
      <c r="N11" s="400"/>
    </row>
    <row r="12" spans="1:14" ht="15">
      <c r="A12" s="326" t="s">
        <v>399</v>
      </c>
      <c r="B12" s="332"/>
      <c r="C12" s="366">
        <f>IF(C13*0.1&lt;C11,"Exceed 10% Rule","")</f>
      </c>
      <c r="D12" s="366">
        <f>IF(D13*0.1&lt;D11,"Exceed 10% Rule","")</f>
      </c>
      <c r="E12" s="366">
        <f>IF(E13*0.1&lt;E11,"Exceed 10% Rule","")</f>
      </c>
      <c r="F12" s="400"/>
      <c r="G12" s="400"/>
      <c r="H12" s="400"/>
      <c r="I12" s="400"/>
      <c r="J12" s="400"/>
      <c r="K12" s="400"/>
      <c r="L12" s="400"/>
      <c r="M12" s="400"/>
      <c r="N12" s="400"/>
    </row>
    <row r="13" spans="1:14" ht="15">
      <c r="A13" s="152" t="s">
        <v>107</v>
      </c>
      <c r="B13" s="332"/>
      <c r="C13" s="329">
        <f>SUM(C8:C11)</f>
        <v>27272</v>
      </c>
      <c r="D13" s="268">
        <f>SUM(D8:D11)</f>
        <v>27950</v>
      </c>
      <c r="E13" s="268">
        <f>SUM(E8:E11)</f>
        <v>28490</v>
      </c>
      <c r="F13" s="400"/>
      <c r="G13" s="400"/>
      <c r="H13" s="400"/>
      <c r="I13" s="400"/>
      <c r="J13" s="400"/>
      <c r="K13" s="400"/>
      <c r="L13" s="400"/>
      <c r="M13" s="400"/>
      <c r="N13" s="400"/>
    </row>
    <row r="14" spans="1:14" ht="15">
      <c r="A14" s="152" t="s">
        <v>108</v>
      </c>
      <c r="B14" s="332"/>
      <c r="C14" s="329">
        <f>C6+C13</f>
        <v>27585</v>
      </c>
      <c r="D14" s="268">
        <f>D6+D13</f>
        <v>27950</v>
      </c>
      <c r="E14" s="268">
        <f>E6+E13</f>
        <v>28940</v>
      </c>
      <c r="F14" s="400"/>
      <c r="G14" s="400"/>
      <c r="H14" s="400"/>
      <c r="I14" s="400"/>
      <c r="J14" s="400"/>
      <c r="K14" s="400"/>
      <c r="L14" s="400"/>
      <c r="M14" s="400"/>
      <c r="N14" s="400"/>
    </row>
    <row r="15" spans="1:14" ht="15">
      <c r="A15" s="37" t="s">
        <v>110</v>
      </c>
      <c r="B15" s="332"/>
      <c r="C15" s="118"/>
      <c r="D15" s="85"/>
      <c r="E15" s="85"/>
      <c r="F15" s="400"/>
      <c r="G15" s="400"/>
      <c r="H15" s="400"/>
      <c r="I15" s="400"/>
      <c r="J15" s="400"/>
      <c r="K15" s="400"/>
      <c r="L15" s="400"/>
      <c r="M15" s="400"/>
      <c r="N15" s="400"/>
    </row>
    <row r="16" spans="1:14" ht="15">
      <c r="A16" s="316" t="s">
        <v>27</v>
      </c>
      <c r="B16" s="333"/>
      <c r="C16" s="328">
        <v>0</v>
      </c>
      <c r="D16" s="9">
        <v>0</v>
      </c>
      <c r="E16" s="9">
        <v>0</v>
      </c>
      <c r="F16" s="400"/>
      <c r="G16" s="400"/>
      <c r="H16" s="400"/>
      <c r="I16" s="400"/>
      <c r="J16" s="400"/>
      <c r="K16" s="400"/>
      <c r="L16" s="400"/>
      <c r="M16" s="400"/>
      <c r="N16" s="400"/>
    </row>
    <row r="17" spans="1:14" ht="15">
      <c r="A17" s="316" t="s">
        <v>29</v>
      </c>
      <c r="B17" s="333"/>
      <c r="C17" s="328">
        <v>0</v>
      </c>
      <c r="D17" s="9">
        <v>0</v>
      </c>
      <c r="E17" s="9">
        <v>0</v>
      </c>
      <c r="F17" s="400"/>
      <c r="G17" s="400"/>
      <c r="H17" s="400"/>
      <c r="I17" s="400"/>
      <c r="J17" s="400"/>
      <c r="K17" s="400"/>
      <c r="L17" s="400"/>
      <c r="M17" s="400"/>
      <c r="N17" s="400"/>
    </row>
    <row r="18" spans="1:14" ht="15">
      <c r="A18" s="316" t="s">
        <v>26</v>
      </c>
      <c r="B18" s="333"/>
      <c r="C18" s="328">
        <v>0</v>
      </c>
      <c r="D18" s="9">
        <v>0</v>
      </c>
      <c r="E18" s="9">
        <v>0</v>
      </c>
      <c r="F18" s="400"/>
      <c r="G18" s="400"/>
      <c r="H18" s="400"/>
      <c r="I18" s="400"/>
      <c r="J18" s="400"/>
      <c r="K18" s="400"/>
      <c r="L18" s="400"/>
      <c r="M18" s="400"/>
      <c r="N18" s="400"/>
    </row>
    <row r="19" spans="1:14" ht="15">
      <c r="A19" s="316" t="s">
        <v>25</v>
      </c>
      <c r="B19" s="333"/>
      <c r="C19" s="328">
        <v>27585</v>
      </c>
      <c r="D19" s="9">
        <v>27500</v>
      </c>
      <c r="E19" s="9">
        <v>28940</v>
      </c>
      <c r="F19" s="400"/>
      <c r="G19" s="400"/>
      <c r="H19" s="400"/>
      <c r="I19" s="400"/>
      <c r="J19" s="400"/>
      <c r="K19" s="400"/>
      <c r="L19" s="400"/>
      <c r="M19" s="400"/>
      <c r="N19" s="400"/>
    </row>
    <row r="20" spans="1:14" ht="15">
      <c r="A20" s="334" t="s">
        <v>397</v>
      </c>
      <c r="B20" s="332"/>
      <c r="C20" s="328">
        <v>0</v>
      </c>
      <c r="D20" s="328">
        <v>0</v>
      </c>
      <c r="E20" s="328">
        <v>0</v>
      </c>
      <c r="F20" s="400"/>
      <c r="G20" s="400"/>
      <c r="H20" s="400"/>
      <c r="I20" s="400"/>
      <c r="J20" s="400"/>
      <c r="K20" s="400"/>
      <c r="L20" s="400"/>
      <c r="M20" s="400"/>
      <c r="N20" s="400"/>
    </row>
    <row r="21" spans="1:14" ht="15">
      <c r="A21" s="334" t="s">
        <v>398</v>
      </c>
      <c r="B21" s="332"/>
      <c r="C21" s="366">
        <f>IF(C22*0.1&lt;C20,"Exceed 10% Rule","")</f>
      </c>
      <c r="D21" s="366">
        <f>IF(D22*0.1&lt;D20,"Exceed 10% Rule","")</f>
      </c>
      <c r="E21" s="366">
        <f>IF(E22*0.1&lt;E20,"Exceed 10% Rule","")</f>
      </c>
      <c r="F21" s="400"/>
      <c r="G21" s="400"/>
      <c r="H21" s="400"/>
      <c r="I21" s="400"/>
      <c r="J21" s="400"/>
      <c r="K21" s="400"/>
      <c r="L21" s="400"/>
      <c r="M21" s="400"/>
      <c r="N21" s="400"/>
    </row>
    <row r="22" spans="1:14" ht="15">
      <c r="A22" s="152" t="s">
        <v>114</v>
      </c>
      <c r="B22" s="332"/>
      <c r="C22" s="329">
        <f>SUM(C16:C20)</f>
        <v>27585</v>
      </c>
      <c r="D22" s="268">
        <f>SUM(D16:D20)</f>
        <v>27500</v>
      </c>
      <c r="E22" s="268">
        <f>SUM(E16:E20)</f>
        <v>28940</v>
      </c>
      <c r="F22" s="412"/>
      <c r="G22" s="412"/>
      <c r="H22" s="412"/>
      <c r="I22" s="412"/>
      <c r="J22" s="412"/>
      <c r="K22" s="412"/>
      <c r="L22" s="412"/>
      <c r="M22" s="412"/>
      <c r="N22" s="400"/>
    </row>
    <row r="23" spans="1:14" ht="15">
      <c r="A23" s="37" t="s">
        <v>235</v>
      </c>
      <c r="B23" s="332"/>
      <c r="C23" s="330">
        <f>C14-C22</f>
        <v>0</v>
      </c>
      <c r="D23" s="267">
        <f>D14-D22</f>
        <v>450</v>
      </c>
      <c r="E23" s="267">
        <f>E14-E22</f>
        <v>0</v>
      </c>
      <c r="F23" s="412"/>
      <c r="G23" s="412"/>
      <c r="H23" s="412"/>
      <c r="I23" s="412"/>
      <c r="J23" s="412"/>
      <c r="K23" s="412"/>
      <c r="L23" s="412"/>
      <c r="M23" s="412"/>
      <c r="N23" s="400"/>
    </row>
    <row r="24" spans="1:14" ht="15">
      <c r="A24" s="23" t="str">
        <f>CONCATENATE("",E1-2," Budget Authority Limited Amount:")</f>
        <v>2010 Budget Authority Limited Amount:</v>
      </c>
      <c r="B24" s="353">
        <f>inputOth!B62</f>
        <v>32390</v>
      </c>
      <c r="C24" s="65"/>
      <c r="D24" s="65"/>
      <c r="E24" s="65"/>
      <c r="F24" s="412"/>
      <c r="G24" s="412"/>
      <c r="H24" s="412"/>
      <c r="I24" s="412"/>
      <c r="J24" s="412"/>
      <c r="K24" s="412"/>
      <c r="L24" s="412"/>
      <c r="M24" s="412"/>
      <c r="N24" s="400"/>
    </row>
    <row r="25" spans="1:14" ht="15">
      <c r="A25" s="23" t="str">
        <f>CONCATENATE("Violation of Budget Law for ",E1-2,":")</f>
        <v>Violation of Budget Law for 2010:</v>
      </c>
      <c r="B25" s="354">
        <f>IF(C22&gt;B24,"Yes","")</f>
      </c>
      <c r="C25" s="65"/>
      <c r="D25" s="65"/>
      <c r="E25" s="65"/>
      <c r="F25" s="400"/>
      <c r="G25" s="400"/>
      <c r="H25" s="400"/>
      <c r="I25" s="400"/>
      <c r="J25" s="400"/>
      <c r="K25" s="400"/>
      <c r="L25" s="400"/>
      <c r="M25" s="400"/>
      <c r="N25" s="400"/>
    </row>
    <row r="26" spans="1:14" ht="15">
      <c r="A26" s="23" t="str">
        <f>CONCATENATE("Possible Cash Violation for ",E1-2,":")</f>
        <v>Possible Cash Violation for 2010:</v>
      </c>
      <c r="B26" s="354">
        <f>IF(C23&lt;0,"Yes","")</f>
      </c>
      <c r="C26" s="65"/>
      <c r="D26" s="65"/>
      <c r="E26" s="65"/>
      <c r="F26" s="400"/>
      <c r="G26" s="400"/>
      <c r="H26" s="400"/>
      <c r="I26" s="400"/>
      <c r="J26" s="400"/>
      <c r="K26" s="400"/>
      <c r="L26" s="400"/>
      <c r="M26" s="400"/>
      <c r="N26" s="400"/>
    </row>
    <row r="27" spans="1:14" ht="15">
      <c r="A27" s="21"/>
      <c r="B27" s="21"/>
      <c r="C27" s="65"/>
      <c r="D27" s="65"/>
      <c r="E27" s="65"/>
      <c r="F27" s="400"/>
      <c r="G27" s="400"/>
      <c r="H27" s="400"/>
      <c r="I27" s="400"/>
      <c r="J27" s="400"/>
      <c r="K27" s="400"/>
      <c r="L27" s="400"/>
      <c r="M27" s="400"/>
      <c r="N27" s="400"/>
    </row>
    <row r="28" spans="1:14" ht="15">
      <c r="A28" s="25" t="s">
        <v>100</v>
      </c>
      <c r="B28" s="25"/>
      <c r="C28" s="101"/>
      <c r="D28" s="101"/>
      <c r="E28" s="101"/>
      <c r="F28" s="400"/>
      <c r="G28" s="400"/>
      <c r="H28" s="400"/>
      <c r="I28" s="400"/>
      <c r="J28" s="400"/>
      <c r="K28" s="400"/>
      <c r="L28" s="400"/>
      <c r="M28" s="400"/>
      <c r="N28" s="400"/>
    </row>
    <row r="29" spans="1:14" ht="15">
      <c r="A29" s="21"/>
      <c r="B29" s="21"/>
      <c r="C29" s="93" t="s">
        <v>124</v>
      </c>
      <c r="D29" s="33" t="s">
        <v>262</v>
      </c>
      <c r="E29" s="33" t="s">
        <v>263</v>
      </c>
      <c r="F29" s="400"/>
      <c r="G29" s="400"/>
      <c r="H29" s="400"/>
      <c r="I29" s="400"/>
      <c r="J29" s="400"/>
      <c r="K29" s="400"/>
      <c r="L29" s="400"/>
      <c r="M29" s="400"/>
      <c r="N29" s="400"/>
    </row>
    <row r="30" spans="1:14" ht="15">
      <c r="A30" s="384" t="str">
        <f>(inputPrYr!B25)</f>
        <v>Water/Sewer/Refuse</v>
      </c>
      <c r="B30" s="137"/>
      <c r="C30" s="146">
        <f>C5</f>
        <v>2010</v>
      </c>
      <c r="D30" s="146">
        <f>D5</f>
        <v>2011</v>
      </c>
      <c r="E30" s="146">
        <f>E5</f>
        <v>2012</v>
      </c>
      <c r="F30" s="400"/>
      <c r="G30" s="400"/>
      <c r="H30" s="400"/>
      <c r="I30" s="400"/>
      <c r="J30" s="400"/>
      <c r="K30" s="400"/>
      <c r="L30" s="400"/>
      <c r="M30" s="400"/>
      <c r="N30" s="400"/>
    </row>
    <row r="31" spans="1:14" ht="15">
      <c r="A31" s="326" t="s">
        <v>234</v>
      </c>
      <c r="B31" s="332"/>
      <c r="C31" s="328">
        <v>110779</v>
      </c>
      <c r="D31" s="85">
        <f>C64</f>
        <v>237491</v>
      </c>
      <c r="E31" s="85">
        <f>D64</f>
        <v>250716</v>
      </c>
      <c r="F31" s="411"/>
      <c r="G31" s="400"/>
      <c r="H31" s="400"/>
      <c r="I31" s="400"/>
      <c r="J31" s="400"/>
      <c r="K31" s="400"/>
      <c r="L31" s="400"/>
      <c r="M31" s="400"/>
      <c r="N31" s="400"/>
    </row>
    <row r="32" spans="1:14" ht="15">
      <c r="A32" s="331" t="s">
        <v>236</v>
      </c>
      <c r="B32" s="332"/>
      <c r="C32" s="320"/>
      <c r="D32" s="40"/>
      <c r="E32" s="40"/>
      <c r="F32" s="400"/>
      <c r="G32" s="400"/>
      <c r="H32" s="400"/>
      <c r="I32" s="400"/>
      <c r="J32" s="400"/>
      <c r="K32" s="400"/>
      <c r="L32" s="400"/>
      <c r="M32" s="400"/>
      <c r="N32" s="400"/>
    </row>
    <row r="33" spans="1:14" ht="15">
      <c r="A33" s="316" t="s">
        <v>31</v>
      </c>
      <c r="B33" s="333"/>
      <c r="C33" s="328">
        <v>6816</v>
      </c>
      <c r="D33" s="9">
        <v>7100</v>
      </c>
      <c r="E33" s="9">
        <v>7200</v>
      </c>
      <c r="F33" s="400"/>
      <c r="G33" s="400"/>
      <c r="H33" s="400"/>
      <c r="I33" s="400"/>
      <c r="J33" s="400"/>
      <c r="K33" s="400"/>
      <c r="L33" s="400"/>
      <c r="M33" s="400"/>
      <c r="N33" s="400"/>
    </row>
    <row r="34" spans="1:14" ht="15">
      <c r="A34" s="316" t="s">
        <v>32</v>
      </c>
      <c r="B34" s="333"/>
      <c r="C34" s="328">
        <v>142764</v>
      </c>
      <c r="D34" s="9">
        <v>167300</v>
      </c>
      <c r="E34" s="9">
        <v>178000</v>
      </c>
      <c r="F34" s="412"/>
      <c r="G34" s="400"/>
      <c r="H34" s="400"/>
      <c r="I34" s="400"/>
      <c r="J34" s="400"/>
      <c r="K34" s="400"/>
      <c r="L34" s="400"/>
      <c r="M34" s="400"/>
      <c r="N34" s="400"/>
    </row>
    <row r="35" spans="1:14" ht="15">
      <c r="A35" s="316" t="s">
        <v>33</v>
      </c>
      <c r="B35" s="333"/>
      <c r="C35" s="328">
        <v>31109</v>
      </c>
      <c r="D35" s="9">
        <v>32750</v>
      </c>
      <c r="E35" s="9">
        <v>33000</v>
      </c>
      <c r="F35" s="412"/>
      <c r="G35" s="400"/>
      <c r="H35" s="400"/>
      <c r="I35" s="400"/>
      <c r="J35" s="400"/>
      <c r="K35" s="400"/>
      <c r="L35" s="400"/>
      <c r="M35" s="400"/>
      <c r="N35" s="400"/>
    </row>
    <row r="36" spans="1:14" ht="15">
      <c r="A36" s="316" t="s">
        <v>34</v>
      </c>
      <c r="B36" s="333"/>
      <c r="C36" s="328">
        <v>74064</v>
      </c>
      <c r="D36" s="9">
        <v>74700</v>
      </c>
      <c r="E36" s="9">
        <v>74850</v>
      </c>
      <c r="F36" s="412"/>
      <c r="G36" s="400"/>
      <c r="H36" s="400"/>
      <c r="I36" s="400"/>
      <c r="J36" s="400"/>
      <c r="K36" s="400"/>
      <c r="L36" s="400"/>
      <c r="M36" s="400"/>
      <c r="N36" s="400"/>
    </row>
    <row r="37" spans="1:14" ht="15">
      <c r="A37" s="316" t="s">
        <v>35</v>
      </c>
      <c r="B37" s="333"/>
      <c r="C37" s="328">
        <v>4739</v>
      </c>
      <c r="D37" s="9">
        <v>5800</v>
      </c>
      <c r="E37" s="9">
        <v>5850</v>
      </c>
      <c r="F37" s="400"/>
      <c r="G37" s="400"/>
      <c r="H37" s="400"/>
      <c r="I37" s="400"/>
      <c r="J37" s="400"/>
      <c r="K37" s="400"/>
      <c r="L37" s="400"/>
      <c r="M37" s="400"/>
      <c r="N37" s="400"/>
    </row>
    <row r="38" spans="1:14" ht="15">
      <c r="A38" s="316" t="s">
        <v>475</v>
      </c>
      <c r="B38" s="333"/>
      <c r="C38" s="328">
        <v>498</v>
      </c>
      <c r="D38" s="9">
        <v>500</v>
      </c>
      <c r="E38" s="9">
        <v>500</v>
      </c>
      <c r="F38" s="400"/>
      <c r="G38" s="400"/>
      <c r="H38" s="400"/>
      <c r="I38" s="400"/>
      <c r="J38" s="400"/>
      <c r="K38" s="400"/>
      <c r="L38" s="400"/>
      <c r="M38" s="400"/>
      <c r="N38" s="400"/>
    </row>
    <row r="39" spans="1:14" ht="15">
      <c r="A39" s="316" t="s">
        <v>36</v>
      </c>
      <c r="B39" s="333"/>
      <c r="C39" s="328">
        <v>90</v>
      </c>
      <c r="D39" s="9">
        <v>0</v>
      </c>
      <c r="E39" s="9">
        <v>0</v>
      </c>
      <c r="F39" s="400"/>
      <c r="G39" s="400"/>
      <c r="H39" s="400"/>
      <c r="I39" s="400"/>
      <c r="J39" s="400"/>
      <c r="K39" s="400"/>
      <c r="L39" s="400"/>
      <c r="M39" s="400"/>
      <c r="N39" s="400"/>
    </row>
    <row r="40" spans="1:14" ht="15">
      <c r="A40" s="316" t="s">
        <v>471</v>
      </c>
      <c r="B40" s="333"/>
      <c r="C40" s="328">
        <v>123</v>
      </c>
      <c r="D40" s="9">
        <v>0</v>
      </c>
      <c r="E40" s="9">
        <v>0</v>
      </c>
      <c r="F40" s="400"/>
      <c r="G40" s="400"/>
      <c r="H40" s="400"/>
      <c r="I40" s="400"/>
      <c r="J40" s="400"/>
      <c r="K40" s="400"/>
      <c r="L40" s="400"/>
      <c r="M40" s="400"/>
      <c r="N40" s="400"/>
    </row>
    <row r="41" spans="1:14" ht="15">
      <c r="A41" s="316" t="s">
        <v>106</v>
      </c>
      <c r="B41" s="333"/>
      <c r="C41" s="328">
        <v>1200</v>
      </c>
      <c r="D41" s="9">
        <v>2850</v>
      </c>
      <c r="E41" s="9">
        <v>2950</v>
      </c>
      <c r="F41" s="400"/>
      <c r="G41" s="400"/>
      <c r="H41" s="400"/>
      <c r="I41" s="400"/>
      <c r="J41" s="400"/>
      <c r="K41" s="400"/>
      <c r="L41" s="400"/>
      <c r="M41" s="400"/>
      <c r="N41" s="400"/>
    </row>
    <row r="42" spans="1:14" ht="15">
      <c r="A42" s="316" t="s">
        <v>53</v>
      </c>
      <c r="B42" s="333"/>
      <c r="C42" s="328">
        <v>0</v>
      </c>
      <c r="D42" s="328">
        <v>125</v>
      </c>
      <c r="E42" s="328">
        <v>125</v>
      </c>
      <c r="F42" s="400"/>
      <c r="G42" s="400"/>
      <c r="H42" s="400"/>
      <c r="I42" s="400"/>
      <c r="J42" s="400"/>
      <c r="K42" s="400"/>
      <c r="L42" s="400"/>
      <c r="M42" s="400"/>
      <c r="N42" s="400"/>
    </row>
    <row r="43" spans="1:14" ht="15">
      <c r="A43" s="316" t="s">
        <v>521</v>
      </c>
      <c r="B43" s="333"/>
      <c r="C43" s="328">
        <v>25</v>
      </c>
      <c r="D43" s="328">
        <v>0</v>
      </c>
      <c r="E43" s="328">
        <v>0</v>
      </c>
      <c r="F43" s="400"/>
      <c r="G43" s="400"/>
      <c r="H43" s="400"/>
      <c r="I43" s="400"/>
      <c r="J43" s="400"/>
      <c r="K43" s="400"/>
      <c r="L43" s="400"/>
      <c r="M43" s="400"/>
      <c r="N43" s="400"/>
    </row>
    <row r="44" spans="1:14" ht="15">
      <c r="A44" s="336" t="s">
        <v>397</v>
      </c>
      <c r="B44" s="332"/>
      <c r="C44" s="328">
        <v>0</v>
      </c>
      <c r="D44" s="328">
        <v>2000</v>
      </c>
      <c r="E44" s="328">
        <v>2000</v>
      </c>
      <c r="F44" s="400"/>
      <c r="G44" s="400"/>
      <c r="H44" s="400"/>
      <c r="I44" s="400"/>
      <c r="J44" s="400"/>
      <c r="K44" s="400"/>
      <c r="L44" s="400"/>
      <c r="M44" s="400"/>
      <c r="N44" s="400"/>
    </row>
    <row r="45" spans="1:14" ht="15">
      <c r="A45" s="326" t="s">
        <v>399</v>
      </c>
      <c r="B45" s="332"/>
      <c r="C45" s="366">
        <f>IF(C46*0.1&lt;C44,"Exceed 10% Rule","")</f>
      </c>
      <c r="D45" s="366">
        <f>IF(D46*0.1&lt;D44,"Exceed 10% Rule","")</f>
      </c>
      <c r="E45" s="366">
        <f>IF(E46*0.1&lt;E44,"Exceed 10% Rule","")</f>
      </c>
      <c r="F45" s="400"/>
      <c r="G45" s="400"/>
      <c r="H45" s="400"/>
      <c r="I45" s="400"/>
      <c r="J45" s="400"/>
      <c r="K45" s="400"/>
      <c r="L45" s="400"/>
      <c r="M45" s="400"/>
      <c r="N45" s="400"/>
    </row>
    <row r="46" spans="1:14" ht="15">
      <c r="A46" s="152" t="s">
        <v>107</v>
      </c>
      <c r="B46" s="332"/>
      <c r="C46" s="329">
        <f>SUM(C33:C44)</f>
        <v>261428</v>
      </c>
      <c r="D46" s="268">
        <f>SUM(D33:D44)</f>
        <v>293125</v>
      </c>
      <c r="E46" s="268">
        <f>SUM(E33:E44)</f>
        <v>304475</v>
      </c>
      <c r="F46" s="400"/>
      <c r="G46" s="400"/>
      <c r="H46" s="400"/>
      <c r="I46" s="400"/>
      <c r="J46" s="400"/>
      <c r="K46" s="400"/>
      <c r="L46" s="400"/>
      <c r="M46" s="400"/>
      <c r="N46" s="400"/>
    </row>
    <row r="47" spans="1:14" ht="15">
      <c r="A47" s="152" t="s">
        <v>108</v>
      </c>
      <c r="B47" s="332"/>
      <c r="C47" s="329">
        <f>C31+C46</f>
        <v>372207</v>
      </c>
      <c r="D47" s="268">
        <f>D31+D46</f>
        <v>530616</v>
      </c>
      <c r="E47" s="268">
        <f>E31+E46</f>
        <v>555191</v>
      </c>
      <c r="F47" s="400"/>
      <c r="G47" s="400"/>
      <c r="H47" s="400"/>
      <c r="I47" s="400"/>
      <c r="J47" s="400"/>
      <c r="K47" s="400"/>
      <c r="L47" s="400"/>
      <c r="M47" s="400"/>
      <c r="N47" s="400"/>
    </row>
    <row r="48" spans="1:14" ht="15">
      <c r="A48" s="37" t="s">
        <v>110</v>
      </c>
      <c r="B48" s="332"/>
      <c r="C48" s="118"/>
      <c r="D48" s="85"/>
      <c r="E48" s="85"/>
      <c r="F48" s="400"/>
      <c r="G48" s="400"/>
      <c r="H48" s="400"/>
      <c r="I48" s="400"/>
      <c r="J48" s="400"/>
      <c r="K48" s="400"/>
      <c r="L48" s="400"/>
      <c r="M48" s="400"/>
      <c r="N48" s="400"/>
    </row>
    <row r="49" spans="1:14" ht="15">
      <c r="A49" s="316" t="s">
        <v>38</v>
      </c>
      <c r="B49" s="333"/>
      <c r="C49" s="328">
        <v>0</v>
      </c>
      <c r="D49" s="9">
        <v>0</v>
      </c>
      <c r="E49" s="9">
        <v>0</v>
      </c>
      <c r="F49" s="400"/>
      <c r="G49" s="400"/>
      <c r="H49" s="400"/>
      <c r="I49" s="400"/>
      <c r="J49" s="400"/>
      <c r="K49" s="400"/>
      <c r="L49" s="400"/>
      <c r="M49" s="400"/>
      <c r="N49" s="400"/>
    </row>
    <row r="50" spans="1:14" ht="15">
      <c r="A50" s="316" t="s">
        <v>39</v>
      </c>
      <c r="B50" s="333"/>
      <c r="C50" s="328">
        <v>30387</v>
      </c>
      <c r="D50" s="9">
        <v>33500</v>
      </c>
      <c r="E50" s="9">
        <v>35000</v>
      </c>
      <c r="F50" s="400"/>
      <c r="G50" s="400"/>
      <c r="H50" s="400"/>
      <c r="I50" s="400"/>
      <c r="J50" s="400"/>
      <c r="K50" s="400"/>
      <c r="L50" s="400"/>
      <c r="M50" s="400"/>
      <c r="N50" s="400"/>
    </row>
    <row r="51" spans="1:14" ht="15">
      <c r="A51" s="316" t="s">
        <v>40</v>
      </c>
      <c r="B51" s="333"/>
      <c r="C51" s="328">
        <v>6309</v>
      </c>
      <c r="D51" s="9">
        <v>9000</v>
      </c>
      <c r="E51" s="9">
        <v>10500</v>
      </c>
      <c r="F51" s="400"/>
      <c r="G51" s="400"/>
      <c r="H51" s="400"/>
      <c r="I51" s="400"/>
      <c r="J51" s="400"/>
      <c r="K51" s="400"/>
      <c r="L51" s="400"/>
      <c r="M51" s="400"/>
      <c r="N51" s="400"/>
    </row>
    <row r="52" spans="1:14" ht="15">
      <c r="A52" s="316" t="s">
        <v>41</v>
      </c>
      <c r="B52" s="333"/>
      <c r="C52" s="328">
        <v>13509</v>
      </c>
      <c r="D52" s="9">
        <v>13900</v>
      </c>
      <c r="E52" s="9">
        <v>14300</v>
      </c>
      <c r="F52" s="400"/>
      <c r="G52" s="400"/>
      <c r="H52" s="400"/>
      <c r="I52" s="400"/>
      <c r="J52" s="400"/>
      <c r="K52" s="400"/>
      <c r="L52" s="400"/>
      <c r="M52" s="400"/>
      <c r="N52" s="400"/>
    </row>
    <row r="53" spans="1:14" ht="15">
      <c r="A53" s="316" t="s">
        <v>519</v>
      </c>
      <c r="B53" s="333"/>
      <c r="C53" s="328">
        <v>4810</v>
      </c>
      <c r="D53" s="9">
        <v>5300</v>
      </c>
      <c r="E53" s="9">
        <v>5300</v>
      </c>
      <c r="F53" s="400"/>
      <c r="G53" s="400"/>
      <c r="H53" s="400"/>
      <c r="I53" s="400"/>
      <c r="J53" s="400"/>
      <c r="K53" s="400"/>
      <c r="L53" s="400"/>
      <c r="M53" s="400"/>
      <c r="N53" s="400"/>
    </row>
    <row r="54" spans="1:14" ht="15">
      <c r="A54" s="316" t="s">
        <v>42</v>
      </c>
      <c r="B54" s="333"/>
      <c r="C54" s="328">
        <v>1042</v>
      </c>
      <c r="D54" s="9">
        <v>0</v>
      </c>
      <c r="E54" s="9">
        <v>257680</v>
      </c>
      <c r="F54" s="400"/>
      <c r="G54" s="400"/>
      <c r="H54" s="400"/>
      <c r="I54" s="400"/>
      <c r="J54" s="400"/>
      <c r="K54" s="400"/>
      <c r="L54" s="400"/>
      <c r="M54" s="400"/>
      <c r="N54" s="400"/>
    </row>
    <row r="55" spans="1:14" ht="15">
      <c r="A55" s="316" t="s">
        <v>43</v>
      </c>
      <c r="B55" s="333"/>
      <c r="C55" s="328">
        <v>73200</v>
      </c>
      <c r="D55" s="9">
        <v>73200</v>
      </c>
      <c r="E55" s="9">
        <v>73200</v>
      </c>
      <c r="F55" s="412"/>
      <c r="G55" s="400"/>
      <c r="H55" s="400"/>
      <c r="I55" s="400"/>
      <c r="J55" s="400"/>
      <c r="K55" s="400"/>
      <c r="L55" s="400"/>
      <c r="M55" s="400"/>
      <c r="N55" s="400"/>
    </row>
    <row r="56" spans="1:14" ht="15">
      <c r="A56" s="316" t="s">
        <v>520</v>
      </c>
      <c r="B56" s="333"/>
      <c r="C56" s="328">
        <v>0</v>
      </c>
      <c r="D56" s="9">
        <v>5000</v>
      </c>
      <c r="E56" s="9">
        <v>5000</v>
      </c>
      <c r="F56" s="400"/>
      <c r="G56" s="400"/>
      <c r="H56" s="400"/>
      <c r="I56" s="400"/>
      <c r="J56" s="400"/>
      <c r="K56" s="400"/>
      <c r="L56" s="400"/>
      <c r="M56" s="400"/>
      <c r="N56" s="400"/>
    </row>
    <row r="57" spans="1:14" ht="15">
      <c r="A57" s="316" t="s">
        <v>493</v>
      </c>
      <c r="B57" s="333"/>
      <c r="C57" s="328">
        <v>25</v>
      </c>
      <c r="D57" s="9">
        <v>0</v>
      </c>
      <c r="E57" s="9">
        <v>0</v>
      </c>
      <c r="F57" s="400"/>
      <c r="G57" s="400"/>
      <c r="H57" s="400"/>
      <c r="I57" s="400"/>
      <c r="J57" s="400"/>
      <c r="K57" s="400"/>
      <c r="L57" s="400"/>
      <c r="M57" s="400"/>
      <c r="N57" s="400"/>
    </row>
    <row r="58" spans="1:14" ht="15">
      <c r="A58" s="316" t="s">
        <v>37</v>
      </c>
      <c r="B58" s="333"/>
      <c r="C58" s="328">
        <v>5000</v>
      </c>
      <c r="D58" s="9">
        <v>140000</v>
      </c>
      <c r="E58" s="9">
        <v>140000</v>
      </c>
      <c r="F58" s="400"/>
      <c r="G58" s="400"/>
      <c r="H58" s="400"/>
      <c r="I58" s="400"/>
      <c r="J58" s="400"/>
      <c r="K58" s="400"/>
      <c r="L58" s="400"/>
      <c r="M58" s="400"/>
      <c r="N58" s="400"/>
    </row>
    <row r="59" spans="1:14" ht="15">
      <c r="A59" s="316" t="s">
        <v>485</v>
      </c>
      <c r="B59" s="333"/>
      <c r="C59" s="328">
        <v>0</v>
      </c>
      <c r="D59" s="328">
        <v>0</v>
      </c>
      <c r="E59" s="328">
        <v>14211</v>
      </c>
      <c r="F59" s="411"/>
      <c r="G59" s="400"/>
      <c r="H59" s="400"/>
      <c r="I59" s="400"/>
      <c r="J59" s="400"/>
      <c r="K59" s="400"/>
      <c r="L59" s="400"/>
      <c r="M59" s="400"/>
      <c r="N59" s="400"/>
    </row>
    <row r="60" spans="1:14" ht="15">
      <c r="A60" s="316" t="s">
        <v>481</v>
      </c>
      <c r="B60" s="333"/>
      <c r="C60" s="328">
        <v>434</v>
      </c>
      <c r="D60" s="328">
        <v>0</v>
      </c>
      <c r="E60" s="328">
        <v>0</v>
      </c>
      <c r="F60" s="400"/>
      <c r="G60" s="400"/>
      <c r="H60" s="400"/>
      <c r="I60" s="400"/>
      <c r="J60" s="400"/>
      <c r="K60" s="400"/>
      <c r="L60" s="400"/>
      <c r="M60" s="400"/>
      <c r="N60" s="400"/>
    </row>
    <row r="61" spans="1:14" ht="15">
      <c r="A61" s="334" t="s">
        <v>397</v>
      </c>
      <c r="B61" s="332"/>
      <c r="C61" s="328">
        <v>0</v>
      </c>
      <c r="D61" s="328">
        <v>0</v>
      </c>
      <c r="E61" s="328">
        <v>0</v>
      </c>
      <c r="F61" s="400"/>
      <c r="G61" s="400"/>
      <c r="H61" s="400"/>
      <c r="I61" s="400"/>
      <c r="J61" s="400"/>
      <c r="K61" s="400"/>
      <c r="L61" s="400"/>
      <c r="M61" s="400"/>
      <c r="N61" s="400"/>
    </row>
    <row r="62" spans="1:14" ht="15">
      <c r="A62" s="334" t="s">
        <v>398</v>
      </c>
      <c r="B62" s="332"/>
      <c r="C62" s="366">
        <f>IF(C63*0.1&lt;C61,"Exceed 10% Rule","")</f>
      </c>
      <c r="D62" s="366">
        <f>IF(D63*0.1&lt;D61,"Exceed 10% Rule","")</f>
      </c>
      <c r="E62" s="366">
        <f>IF(E63*0.1&lt;E61,"Exceed 10% Rule","")</f>
      </c>
      <c r="F62" s="400"/>
      <c r="G62" s="400"/>
      <c r="H62" s="400"/>
      <c r="I62" s="400"/>
      <c r="J62" s="400"/>
      <c r="K62" s="400"/>
      <c r="L62" s="400"/>
      <c r="M62" s="400"/>
      <c r="N62" s="400"/>
    </row>
    <row r="63" spans="1:14" ht="15">
      <c r="A63" s="152" t="s">
        <v>114</v>
      </c>
      <c r="B63" s="332"/>
      <c r="C63" s="329">
        <f>SUM(C49:C61)</f>
        <v>134716</v>
      </c>
      <c r="D63" s="268">
        <f>SUM(D49:D61)</f>
        <v>279900</v>
      </c>
      <c r="E63" s="268">
        <f>SUM(E49:E61)</f>
        <v>555191</v>
      </c>
      <c r="F63" s="412"/>
      <c r="G63" s="412"/>
      <c r="H63" s="412"/>
      <c r="I63" s="412"/>
      <c r="J63" s="412"/>
      <c r="K63" s="412"/>
      <c r="L63" s="400"/>
      <c r="M63" s="400"/>
      <c r="N63" s="400"/>
    </row>
    <row r="64" spans="1:14" ht="15">
      <c r="A64" s="37" t="s">
        <v>235</v>
      </c>
      <c r="B64" s="332"/>
      <c r="C64" s="330">
        <f>C47-C63</f>
        <v>237491</v>
      </c>
      <c r="D64" s="267">
        <f>D47-D63</f>
        <v>250716</v>
      </c>
      <c r="E64" s="267">
        <f>E47-E63</f>
        <v>0</v>
      </c>
      <c r="F64" s="412"/>
      <c r="G64" s="412"/>
      <c r="H64" s="412"/>
      <c r="I64" s="412"/>
      <c r="J64" s="412"/>
      <c r="K64" s="412"/>
      <c r="L64" s="400"/>
      <c r="M64" s="400"/>
      <c r="N64" s="400"/>
    </row>
    <row r="65" spans="1:14" ht="15">
      <c r="A65" s="23" t="str">
        <f>CONCATENATE("",E1-2," Budget Authority Limited Amount:")</f>
        <v>2010 Budget Authority Limited Amount:</v>
      </c>
      <c r="B65" s="353">
        <f>inputOth!B63</f>
        <v>300532</v>
      </c>
      <c r="C65" s="21"/>
      <c r="D65" s="21"/>
      <c r="E65" s="21"/>
      <c r="F65" s="412"/>
      <c r="G65" s="412"/>
      <c r="H65" s="412"/>
      <c r="I65" s="412"/>
      <c r="J65" s="412"/>
      <c r="K65" s="412"/>
      <c r="L65" s="400"/>
      <c r="M65" s="400"/>
      <c r="N65" s="400"/>
    </row>
    <row r="66" spans="1:14" ht="15">
      <c r="A66" s="23" t="str">
        <f>CONCATENATE("Violation of Budget Law for ",E1-2,":")</f>
        <v>Violation of Budget Law for 2010:</v>
      </c>
      <c r="B66" s="354">
        <f>IF(C63&gt;B65,"Yes","")</f>
      </c>
      <c r="C66" s="21"/>
      <c r="D66" s="21"/>
      <c r="E66" s="21"/>
      <c r="F66" s="400"/>
      <c r="G66" s="400"/>
      <c r="H66" s="400"/>
      <c r="I66" s="400"/>
      <c r="J66" s="400"/>
      <c r="K66" s="400"/>
      <c r="L66" s="400"/>
      <c r="M66" s="400"/>
      <c r="N66" s="400"/>
    </row>
    <row r="67" spans="1:14" ht="15">
      <c r="A67" s="23" t="str">
        <f>CONCATENATE("Possible Cash Violation for ",E1-2,":")</f>
        <v>Possible Cash Violation for 2010:</v>
      </c>
      <c r="B67" s="354">
        <f>IF(C64&lt;0,"Yes","")</f>
      </c>
      <c r="C67" s="21"/>
      <c r="D67" s="21"/>
      <c r="E67" s="21"/>
      <c r="F67" s="400"/>
      <c r="G67" s="400"/>
      <c r="H67" s="400"/>
      <c r="I67" s="400"/>
      <c r="J67" s="400"/>
      <c r="K67" s="400"/>
      <c r="L67" s="400"/>
      <c r="M67" s="400"/>
      <c r="N67" s="400"/>
    </row>
    <row r="68" spans="1:14" ht="15">
      <c r="A68" s="21"/>
      <c r="B68" s="21"/>
      <c r="C68" s="21"/>
      <c r="D68" s="21"/>
      <c r="E68" s="21"/>
      <c r="F68" s="400"/>
      <c r="G68" s="400"/>
      <c r="H68" s="400"/>
      <c r="I68" s="400"/>
      <c r="J68" s="400"/>
      <c r="K68" s="400"/>
      <c r="L68" s="400"/>
      <c r="M68" s="400"/>
      <c r="N68" s="400"/>
    </row>
    <row r="69" spans="1:14" ht="15">
      <c r="A69" s="24"/>
      <c r="B69" s="24" t="s">
        <v>118</v>
      </c>
      <c r="C69" s="16">
        <v>9</v>
      </c>
      <c r="D69" s="21"/>
      <c r="E69" s="21"/>
      <c r="F69" s="400"/>
      <c r="G69" s="400"/>
      <c r="H69" s="400"/>
      <c r="I69" s="400"/>
      <c r="J69" s="400"/>
      <c r="K69" s="400"/>
      <c r="L69" s="400"/>
      <c r="M69" s="400"/>
      <c r="N69" s="400"/>
    </row>
  </sheetData>
  <sheetProtection/>
  <conditionalFormatting sqref="C44">
    <cfRule type="cellIs" priority="1" dxfId="138" operator="greaterThan" stopIfTrue="1">
      <formula>$C$46*0.1</formula>
    </cfRule>
  </conditionalFormatting>
  <conditionalFormatting sqref="D44">
    <cfRule type="cellIs" priority="2" dxfId="138" operator="greaterThan" stopIfTrue="1">
      <formula>$D$46*0.1</formula>
    </cfRule>
  </conditionalFormatting>
  <conditionalFormatting sqref="E44">
    <cfRule type="cellIs" priority="3" dxfId="138" operator="greaterThan" stopIfTrue="1">
      <formula>$E$46*0.1</formula>
    </cfRule>
  </conditionalFormatting>
  <conditionalFormatting sqref="C61">
    <cfRule type="cellIs" priority="4" dxfId="138" operator="greaterThan" stopIfTrue="1">
      <formula>$C$63*0.1</formula>
    </cfRule>
  </conditionalFormatting>
  <conditionalFormatting sqref="D61">
    <cfRule type="cellIs" priority="5" dxfId="138" operator="greaterThan" stopIfTrue="1">
      <formula>$D$63*0.1</formula>
    </cfRule>
  </conditionalFormatting>
  <conditionalFormatting sqref="E61">
    <cfRule type="cellIs" priority="6" dxfId="138" operator="greaterThan" stopIfTrue="1">
      <formula>$E$63*0.1</formula>
    </cfRule>
  </conditionalFormatting>
  <conditionalFormatting sqref="C20">
    <cfRule type="cellIs" priority="7" dxfId="138" operator="greaterThan" stopIfTrue="1">
      <formula>$C$22*0.1</formula>
    </cfRule>
  </conditionalFormatting>
  <conditionalFormatting sqref="D20">
    <cfRule type="cellIs" priority="8" dxfId="138" operator="greaterThan" stopIfTrue="1">
      <formula>$D$22*0.1</formula>
    </cfRule>
  </conditionalFormatting>
  <conditionalFormatting sqref="E20">
    <cfRule type="cellIs" priority="9" dxfId="138" operator="greaterThan" stopIfTrue="1">
      <formula>$E$22*0.1</formula>
    </cfRule>
  </conditionalFormatting>
  <conditionalFormatting sqref="C11">
    <cfRule type="cellIs" priority="10" dxfId="138" operator="greaterThan" stopIfTrue="1">
      <formula>$C$13*0.1</formula>
    </cfRule>
  </conditionalFormatting>
  <conditionalFormatting sqref="D11">
    <cfRule type="cellIs" priority="11" dxfId="138" operator="greaterThan" stopIfTrue="1">
      <formula>$D$13*0.1</formula>
    </cfRule>
  </conditionalFormatting>
  <conditionalFormatting sqref="E11">
    <cfRule type="cellIs" priority="12" dxfId="138" operator="greaterThan" stopIfTrue="1">
      <formula>$E$13*0.1</formula>
    </cfRule>
  </conditionalFormatting>
  <printOptions/>
  <pageMargins left="0.5" right="0.5" top="1" bottom="0.5" header="0.5" footer="0.5"/>
  <pageSetup blackAndWhite="1" fitToHeight="1" fitToWidth="1" horizontalDpi="600" verticalDpi="600" orientation="portrait" scale="63" r:id="rId1"/>
  <headerFooter alignWithMargins="0">
    <oddHeader>&amp;RState of Kansas
City</oddHeader>
    <oddFooter>&amp;Lrevised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L18" sqref="L18"/>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178</v>
      </c>
      <c r="B3" s="90"/>
      <c r="C3" s="96"/>
      <c r="D3" s="96"/>
      <c r="E3" s="96"/>
    </row>
    <row r="4" spans="1:5" ht="15">
      <c r="A4" s="25" t="s">
        <v>100</v>
      </c>
      <c r="B4" s="25"/>
      <c r="C4" s="93" t="s">
        <v>293</v>
      </c>
      <c r="D4" s="33" t="s">
        <v>262</v>
      </c>
      <c r="E4" s="33" t="s">
        <v>263</v>
      </c>
    </row>
    <row r="5" spans="1:13" ht="15">
      <c r="A5" s="384" t="str">
        <f>(inputPrYr!B26)</f>
        <v>Capital Improvement</v>
      </c>
      <c r="B5" s="137"/>
      <c r="C5" s="146">
        <f>E1-2</f>
        <v>2010</v>
      </c>
      <c r="D5" s="146">
        <f>E1-1</f>
        <v>2011</v>
      </c>
      <c r="E5" s="146">
        <f>E1</f>
        <v>2012</v>
      </c>
      <c r="F5" s="400"/>
      <c r="G5" s="400"/>
      <c r="H5" s="400"/>
      <c r="I5" s="400"/>
      <c r="J5" s="400"/>
      <c r="K5" s="400"/>
      <c r="L5" s="400"/>
      <c r="M5" s="400"/>
    </row>
    <row r="6" spans="1:13" ht="15">
      <c r="A6" s="326" t="s">
        <v>234</v>
      </c>
      <c r="B6" s="332"/>
      <c r="C6" s="328">
        <v>113289</v>
      </c>
      <c r="D6" s="85">
        <f>C20</f>
        <v>115349</v>
      </c>
      <c r="E6" s="85">
        <f>D20</f>
        <v>115449</v>
      </c>
      <c r="F6" s="411"/>
      <c r="G6" s="400"/>
      <c r="H6" s="400"/>
      <c r="I6" s="400"/>
      <c r="J6" s="400"/>
      <c r="K6" s="400"/>
      <c r="L6" s="400"/>
      <c r="M6" s="400"/>
    </row>
    <row r="7" spans="1:13" ht="15">
      <c r="A7" s="331" t="s">
        <v>236</v>
      </c>
      <c r="B7" s="332"/>
      <c r="C7" s="320"/>
      <c r="D7" s="40"/>
      <c r="E7" s="40"/>
      <c r="F7" s="400"/>
      <c r="G7" s="400"/>
      <c r="H7" s="400"/>
      <c r="I7" s="400"/>
      <c r="J7" s="400"/>
      <c r="K7" s="400"/>
      <c r="L7" s="400"/>
      <c r="M7" s="400"/>
    </row>
    <row r="8" spans="1:13" ht="15">
      <c r="A8" s="316" t="s">
        <v>106</v>
      </c>
      <c r="B8" s="333"/>
      <c r="C8" s="328">
        <v>2060</v>
      </c>
      <c r="D8" s="9">
        <v>2100</v>
      </c>
      <c r="E8" s="9">
        <v>2120</v>
      </c>
      <c r="F8" s="400"/>
      <c r="G8" s="400"/>
      <c r="H8" s="400"/>
      <c r="I8" s="400"/>
      <c r="J8" s="400"/>
      <c r="K8" s="400"/>
      <c r="L8" s="400"/>
      <c r="M8" s="400"/>
    </row>
    <row r="9" spans="1:13" ht="15">
      <c r="A9" s="316" t="s">
        <v>28</v>
      </c>
      <c r="B9" s="333"/>
      <c r="C9" s="328">
        <v>0</v>
      </c>
      <c r="D9" s="9">
        <v>15000</v>
      </c>
      <c r="E9" s="9">
        <v>15000</v>
      </c>
      <c r="F9" s="400"/>
      <c r="G9" s="400"/>
      <c r="H9" s="400"/>
      <c r="I9" s="400"/>
      <c r="J9" s="400"/>
      <c r="K9" s="400"/>
      <c r="L9" s="400"/>
      <c r="M9" s="400"/>
    </row>
    <row r="10" spans="1:13" ht="15">
      <c r="A10" s="336" t="s">
        <v>397</v>
      </c>
      <c r="B10" s="332"/>
      <c r="C10" s="328">
        <v>0</v>
      </c>
      <c r="D10" s="328">
        <v>0</v>
      </c>
      <c r="E10" s="328">
        <v>0</v>
      </c>
      <c r="F10" s="400"/>
      <c r="G10" s="400"/>
      <c r="H10" s="400"/>
      <c r="I10" s="400"/>
      <c r="J10" s="400"/>
      <c r="K10" s="400"/>
      <c r="L10" s="400"/>
      <c r="M10" s="400"/>
    </row>
    <row r="11" spans="1:13" ht="15">
      <c r="A11" s="326" t="s">
        <v>399</v>
      </c>
      <c r="B11" s="332"/>
      <c r="C11" s="366">
        <f>IF(C12*0.1&lt;C10,"Exceed 10% Rule","")</f>
      </c>
      <c r="D11" s="366">
        <f>IF(D12*0.1&lt;D10,"Exceed 10% Rule","")</f>
      </c>
      <c r="E11" s="366">
        <f>IF(E12*0.1&lt;E10,"Exceed 10% Rule","")</f>
      </c>
      <c r="F11" s="400"/>
      <c r="G11" s="400"/>
      <c r="H11" s="400"/>
      <c r="I11" s="400"/>
      <c r="J11" s="400"/>
      <c r="K11" s="400"/>
      <c r="L11" s="400"/>
      <c r="M11" s="400"/>
    </row>
    <row r="12" spans="1:13" ht="15">
      <c r="A12" s="152" t="s">
        <v>107</v>
      </c>
      <c r="B12" s="332"/>
      <c r="C12" s="329">
        <f>SUM(C8:C10)</f>
        <v>2060</v>
      </c>
      <c r="D12" s="268">
        <f>SUM(D8:D10)</f>
        <v>17100</v>
      </c>
      <c r="E12" s="268">
        <f>SUM(E8:E10)</f>
        <v>17120</v>
      </c>
      <c r="F12" s="400"/>
      <c r="G12" s="400"/>
      <c r="H12" s="400"/>
      <c r="I12" s="400"/>
      <c r="J12" s="400"/>
      <c r="K12" s="400"/>
      <c r="L12" s="400"/>
      <c r="M12" s="400"/>
    </row>
    <row r="13" spans="1:13" ht="15">
      <c r="A13" s="152" t="s">
        <v>108</v>
      </c>
      <c r="B13" s="332"/>
      <c r="C13" s="329">
        <f>C6+C12</f>
        <v>115349</v>
      </c>
      <c r="D13" s="268">
        <f>D6+D12</f>
        <v>132449</v>
      </c>
      <c r="E13" s="268">
        <f>E6+E12</f>
        <v>132569</v>
      </c>
      <c r="F13" s="400"/>
      <c r="G13" s="400"/>
      <c r="H13" s="400"/>
      <c r="I13" s="400"/>
      <c r="J13" s="400"/>
      <c r="K13" s="400"/>
      <c r="L13" s="400"/>
      <c r="M13" s="400"/>
    </row>
    <row r="14" spans="1:13" ht="15">
      <c r="A14" s="37" t="s">
        <v>110</v>
      </c>
      <c r="B14" s="332"/>
      <c r="C14" s="118"/>
      <c r="D14" s="85"/>
      <c r="E14" s="85"/>
      <c r="F14" s="400"/>
      <c r="G14" s="400"/>
      <c r="H14" s="400"/>
      <c r="I14" s="400"/>
      <c r="J14" s="400"/>
      <c r="K14" s="400"/>
      <c r="L14" s="400"/>
      <c r="M14" s="400"/>
    </row>
    <row r="15" spans="1:13" ht="15">
      <c r="A15" s="316" t="s">
        <v>26</v>
      </c>
      <c r="B15" s="333"/>
      <c r="C15" s="328">
        <v>0</v>
      </c>
      <c r="D15" s="9">
        <v>12000</v>
      </c>
      <c r="E15" s="9">
        <v>12500</v>
      </c>
      <c r="F15" s="400"/>
      <c r="G15" s="400"/>
      <c r="H15" s="400"/>
      <c r="I15" s="400"/>
      <c r="J15" s="400"/>
      <c r="K15" s="400"/>
      <c r="L15" s="400"/>
      <c r="M15" s="400"/>
    </row>
    <row r="16" spans="1:13" ht="15">
      <c r="A16" s="316" t="s">
        <v>47</v>
      </c>
      <c r="B16" s="333"/>
      <c r="C16" s="328">
        <v>0</v>
      </c>
      <c r="D16" s="9">
        <v>5000</v>
      </c>
      <c r="E16" s="9">
        <v>120069</v>
      </c>
      <c r="F16" s="400"/>
      <c r="G16" s="400"/>
      <c r="H16" s="400"/>
      <c r="I16" s="400"/>
      <c r="J16" s="400"/>
      <c r="K16" s="400"/>
      <c r="L16" s="400"/>
      <c r="M16" s="400"/>
    </row>
    <row r="17" spans="1:13" ht="15">
      <c r="A17" s="334" t="s">
        <v>397</v>
      </c>
      <c r="B17" s="332"/>
      <c r="C17" s="328">
        <v>0</v>
      </c>
      <c r="D17" s="328">
        <v>0</v>
      </c>
      <c r="E17" s="328">
        <v>0</v>
      </c>
      <c r="F17" s="400"/>
      <c r="G17" s="400"/>
      <c r="H17" s="400"/>
      <c r="I17" s="400"/>
      <c r="J17" s="400"/>
      <c r="K17" s="400"/>
      <c r="L17" s="400"/>
      <c r="M17" s="400"/>
    </row>
    <row r="18" spans="1:13" ht="15">
      <c r="A18" s="334" t="s">
        <v>398</v>
      </c>
      <c r="B18" s="332"/>
      <c r="C18" s="366">
        <f>IF(C19*0.1&lt;C17,"Exceed 10% Rule","")</f>
      </c>
      <c r="D18" s="366">
        <f>IF(D19*0.1&lt;D17,"Exceed 10% Rule","")</f>
      </c>
      <c r="E18" s="366">
        <f>IF(E19*0.1&lt;E17,"Exceed 10% Rule","")</f>
      </c>
      <c r="F18" s="400"/>
      <c r="G18" s="400"/>
      <c r="H18" s="400"/>
      <c r="I18" s="400"/>
      <c r="J18" s="400"/>
      <c r="K18" s="400"/>
      <c r="L18" s="400"/>
      <c r="M18" s="400"/>
    </row>
    <row r="19" spans="1:13" ht="15">
      <c r="A19" s="152" t="s">
        <v>114</v>
      </c>
      <c r="B19" s="332"/>
      <c r="C19" s="329">
        <f>SUM(C15:C17)</f>
        <v>0</v>
      </c>
      <c r="D19" s="268">
        <f>SUM(D15:D17)</f>
        <v>17000</v>
      </c>
      <c r="E19" s="268">
        <f>SUM(E15:E17)</f>
        <v>132569</v>
      </c>
      <c r="F19" s="400"/>
      <c r="G19" s="400"/>
      <c r="H19" s="400"/>
      <c r="I19" s="400"/>
      <c r="J19" s="400"/>
      <c r="K19" s="400"/>
      <c r="L19" s="400"/>
      <c r="M19" s="400"/>
    </row>
    <row r="20" spans="1:13" ht="15">
      <c r="A20" s="37" t="s">
        <v>235</v>
      </c>
      <c r="B20" s="332"/>
      <c r="C20" s="330">
        <f>C13-C19</f>
        <v>115349</v>
      </c>
      <c r="D20" s="267">
        <f>D13-D19</f>
        <v>115449</v>
      </c>
      <c r="E20" s="267">
        <f>E13-E19</f>
        <v>0</v>
      </c>
      <c r="F20" s="400"/>
      <c r="G20" s="400"/>
      <c r="H20" s="400"/>
      <c r="I20" s="400"/>
      <c r="J20" s="400"/>
      <c r="K20" s="400"/>
      <c r="L20" s="400"/>
      <c r="M20" s="400"/>
    </row>
    <row r="21" spans="1:13" ht="15">
      <c r="A21" s="23" t="str">
        <f>CONCATENATE("",E1-2," Budget Authority Limited Amount:")</f>
        <v>2010 Budget Authority Limited Amount:</v>
      </c>
      <c r="B21" s="353">
        <f>inputOth!B64</f>
        <v>163010</v>
      </c>
      <c r="C21" s="65"/>
      <c r="D21" s="65"/>
      <c r="E21" s="65"/>
      <c r="F21" s="400"/>
      <c r="G21" s="400"/>
      <c r="H21" s="400"/>
      <c r="I21" s="400"/>
      <c r="J21" s="400"/>
      <c r="K21" s="400"/>
      <c r="L21" s="400"/>
      <c r="M21" s="400"/>
    </row>
    <row r="22" spans="1:13" ht="15">
      <c r="A22" s="23" t="str">
        <f>CONCATENATE("Violation of Budget Law for ",E1-2,":")</f>
        <v>Violation of Budget Law for 2010:</v>
      </c>
      <c r="B22" s="354">
        <f>IF(C19&gt;B21,"Yes","")</f>
      </c>
      <c r="C22" s="393"/>
      <c r="D22" s="65"/>
      <c r="E22" s="65"/>
      <c r="F22" s="400"/>
      <c r="G22" s="400"/>
      <c r="H22" s="400"/>
      <c r="I22" s="400"/>
      <c r="J22" s="400"/>
      <c r="K22" s="400"/>
      <c r="L22" s="400"/>
      <c r="M22" s="400"/>
    </row>
    <row r="23" spans="1:13" ht="15">
      <c r="A23" s="23" t="str">
        <f>CONCATENATE("Possible Cash Violation for ",E1-2,":")</f>
        <v>Possible Cash Violation for 2010:</v>
      </c>
      <c r="B23" s="354">
        <f>IF(C20&lt;0,"Yes","")</f>
      </c>
      <c r="C23" s="393"/>
      <c r="D23" s="65"/>
      <c r="E23" s="65"/>
      <c r="F23" s="400"/>
      <c r="G23" s="400"/>
      <c r="H23" s="400"/>
      <c r="I23" s="400"/>
      <c r="J23" s="400"/>
      <c r="K23" s="400"/>
      <c r="L23" s="400"/>
      <c r="M23" s="400"/>
    </row>
    <row r="24" spans="1:13" ht="15">
      <c r="A24" s="21"/>
      <c r="B24" s="21"/>
      <c r="C24" s="169"/>
      <c r="D24" s="65"/>
      <c r="E24" s="65"/>
      <c r="F24" s="400"/>
      <c r="G24" s="400"/>
      <c r="H24" s="400"/>
      <c r="I24" s="400"/>
      <c r="J24" s="400"/>
      <c r="K24" s="400"/>
      <c r="L24" s="400"/>
      <c r="M24" s="400"/>
    </row>
    <row r="25" spans="1:13" ht="15">
      <c r="A25" s="25" t="s">
        <v>100</v>
      </c>
      <c r="B25" s="25"/>
      <c r="C25" s="101"/>
      <c r="D25" s="101"/>
      <c r="E25" s="101"/>
      <c r="F25" s="400"/>
      <c r="G25" s="400"/>
      <c r="H25" s="400"/>
      <c r="I25" s="400"/>
      <c r="J25" s="400"/>
      <c r="K25" s="400"/>
      <c r="L25" s="400"/>
      <c r="M25" s="400"/>
    </row>
    <row r="26" spans="1:13" ht="15">
      <c r="A26" s="21"/>
      <c r="B26" s="21"/>
      <c r="C26" s="93" t="s">
        <v>124</v>
      </c>
      <c r="D26" s="33" t="s">
        <v>262</v>
      </c>
      <c r="E26" s="33" t="s">
        <v>263</v>
      </c>
      <c r="F26" s="400"/>
      <c r="G26" s="400"/>
      <c r="H26" s="400"/>
      <c r="I26" s="400"/>
      <c r="J26" s="400"/>
      <c r="K26" s="400"/>
      <c r="L26" s="400"/>
      <c r="M26" s="400"/>
    </row>
    <row r="27" spans="1:13" ht="15">
      <c r="A27" s="384" t="str">
        <f>(inputPrYr!B27)</f>
        <v>Utility System Reserve</v>
      </c>
      <c r="B27" s="137"/>
      <c r="C27" s="146">
        <f>C5</f>
        <v>2010</v>
      </c>
      <c r="D27" s="146">
        <f>D5</f>
        <v>2011</v>
      </c>
      <c r="E27" s="146">
        <f>E5</f>
        <v>2012</v>
      </c>
      <c r="F27" s="400"/>
      <c r="G27" s="400"/>
      <c r="H27" s="400"/>
      <c r="I27" s="400"/>
      <c r="J27" s="400"/>
      <c r="K27" s="400"/>
      <c r="L27" s="400"/>
      <c r="M27" s="400"/>
    </row>
    <row r="28" spans="1:13" ht="15">
      <c r="A28" s="326" t="s">
        <v>234</v>
      </c>
      <c r="B28" s="332"/>
      <c r="C28" s="328">
        <v>147827</v>
      </c>
      <c r="D28" s="85">
        <f>C44</f>
        <v>156066</v>
      </c>
      <c r="E28" s="85">
        <f>D44</f>
        <v>149866</v>
      </c>
      <c r="F28" s="411"/>
      <c r="G28" s="400"/>
      <c r="H28" s="400"/>
      <c r="I28" s="400"/>
      <c r="J28" s="400"/>
      <c r="K28" s="400"/>
      <c r="L28" s="400"/>
      <c r="M28" s="400"/>
    </row>
    <row r="29" spans="1:13" ht="15">
      <c r="A29" s="331" t="s">
        <v>236</v>
      </c>
      <c r="B29" s="332"/>
      <c r="C29" s="320"/>
      <c r="D29" s="40"/>
      <c r="E29" s="40"/>
      <c r="F29" s="400"/>
      <c r="G29" s="400"/>
      <c r="H29" s="400"/>
      <c r="I29" s="400"/>
      <c r="J29" s="400"/>
      <c r="K29" s="400"/>
      <c r="L29" s="400"/>
      <c r="M29" s="400"/>
    </row>
    <row r="30" spans="1:13" ht="15">
      <c r="A30" s="316" t="s">
        <v>30</v>
      </c>
      <c r="B30" s="333"/>
      <c r="C30" s="328">
        <v>4810</v>
      </c>
      <c r="D30" s="9">
        <v>5300</v>
      </c>
      <c r="E30" s="9">
        <v>5300</v>
      </c>
      <c r="F30" s="400"/>
      <c r="G30" s="400"/>
      <c r="H30" s="400"/>
      <c r="I30" s="400"/>
      <c r="J30" s="400"/>
      <c r="K30" s="400"/>
      <c r="L30" s="400"/>
      <c r="M30" s="400"/>
    </row>
    <row r="31" spans="1:13" ht="15">
      <c r="A31" s="316" t="s">
        <v>106</v>
      </c>
      <c r="B31" s="333"/>
      <c r="C31" s="328">
        <v>3454</v>
      </c>
      <c r="D31" s="9">
        <v>3500</v>
      </c>
      <c r="E31" s="9">
        <v>3575</v>
      </c>
      <c r="F31" s="400"/>
      <c r="G31" s="400"/>
      <c r="H31" s="400"/>
      <c r="I31" s="400"/>
      <c r="J31" s="400"/>
      <c r="K31" s="400"/>
      <c r="L31" s="400"/>
      <c r="M31" s="400"/>
    </row>
    <row r="32" spans="1:13" ht="15">
      <c r="A32" s="316" t="s">
        <v>476</v>
      </c>
      <c r="B32" s="333"/>
      <c r="C32" s="328">
        <v>0</v>
      </c>
      <c r="D32" s="9">
        <v>5000</v>
      </c>
      <c r="E32" s="9">
        <v>5000</v>
      </c>
      <c r="F32" s="400"/>
      <c r="G32" s="400"/>
      <c r="H32" s="400"/>
      <c r="I32" s="400"/>
      <c r="J32" s="400"/>
      <c r="K32" s="400"/>
      <c r="L32" s="400"/>
      <c r="M32" s="400"/>
    </row>
    <row r="33" spans="1:13" ht="15">
      <c r="A33" s="336" t="s">
        <v>397</v>
      </c>
      <c r="B33" s="332"/>
      <c r="C33" s="328">
        <v>0</v>
      </c>
      <c r="D33" s="328">
        <v>0</v>
      </c>
      <c r="E33" s="328">
        <v>0</v>
      </c>
      <c r="F33" s="400"/>
      <c r="G33" s="400"/>
      <c r="H33" s="400"/>
      <c r="I33" s="400"/>
      <c r="J33" s="400"/>
      <c r="K33" s="400"/>
      <c r="L33" s="400"/>
      <c r="M33" s="400"/>
    </row>
    <row r="34" spans="1:13" ht="15">
      <c r="A34" s="326" t="s">
        <v>399</v>
      </c>
      <c r="B34" s="332"/>
      <c r="C34" s="366">
        <f>IF(C35*0.1&lt;C33,"Exceed 10% Rule","")</f>
      </c>
      <c r="D34" s="366">
        <f>IF(D35*0.1&lt;D33,"Exceed 10% Rule","")</f>
      </c>
      <c r="E34" s="366">
        <f>IF(E35*0.1&lt;E33,"Exceed 10% Rule","")</f>
      </c>
      <c r="F34" s="400"/>
      <c r="G34" s="400"/>
      <c r="H34" s="400"/>
      <c r="I34" s="400"/>
      <c r="J34" s="400"/>
      <c r="K34" s="400"/>
      <c r="L34" s="400"/>
      <c r="M34" s="400"/>
    </row>
    <row r="35" spans="1:13" ht="15">
      <c r="A35" s="152" t="s">
        <v>107</v>
      </c>
      <c r="B35" s="332"/>
      <c r="C35" s="329">
        <f>SUM(C30:C33)</f>
        <v>8264</v>
      </c>
      <c r="D35" s="268">
        <f>SUM(D30:D33)</f>
        <v>13800</v>
      </c>
      <c r="E35" s="268">
        <f>SUM(E30:E33)</f>
        <v>13875</v>
      </c>
      <c r="F35" s="400"/>
      <c r="G35" s="400"/>
      <c r="H35" s="400"/>
      <c r="I35" s="400"/>
      <c r="J35" s="400"/>
      <c r="K35" s="400"/>
      <c r="L35" s="400"/>
      <c r="M35" s="400"/>
    </row>
    <row r="36" spans="1:13" ht="15">
      <c r="A36" s="152" t="s">
        <v>108</v>
      </c>
      <c r="B36" s="332"/>
      <c r="C36" s="329">
        <f>C28+C35</f>
        <v>156091</v>
      </c>
      <c r="D36" s="268">
        <f>D28+D35</f>
        <v>169866</v>
      </c>
      <c r="E36" s="268">
        <f>E28+E35</f>
        <v>163741</v>
      </c>
      <c r="F36" s="400"/>
      <c r="G36" s="400"/>
      <c r="H36" s="400"/>
      <c r="I36" s="400"/>
      <c r="J36" s="400"/>
      <c r="K36" s="400"/>
      <c r="L36" s="400"/>
      <c r="M36" s="400"/>
    </row>
    <row r="37" spans="1:13" ht="15">
      <c r="A37" s="37" t="s">
        <v>110</v>
      </c>
      <c r="B37" s="332"/>
      <c r="C37" s="118"/>
      <c r="D37" s="85"/>
      <c r="E37" s="85"/>
      <c r="F37" s="400"/>
      <c r="G37" s="400"/>
      <c r="H37" s="400"/>
      <c r="I37" s="400"/>
      <c r="J37" s="400"/>
      <c r="K37" s="400"/>
      <c r="L37" s="400"/>
      <c r="M37" s="400"/>
    </row>
    <row r="38" spans="1:13" ht="15">
      <c r="A38" s="316" t="s">
        <v>26</v>
      </c>
      <c r="B38" s="333"/>
      <c r="C38" s="328">
        <v>0</v>
      </c>
      <c r="D38" s="9">
        <v>0</v>
      </c>
      <c r="E38" s="9">
        <v>0</v>
      </c>
      <c r="F38" s="400"/>
      <c r="G38" s="400"/>
      <c r="H38" s="400"/>
      <c r="I38" s="400"/>
      <c r="J38" s="400"/>
      <c r="K38" s="400"/>
      <c r="L38" s="400"/>
      <c r="M38" s="400"/>
    </row>
    <row r="39" spans="1:13" ht="15">
      <c r="A39" s="316" t="s">
        <v>29</v>
      </c>
      <c r="B39" s="333"/>
      <c r="C39" s="328">
        <v>0</v>
      </c>
      <c r="D39" s="9">
        <v>20000</v>
      </c>
      <c r="E39" s="9">
        <v>163741</v>
      </c>
      <c r="F39" s="400"/>
      <c r="G39" s="400"/>
      <c r="H39" s="400"/>
      <c r="I39" s="400"/>
      <c r="J39" s="400"/>
      <c r="K39" s="400"/>
      <c r="L39" s="400"/>
      <c r="M39" s="400"/>
    </row>
    <row r="40" spans="1:13" ht="15">
      <c r="A40" s="316" t="s">
        <v>494</v>
      </c>
      <c r="B40" s="333"/>
      <c r="C40" s="328">
        <v>25</v>
      </c>
      <c r="D40" s="9">
        <v>0</v>
      </c>
      <c r="E40" s="9">
        <v>0</v>
      </c>
      <c r="F40" s="412"/>
      <c r="G40" s="412"/>
      <c r="H40" s="412"/>
      <c r="I40" s="412"/>
      <c r="J40" s="412"/>
      <c r="K40" s="412"/>
      <c r="L40" s="412"/>
      <c r="M40" s="400"/>
    </row>
    <row r="41" spans="1:13" ht="15">
      <c r="A41" s="334" t="s">
        <v>397</v>
      </c>
      <c r="B41" s="332"/>
      <c r="C41" s="328">
        <v>0</v>
      </c>
      <c r="D41" s="328">
        <v>0</v>
      </c>
      <c r="E41" s="328">
        <v>0</v>
      </c>
      <c r="F41" s="412"/>
      <c r="G41" s="412"/>
      <c r="H41" s="412"/>
      <c r="I41" s="412"/>
      <c r="J41" s="412"/>
      <c r="K41" s="412"/>
      <c r="L41" s="412"/>
      <c r="M41" s="400"/>
    </row>
    <row r="42" spans="1:13" ht="15">
      <c r="A42" s="334" t="s">
        <v>398</v>
      </c>
      <c r="B42" s="332"/>
      <c r="C42" s="366">
        <f>IF(C43*0.1&lt;C41,"Exceed 10% Rule","")</f>
      </c>
      <c r="D42" s="366">
        <f>IF(D43*0.1&lt;D41,"Exceed 10% Rule","")</f>
      </c>
      <c r="E42" s="366">
        <f>IF(E43*0.1&lt;E41,"Exceed 10% Rule","")</f>
      </c>
      <c r="F42" s="412"/>
      <c r="G42" s="412"/>
      <c r="H42" s="412"/>
      <c r="I42" s="412"/>
      <c r="J42" s="412"/>
      <c r="K42" s="412"/>
      <c r="L42" s="412"/>
      <c r="M42" s="400"/>
    </row>
    <row r="43" spans="1:13" ht="15">
      <c r="A43" s="152" t="s">
        <v>114</v>
      </c>
      <c r="B43" s="332"/>
      <c r="C43" s="329">
        <f>SUM(C38:C41)</f>
        <v>25</v>
      </c>
      <c r="D43" s="268">
        <f>SUM(D38:D41)</f>
        <v>20000</v>
      </c>
      <c r="E43" s="268">
        <f>SUM(E38:E41)</f>
        <v>163741</v>
      </c>
      <c r="F43" s="412"/>
      <c r="G43" s="412"/>
      <c r="H43" s="412"/>
      <c r="I43" s="412"/>
      <c r="J43" s="412"/>
      <c r="K43" s="412"/>
      <c r="L43" s="412"/>
      <c r="M43" s="400"/>
    </row>
    <row r="44" spans="1:13" ht="15">
      <c r="A44" s="37" t="s">
        <v>235</v>
      </c>
      <c r="B44" s="332"/>
      <c r="C44" s="330">
        <f>C36-C43</f>
        <v>156066</v>
      </c>
      <c r="D44" s="267">
        <f>D36-D43</f>
        <v>149866</v>
      </c>
      <c r="E44" s="267">
        <f>E36-E43</f>
        <v>0</v>
      </c>
      <c r="F44" s="412"/>
      <c r="G44" s="412"/>
      <c r="H44" s="412"/>
      <c r="I44" s="412"/>
      <c r="J44" s="412"/>
      <c r="K44" s="412"/>
      <c r="L44" s="412"/>
      <c r="M44" s="400"/>
    </row>
    <row r="45" spans="1:13" ht="15">
      <c r="A45" s="23" t="str">
        <f>CONCATENATE("",E1-2," Budget Authority Limited Amount:")</f>
        <v>2010 Budget Authority Limited Amount:</v>
      </c>
      <c r="B45" s="353">
        <f>inputOth!B65</f>
        <v>162482</v>
      </c>
      <c r="C45" s="21"/>
      <c r="D45" s="21"/>
      <c r="E45" s="21"/>
      <c r="F45" s="412"/>
      <c r="G45" s="412"/>
      <c r="H45" s="412"/>
      <c r="I45" s="412"/>
      <c r="J45" s="412"/>
      <c r="K45" s="412"/>
      <c r="L45" s="412"/>
      <c r="M45" s="400"/>
    </row>
    <row r="46" spans="1:13" ht="15">
      <c r="A46" s="23" t="str">
        <f>CONCATENATE("Violation of Budget Law for ",E1-2,":")</f>
        <v>Violation of Budget Law for 2010:</v>
      </c>
      <c r="B46" s="354">
        <f>IF(C43&gt;B45,"Yes","")</f>
      </c>
      <c r="C46" s="21"/>
      <c r="D46" s="21"/>
      <c r="E46" s="21"/>
      <c r="F46" s="400"/>
      <c r="G46" s="400"/>
      <c r="H46" s="400"/>
      <c r="I46" s="400"/>
      <c r="J46" s="400"/>
      <c r="K46" s="400"/>
      <c r="L46" s="400"/>
      <c r="M46" s="400"/>
    </row>
    <row r="47" spans="1:13" ht="15">
      <c r="A47" s="23" t="str">
        <f>CONCATENATE("Possible Cash Violation for ",E1-2,":")</f>
        <v>Possible Cash Violation for 2010:</v>
      </c>
      <c r="B47" s="354">
        <f>IF(C44&lt;0,"Yes","")</f>
      </c>
      <c r="C47" s="21"/>
      <c r="D47" s="21"/>
      <c r="E47" s="21"/>
      <c r="F47" s="400"/>
      <c r="G47" s="400"/>
      <c r="H47" s="400"/>
      <c r="I47" s="400"/>
      <c r="J47" s="400"/>
      <c r="K47" s="400"/>
      <c r="L47" s="400"/>
      <c r="M47" s="400"/>
    </row>
    <row r="48" spans="1:13" ht="15">
      <c r="A48" s="21"/>
      <c r="B48" s="21"/>
      <c r="C48" s="21"/>
      <c r="D48" s="21"/>
      <c r="E48" s="21"/>
      <c r="F48" s="400"/>
      <c r="G48" s="400"/>
      <c r="H48" s="400"/>
      <c r="I48" s="400"/>
      <c r="J48" s="400"/>
      <c r="K48" s="400"/>
      <c r="L48" s="400"/>
      <c r="M48" s="400"/>
    </row>
    <row r="49" spans="1:13" ht="15">
      <c r="A49" s="24"/>
      <c r="B49" s="24" t="s">
        <v>118</v>
      </c>
      <c r="C49" s="16">
        <v>10</v>
      </c>
      <c r="D49" s="21"/>
      <c r="E49" s="21"/>
      <c r="F49" s="400"/>
      <c r="G49" s="400"/>
      <c r="H49" s="400"/>
      <c r="I49" s="400"/>
      <c r="J49" s="400"/>
      <c r="K49" s="400"/>
      <c r="L49" s="400"/>
      <c r="M49" s="400"/>
    </row>
  </sheetData>
  <sheetProtection/>
  <conditionalFormatting sqref="C41">
    <cfRule type="cellIs" priority="1" dxfId="138" operator="greaterThan" stopIfTrue="1">
      <formula>$C$43*0.1</formula>
    </cfRule>
  </conditionalFormatting>
  <conditionalFormatting sqref="D41">
    <cfRule type="cellIs" priority="2" dxfId="138" operator="greaterThan" stopIfTrue="1">
      <formula>$D$43*0.1</formula>
    </cfRule>
  </conditionalFormatting>
  <conditionalFormatting sqref="E41">
    <cfRule type="cellIs" priority="3" dxfId="138" operator="greaterThan" stopIfTrue="1">
      <formula>$E$43*0.1</formula>
    </cfRule>
  </conditionalFormatting>
  <conditionalFormatting sqref="C33">
    <cfRule type="cellIs" priority="4" dxfId="138" operator="greaterThan" stopIfTrue="1">
      <formula>$C$35*0.1</formula>
    </cfRule>
  </conditionalFormatting>
  <conditionalFormatting sqref="D33">
    <cfRule type="cellIs" priority="5" dxfId="138" operator="greaterThan" stopIfTrue="1">
      <formula>$D$35*0.1</formula>
    </cfRule>
  </conditionalFormatting>
  <conditionalFormatting sqref="E33">
    <cfRule type="cellIs" priority="6" dxfId="138" operator="greaterThan" stopIfTrue="1">
      <formula>$E$35*0.1</formula>
    </cfRule>
  </conditionalFormatting>
  <conditionalFormatting sqref="C17">
    <cfRule type="cellIs" priority="7" dxfId="138" operator="greaterThan" stopIfTrue="1">
      <formula>$C$19*0.1</formula>
    </cfRule>
  </conditionalFormatting>
  <conditionalFormatting sqref="D17">
    <cfRule type="cellIs" priority="8" dxfId="138" operator="greaterThan" stopIfTrue="1">
      <formula>$D$19*0.1</formula>
    </cfRule>
  </conditionalFormatting>
  <conditionalFormatting sqref="E17">
    <cfRule type="cellIs" priority="9" dxfId="138" operator="greaterThan" stopIfTrue="1">
      <formula>$E$19*0.1</formula>
    </cfRule>
  </conditionalFormatting>
  <conditionalFormatting sqref="C10">
    <cfRule type="cellIs" priority="10" dxfId="138" operator="greaterThan" stopIfTrue="1">
      <formula>$C$12*0.1</formula>
    </cfRule>
  </conditionalFormatting>
  <conditionalFormatting sqref="D10">
    <cfRule type="cellIs" priority="11" dxfId="138" operator="greaterThan" stopIfTrue="1">
      <formula>$D$12*0.1</formula>
    </cfRule>
  </conditionalFormatting>
  <conditionalFormatting sqref="E10">
    <cfRule type="cellIs" priority="12" dxfId="138" operator="greaterThan" stopIfTrue="1">
      <formula>$E$12*0.1</formula>
    </cfRule>
  </conditionalFormatting>
  <printOptions/>
  <pageMargins left="0.5" right="0.5" top="1" bottom="0.5" header="0.5" footer="0.5"/>
  <pageSetup blackAndWhite="1" fitToHeight="1" fitToWidth="1" horizontalDpi="600" verticalDpi="600" orientation="portrait" scale="90" r:id="rId1"/>
  <headerFooter alignWithMargins="0">
    <oddHeader>&amp;RState of Kansas
City</oddHeader>
    <oddFooter>&amp;Lrevised 8/06/07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I16" sqref="I16"/>
    </sheetView>
  </sheetViews>
  <sheetFormatPr defaultColWidth="8.796875" defaultRowHeight="15"/>
  <cols>
    <col min="1" max="1" width="27.59765625" style="0" customWidth="1"/>
    <col min="2" max="2" width="9.59765625" style="0" customWidth="1"/>
    <col min="3" max="5" width="15.69921875" style="0" customWidth="1"/>
  </cols>
  <sheetData>
    <row r="1" spans="1:5" ht="15">
      <c r="A1" s="72" t="str">
        <f>(inputPrYr!D2)</f>
        <v>CITY OF BLUE RAPIDS</v>
      </c>
      <c r="B1" s="72"/>
      <c r="C1" s="21"/>
      <c r="D1" s="21"/>
      <c r="E1" s="143">
        <f>inputPrYr!$C$5</f>
        <v>2012</v>
      </c>
    </row>
    <row r="2" spans="1:5" ht="15">
      <c r="A2" s="21"/>
      <c r="B2" s="21"/>
      <c r="C2" s="21"/>
      <c r="D2" s="21"/>
      <c r="E2" s="24"/>
    </row>
    <row r="3" spans="1:5" ht="15">
      <c r="A3" s="90" t="s">
        <v>178</v>
      </c>
      <c r="B3" s="90"/>
      <c r="C3" s="197"/>
      <c r="D3" s="197"/>
      <c r="E3" s="198"/>
    </row>
    <row r="4" spans="1:15" ht="15">
      <c r="A4" s="25" t="s">
        <v>100</v>
      </c>
      <c r="B4" s="25"/>
      <c r="C4" s="93" t="s">
        <v>124</v>
      </c>
      <c r="D4" s="33" t="s">
        <v>262</v>
      </c>
      <c r="E4" s="33" t="s">
        <v>263</v>
      </c>
      <c r="F4" s="422"/>
      <c r="G4" s="422"/>
      <c r="H4" s="422"/>
      <c r="I4" s="422"/>
      <c r="J4" s="422"/>
      <c r="K4" s="422"/>
      <c r="L4" s="422"/>
      <c r="M4" s="422"/>
      <c r="N4" s="422"/>
      <c r="O4" s="422"/>
    </row>
    <row r="5" spans="1:15" ht="15">
      <c r="A5" s="137" t="str">
        <f>(inputPrYr!B31)</f>
        <v>Spec. Law Enf. Trust Fund</v>
      </c>
      <c r="B5" s="137"/>
      <c r="C5" s="147">
        <f>E1-2</f>
        <v>2010</v>
      </c>
      <c r="D5" s="147">
        <f>E1-1</f>
        <v>2011</v>
      </c>
      <c r="E5" s="147">
        <f>inputPrYr!$C$5</f>
        <v>2012</v>
      </c>
      <c r="F5" s="422"/>
      <c r="G5" s="422"/>
      <c r="H5" s="422"/>
      <c r="I5" s="422"/>
      <c r="J5" s="422"/>
      <c r="K5" s="422"/>
      <c r="L5" s="422"/>
      <c r="M5" s="422"/>
      <c r="N5" s="422"/>
      <c r="O5" s="422"/>
    </row>
    <row r="6" spans="1:15" ht="15">
      <c r="A6" s="37" t="s">
        <v>234</v>
      </c>
      <c r="B6" s="324"/>
      <c r="C6" s="328">
        <v>965</v>
      </c>
      <c r="D6" s="85">
        <f>C18</f>
        <v>965</v>
      </c>
      <c r="E6" s="85">
        <f>D18</f>
        <v>965</v>
      </c>
      <c r="F6" s="423"/>
      <c r="G6" s="422"/>
      <c r="H6" s="422"/>
      <c r="I6" s="422"/>
      <c r="J6" s="422"/>
      <c r="K6" s="422"/>
      <c r="L6" s="422"/>
      <c r="M6" s="422"/>
      <c r="N6" s="422"/>
      <c r="O6" s="422"/>
    </row>
    <row r="7" spans="1:15" ht="15">
      <c r="A7" s="323" t="s">
        <v>236</v>
      </c>
      <c r="B7" s="324"/>
      <c r="C7" s="320"/>
      <c r="D7" s="40"/>
      <c r="E7" s="40"/>
      <c r="F7" s="422"/>
      <c r="G7" s="422"/>
      <c r="H7" s="422"/>
      <c r="I7" s="422"/>
      <c r="J7" s="422"/>
      <c r="K7" s="422"/>
      <c r="L7" s="422"/>
      <c r="M7" s="422"/>
      <c r="N7" s="422"/>
      <c r="O7" s="422"/>
    </row>
    <row r="8" spans="1:15" ht="15">
      <c r="A8" s="316" t="s">
        <v>49</v>
      </c>
      <c r="B8" s="325"/>
      <c r="C8" s="319">
        <v>0</v>
      </c>
      <c r="D8" s="14">
        <v>1200</v>
      </c>
      <c r="E8" s="14">
        <v>1200</v>
      </c>
      <c r="F8" s="422"/>
      <c r="G8" s="422"/>
      <c r="H8" s="422"/>
      <c r="I8" s="422"/>
      <c r="J8" s="422"/>
      <c r="K8" s="422"/>
      <c r="L8" s="422"/>
      <c r="M8" s="422"/>
      <c r="N8" s="422"/>
      <c r="O8" s="422"/>
    </row>
    <row r="9" spans="1:15" ht="15">
      <c r="A9" s="336" t="s">
        <v>397</v>
      </c>
      <c r="B9" s="332"/>
      <c r="C9" s="319">
        <v>0</v>
      </c>
      <c r="D9" s="319">
        <v>0</v>
      </c>
      <c r="E9" s="319">
        <v>0</v>
      </c>
      <c r="F9" s="422"/>
      <c r="G9" s="422"/>
      <c r="H9" s="422"/>
      <c r="I9" s="422"/>
      <c r="J9" s="422"/>
      <c r="K9" s="422"/>
      <c r="L9" s="422"/>
      <c r="M9" s="422"/>
      <c r="N9" s="422"/>
      <c r="O9" s="422"/>
    </row>
    <row r="10" spans="1:15" ht="15">
      <c r="A10" s="326" t="s">
        <v>399</v>
      </c>
      <c r="B10" s="332"/>
      <c r="C10" s="366">
        <f>IF(C11*0.1&lt;C9,"Exceed 10% Rule","")</f>
      </c>
      <c r="D10" s="366">
        <f>IF(D11*0.1&lt;D9,"Exceed 10% Rule","")</f>
      </c>
      <c r="E10" s="366">
        <f>IF(E11*0.1&lt;E9,"Exceed 10% Rule","")</f>
      </c>
      <c r="F10" s="422"/>
      <c r="G10" s="422"/>
      <c r="H10" s="422"/>
      <c r="I10" s="422"/>
      <c r="J10" s="422"/>
      <c r="K10" s="422"/>
      <c r="L10" s="422"/>
      <c r="M10" s="422"/>
      <c r="N10" s="422"/>
      <c r="O10" s="422"/>
    </row>
    <row r="11" spans="1:15" ht="15">
      <c r="A11" s="152" t="s">
        <v>107</v>
      </c>
      <c r="B11" s="324"/>
      <c r="C11" s="322">
        <f>SUM(C8:C9)</f>
        <v>0</v>
      </c>
      <c r="D11" s="265">
        <f>SUM(D8:D9)</f>
        <v>1200</v>
      </c>
      <c r="E11" s="265">
        <f>SUM(E8:E9)</f>
        <v>1200</v>
      </c>
      <c r="F11" s="422"/>
      <c r="G11" s="422"/>
      <c r="H11" s="422"/>
      <c r="I11" s="422"/>
      <c r="J11" s="422"/>
      <c r="K11" s="422"/>
      <c r="L11" s="422"/>
      <c r="M11" s="422"/>
      <c r="N11" s="422"/>
      <c r="O11" s="422"/>
    </row>
    <row r="12" spans="1:15" ht="15">
      <c r="A12" s="152" t="s">
        <v>108</v>
      </c>
      <c r="B12" s="324"/>
      <c r="C12" s="329">
        <f>C6+C11</f>
        <v>965</v>
      </c>
      <c r="D12" s="268">
        <f>D6+D11</f>
        <v>2165</v>
      </c>
      <c r="E12" s="268">
        <f>E6+E11</f>
        <v>2165</v>
      </c>
      <c r="F12" s="422"/>
      <c r="G12" s="422"/>
      <c r="H12" s="422"/>
      <c r="I12" s="422"/>
      <c r="J12" s="422"/>
      <c r="K12" s="422"/>
      <c r="L12" s="422"/>
      <c r="M12" s="422"/>
      <c r="N12" s="422"/>
      <c r="O12" s="422"/>
    </row>
    <row r="13" spans="1:15" ht="15">
      <c r="A13" s="37" t="s">
        <v>110</v>
      </c>
      <c r="B13" s="324"/>
      <c r="C13" s="320"/>
      <c r="D13" s="40"/>
      <c r="E13" s="40"/>
      <c r="F13" s="422"/>
      <c r="G13" s="422"/>
      <c r="H13" s="422"/>
      <c r="I13" s="422"/>
      <c r="J13" s="422"/>
      <c r="K13" s="422"/>
      <c r="L13" s="422"/>
      <c r="M13" s="422"/>
      <c r="N13" s="422"/>
      <c r="O13" s="422"/>
    </row>
    <row r="14" spans="1:15" ht="15">
      <c r="A14" s="316" t="s">
        <v>26</v>
      </c>
      <c r="B14" s="325"/>
      <c r="C14" s="321">
        <v>0</v>
      </c>
      <c r="D14" s="14">
        <v>1200</v>
      </c>
      <c r="E14" s="14">
        <v>2165</v>
      </c>
      <c r="F14" s="422"/>
      <c r="G14" s="422"/>
      <c r="H14" s="422"/>
      <c r="I14" s="422"/>
      <c r="J14" s="422"/>
      <c r="K14" s="422"/>
      <c r="L14" s="422"/>
      <c r="M14" s="422"/>
      <c r="N14" s="422"/>
      <c r="O14" s="422"/>
    </row>
    <row r="15" spans="1:15" ht="15">
      <c r="A15" s="334" t="s">
        <v>397</v>
      </c>
      <c r="B15" s="332"/>
      <c r="C15" s="319">
        <v>0</v>
      </c>
      <c r="D15" s="319">
        <v>0</v>
      </c>
      <c r="E15" s="319">
        <v>0</v>
      </c>
      <c r="F15" s="422"/>
      <c r="G15" s="422"/>
      <c r="H15" s="422"/>
      <c r="I15" s="422"/>
      <c r="J15" s="422"/>
      <c r="K15" s="422"/>
      <c r="L15" s="422"/>
      <c r="M15" s="422"/>
      <c r="N15" s="422"/>
      <c r="O15" s="422"/>
    </row>
    <row r="16" spans="1:15" ht="15">
      <c r="A16" s="334" t="s">
        <v>398</v>
      </c>
      <c r="B16" s="332"/>
      <c r="C16" s="366">
        <f>IF(C17*0.1&lt;C15,"Exceed 10% Rule","")</f>
      </c>
      <c r="D16" s="366">
        <f>IF(D17*0.1&lt;D15,"Exceed 10% Rule","")</f>
      </c>
      <c r="E16" s="366">
        <f>IF(E17*0.1&lt;E15,"Exceed 10% Rule","")</f>
      </c>
      <c r="F16" s="422"/>
      <c r="G16" s="422"/>
      <c r="H16" s="422"/>
      <c r="I16" s="422"/>
      <c r="J16" s="422"/>
      <c r="K16" s="422"/>
      <c r="L16" s="422"/>
      <c r="M16" s="422"/>
      <c r="N16" s="422"/>
      <c r="O16" s="422"/>
    </row>
    <row r="17" spans="1:15" ht="15">
      <c r="A17" s="152" t="s">
        <v>114</v>
      </c>
      <c r="B17" s="324"/>
      <c r="C17" s="322">
        <f>SUM(C14:C15)</f>
        <v>0</v>
      </c>
      <c r="D17" s="265">
        <f>SUM(D14:D15)</f>
        <v>1200</v>
      </c>
      <c r="E17" s="265">
        <f>SUM(E14:E15)</f>
        <v>2165</v>
      </c>
      <c r="F17" s="422"/>
      <c r="G17" s="422"/>
      <c r="H17" s="422"/>
      <c r="I17" s="422"/>
      <c r="J17" s="422"/>
      <c r="K17" s="422"/>
      <c r="L17" s="422"/>
      <c r="M17" s="422"/>
      <c r="N17" s="422"/>
      <c r="O17" s="422"/>
    </row>
    <row r="18" spans="1:15" ht="15">
      <c r="A18" s="37" t="s">
        <v>235</v>
      </c>
      <c r="B18" s="324"/>
      <c r="C18" s="330">
        <f>C12-C17</f>
        <v>965</v>
      </c>
      <c r="D18" s="267">
        <f>D12-D17</f>
        <v>965</v>
      </c>
      <c r="E18" s="267">
        <f>E12-E17</f>
        <v>0</v>
      </c>
      <c r="F18" s="422"/>
      <c r="G18" s="422"/>
      <c r="H18" s="422"/>
      <c r="I18" s="422"/>
      <c r="J18" s="422"/>
      <c r="K18" s="422"/>
      <c r="L18" s="422"/>
      <c r="M18" s="422"/>
      <c r="N18" s="422"/>
      <c r="O18" s="422"/>
    </row>
    <row r="19" spans="1:15" ht="15">
      <c r="A19" s="23" t="str">
        <f>CONCATENATE("",E1-2," Budget Authority Limited Amount:")</f>
        <v>2010 Budget Authority Limited Amount:</v>
      </c>
      <c r="B19" s="353">
        <f>inputOth!B66</f>
        <v>2865</v>
      </c>
      <c r="C19" s="169"/>
      <c r="D19" s="169"/>
      <c r="E19" s="169"/>
      <c r="F19" s="422"/>
      <c r="G19" s="422"/>
      <c r="H19" s="422"/>
      <c r="I19" s="422"/>
      <c r="J19" s="422"/>
      <c r="K19" s="422"/>
      <c r="L19" s="422"/>
      <c r="M19" s="422"/>
      <c r="N19" s="422"/>
      <c r="O19" s="422"/>
    </row>
    <row r="20" spans="1:15" ht="15">
      <c r="A20" s="23" t="str">
        <f>CONCATENATE("Violation of Budget Law for ",E1-2,":")</f>
        <v>Violation of Budget Law for 2010:</v>
      </c>
      <c r="B20" s="354">
        <f>IF(C17&gt;B19,"Yes","")</f>
      </c>
      <c r="C20" s="169"/>
      <c r="D20" s="169"/>
      <c r="E20" s="169"/>
      <c r="F20" s="422"/>
      <c r="G20" s="422"/>
      <c r="H20" s="422"/>
      <c r="I20" s="422"/>
      <c r="J20" s="422"/>
      <c r="K20" s="422"/>
      <c r="L20" s="422"/>
      <c r="M20" s="422"/>
      <c r="N20" s="422"/>
      <c r="O20" s="422"/>
    </row>
    <row r="21" spans="1:15" ht="15">
      <c r="A21" s="23" t="str">
        <f>CONCATENATE("Possible Cash Violation for ",E1-2,":")</f>
        <v>Possible Cash Violation for 2010:</v>
      </c>
      <c r="B21" s="354">
        <f>IF(C18&lt;0,"Yes","")</f>
      </c>
      <c r="C21" s="169"/>
      <c r="D21" s="169"/>
      <c r="E21" s="169"/>
      <c r="F21" s="422"/>
      <c r="G21" s="422"/>
      <c r="H21" s="422"/>
      <c r="I21" s="422"/>
      <c r="J21" s="422"/>
      <c r="K21" s="422"/>
      <c r="L21" s="422"/>
      <c r="M21" s="422"/>
      <c r="N21" s="422"/>
      <c r="O21" s="422"/>
    </row>
    <row r="22" spans="1:15" ht="15">
      <c r="A22" s="23"/>
      <c r="B22" s="354"/>
      <c r="C22" s="169"/>
      <c r="D22" s="169"/>
      <c r="E22" s="169"/>
      <c r="F22" s="422"/>
      <c r="G22" s="422"/>
      <c r="H22" s="422"/>
      <c r="I22" s="422"/>
      <c r="J22" s="422"/>
      <c r="K22" s="422"/>
      <c r="L22" s="422"/>
      <c r="M22" s="422"/>
      <c r="N22" s="422"/>
      <c r="O22" s="422"/>
    </row>
    <row r="23" spans="1:15" ht="15">
      <c r="A23" s="25" t="s">
        <v>100</v>
      </c>
      <c r="B23" s="25"/>
      <c r="C23" s="93" t="s">
        <v>124</v>
      </c>
      <c r="D23" s="33" t="s">
        <v>262</v>
      </c>
      <c r="E23" s="33" t="s">
        <v>263</v>
      </c>
      <c r="F23" s="422"/>
      <c r="G23" s="422"/>
      <c r="H23" s="422"/>
      <c r="I23" s="422"/>
      <c r="J23" s="422"/>
      <c r="K23" s="422"/>
      <c r="L23" s="422"/>
      <c r="M23" s="422"/>
      <c r="N23" s="422"/>
      <c r="O23" s="422"/>
    </row>
    <row r="24" spans="1:15" ht="15">
      <c r="A24" s="137" t="str">
        <f>(inputPrYr!B30)</f>
        <v>Housing Grant Fund</v>
      </c>
      <c r="B24" s="137"/>
      <c r="C24" s="147">
        <f>E1-2</f>
        <v>2010</v>
      </c>
      <c r="D24" s="147">
        <f>E1-1</f>
        <v>2011</v>
      </c>
      <c r="E24" s="147">
        <f>inputPrYr!$C$5</f>
        <v>2012</v>
      </c>
      <c r="F24" s="422"/>
      <c r="G24" s="422"/>
      <c r="H24" s="422"/>
      <c r="I24" s="422"/>
      <c r="J24" s="422"/>
      <c r="K24" s="422"/>
      <c r="L24" s="422"/>
      <c r="M24" s="422"/>
      <c r="N24" s="422"/>
      <c r="O24" s="422"/>
    </row>
    <row r="25" spans="1:15" ht="15">
      <c r="A25" s="37" t="s">
        <v>234</v>
      </c>
      <c r="B25" s="324"/>
      <c r="C25" s="328">
        <v>1004</v>
      </c>
      <c r="D25" s="85">
        <f>C40</f>
        <v>0</v>
      </c>
      <c r="E25" s="85">
        <f>D40</f>
        <v>0</v>
      </c>
      <c r="F25" s="422"/>
      <c r="G25" s="422"/>
      <c r="H25" s="422"/>
      <c r="I25" s="422"/>
      <c r="J25" s="422"/>
      <c r="K25" s="422"/>
      <c r="L25" s="422"/>
      <c r="M25" s="422"/>
      <c r="N25" s="422"/>
      <c r="O25" s="422"/>
    </row>
    <row r="26" spans="1:15" ht="15">
      <c r="A26" s="323" t="s">
        <v>236</v>
      </c>
      <c r="B26" s="324"/>
      <c r="C26" s="320"/>
      <c r="D26" s="40"/>
      <c r="E26" s="40"/>
      <c r="F26" s="422"/>
      <c r="G26" s="422"/>
      <c r="H26" s="422"/>
      <c r="I26" s="422"/>
      <c r="J26" s="422"/>
      <c r="K26" s="422"/>
      <c r="L26" s="422"/>
      <c r="M26" s="422"/>
      <c r="N26" s="422"/>
      <c r="O26" s="422"/>
    </row>
    <row r="27" spans="1:15" ht="15">
      <c r="A27" s="316" t="s">
        <v>56</v>
      </c>
      <c r="B27" s="325"/>
      <c r="C27" s="319">
        <v>3000</v>
      </c>
      <c r="D27" s="14">
        <v>0</v>
      </c>
      <c r="E27" s="14">
        <v>0</v>
      </c>
      <c r="F27" s="423"/>
      <c r="G27" s="422"/>
      <c r="H27" s="422"/>
      <c r="I27" s="422"/>
      <c r="J27" s="422"/>
      <c r="K27" s="422"/>
      <c r="L27" s="422"/>
      <c r="M27" s="422"/>
      <c r="N27" s="422"/>
      <c r="O27" s="422"/>
    </row>
    <row r="28" spans="1:15" ht="15">
      <c r="A28" s="318" t="s">
        <v>57</v>
      </c>
      <c r="B28" s="325"/>
      <c r="C28" s="319">
        <v>0</v>
      </c>
      <c r="D28" s="14">
        <v>0</v>
      </c>
      <c r="E28" s="14">
        <v>0</v>
      </c>
      <c r="F28" s="422"/>
      <c r="G28" s="422"/>
      <c r="H28" s="422"/>
      <c r="I28" s="422"/>
      <c r="J28" s="422"/>
      <c r="K28" s="422"/>
      <c r="L28" s="422"/>
      <c r="M28" s="422"/>
      <c r="N28" s="422"/>
      <c r="O28" s="422"/>
    </row>
    <row r="29" spans="1:15" ht="15">
      <c r="A29" s="336" t="s">
        <v>397</v>
      </c>
      <c r="B29" s="332"/>
      <c r="C29" s="319">
        <v>0</v>
      </c>
      <c r="D29" s="319">
        <v>0</v>
      </c>
      <c r="E29" s="319">
        <v>0</v>
      </c>
      <c r="F29" s="422"/>
      <c r="G29" s="422"/>
      <c r="H29" s="422"/>
      <c r="I29" s="422"/>
      <c r="J29" s="422"/>
      <c r="K29" s="422"/>
      <c r="L29" s="422"/>
      <c r="M29" s="422"/>
      <c r="N29" s="422"/>
      <c r="O29" s="422"/>
    </row>
    <row r="30" spans="1:15" ht="15">
      <c r="A30" s="326" t="s">
        <v>399</v>
      </c>
      <c r="B30" s="332"/>
      <c r="C30" s="366">
        <f>IF(C31*0.1&lt;C29,"Exceed 10% Rule","")</f>
      </c>
      <c r="D30" s="366">
        <f>IF(D31*0.1&lt;D29,"Exceed 10% Rule","")</f>
      </c>
      <c r="E30" s="366">
        <f>IF(E31*0.1&lt;E29,"Exceed 10% Rule","")</f>
      </c>
      <c r="F30" s="422"/>
      <c r="G30" s="424"/>
      <c r="H30" s="422"/>
      <c r="I30" s="422"/>
      <c r="J30" s="422"/>
      <c r="K30" s="422"/>
      <c r="L30" s="422"/>
      <c r="M30" s="422"/>
      <c r="N30" s="422"/>
      <c r="O30" s="422"/>
    </row>
    <row r="31" spans="1:15" ht="15">
      <c r="A31" s="152" t="s">
        <v>107</v>
      </c>
      <c r="B31" s="324"/>
      <c r="C31" s="322">
        <f>SUM(C27:C29)</f>
        <v>3000</v>
      </c>
      <c r="D31" s="265">
        <f>SUM(D27:D29)</f>
        <v>0</v>
      </c>
      <c r="E31" s="265">
        <f>SUM(E27:E29)</f>
        <v>0</v>
      </c>
      <c r="F31" s="422"/>
      <c r="G31" s="422"/>
      <c r="H31" s="422"/>
      <c r="I31" s="422"/>
      <c r="J31" s="422"/>
      <c r="K31" s="422"/>
      <c r="L31" s="422"/>
      <c r="M31" s="422"/>
      <c r="N31" s="422"/>
      <c r="O31" s="422"/>
    </row>
    <row r="32" spans="1:15" ht="15">
      <c r="A32" s="152" t="s">
        <v>108</v>
      </c>
      <c r="B32" s="324"/>
      <c r="C32" s="329">
        <f>C25+C31</f>
        <v>4004</v>
      </c>
      <c r="D32" s="268">
        <f>D25+D31</f>
        <v>0</v>
      </c>
      <c r="E32" s="268">
        <f>E25+E31</f>
        <v>0</v>
      </c>
      <c r="F32" s="422"/>
      <c r="G32" s="424"/>
      <c r="H32" s="422"/>
      <c r="I32" s="422"/>
      <c r="J32" s="422"/>
      <c r="K32" s="422"/>
      <c r="L32" s="422"/>
      <c r="M32" s="422"/>
      <c r="N32" s="422"/>
      <c r="O32" s="422"/>
    </row>
    <row r="33" spans="1:15" ht="15">
      <c r="A33" s="37" t="s">
        <v>110</v>
      </c>
      <c r="B33" s="324"/>
      <c r="C33" s="320"/>
      <c r="D33" s="40"/>
      <c r="E33" s="40"/>
      <c r="F33" s="422"/>
      <c r="G33" s="424"/>
      <c r="H33" s="422"/>
      <c r="I33" s="422"/>
      <c r="J33" s="422"/>
      <c r="K33" s="422"/>
      <c r="L33" s="422"/>
      <c r="M33" s="422"/>
      <c r="N33" s="422"/>
      <c r="O33" s="422"/>
    </row>
    <row r="34" spans="1:15" ht="15">
      <c r="A34" s="316" t="s">
        <v>58</v>
      </c>
      <c r="B34" s="325"/>
      <c r="C34" s="321">
        <v>0</v>
      </c>
      <c r="D34" s="14">
        <v>0</v>
      </c>
      <c r="E34" s="14">
        <v>0</v>
      </c>
      <c r="F34" s="422"/>
      <c r="G34" s="422"/>
      <c r="H34" s="422"/>
      <c r="I34" s="422"/>
      <c r="J34" s="422"/>
      <c r="K34" s="422"/>
      <c r="L34" s="422"/>
      <c r="M34" s="422"/>
      <c r="N34" s="422"/>
      <c r="O34" s="422"/>
    </row>
    <row r="35" spans="1:15" ht="15">
      <c r="A35" s="316" t="s">
        <v>59</v>
      </c>
      <c r="B35" s="325"/>
      <c r="C35" s="321">
        <v>4000</v>
      </c>
      <c r="D35" s="14">
        <v>0</v>
      </c>
      <c r="E35" s="14">
        <v>0</v>
      </c>
      <c r="F35" s="422"/>
      <c r="G35" s="422"/>
      <c r="H35" s="422"/>
      <c r="I35" s="422"/>
      <c r="J35" s="422"/>
      <c r="K35" s="422"/>
      <c r="L35" s="422"/>
      <c r="M35" s="422"/>
      <c r="N35" s="422"/>
      <c r="O35" s="422"/>
    </row>
    <row r="36" spans="1:15" ht="15">
      <c r="A36" s="316" t="s">
        <v>486</v>
      </c>
      <c r="B36" s="325"/>
      <c r="C36" s="319">
        <v>4</v>
      </c>
      <c r="D36" s="14">
        <v>0</v>
      </c>
      <c r="E36" s="14">
        <v>0</v>
      </c>
      <c r="F36" s="422"/>
      <c r="G36" s="422"/>
      <c r="H36" s="422"/>
      <c r="I36" s="422"/>
      <c r="J36" s="422"/>
      <c r="K36" s="422"/>
      <c r="L36" s="422"/>
      <c r="M36" s="422"/>
      <c r="N36" s="422"/>
      <c r="O36" s="422"/>
    </row>
    <row r="37" spans="1:15" ht="15">
      <c r="A37" s="334" t="s">
        <v>397</v>
      </c>
      <c r="B37" s="332"/>
      <c r="C37" s="319">
        <v>0</v>
      </c>
      <c r="D37" s="319">
        <v>0</v>
      </c>
      <c r="E37" s="319">
        <v>0</v>
      </c>
      <c r="F37" s="422"/>
      <c r="G37" s="422"/>
      <c r="H37" s="422"/>
      <c r="I37" s="422"/>
      <c r="J37" s="422"/>
      <c r="K37" s="422"/>
      <c r="L37" s="422"/>
      <c r="M37" s="422"/>
      <c r="N37" s="422"/>
      <c r="O37" s="422"/>
    </row>
    <row r="38" spans="1:15" ht="15">
      <c r="A38" s="334" t="s">
        <v>398</v>
      </c>
      <c r="B38" s="332"/>
      <c r="C38" s="366">
        <f>IF(C39*0.1&lt;C37,"Exceed 10% Rule","")</f>
      </c>
      <c r="D38" s="366">
        <f>IF(D39*0.1&lt;D37,"Exceed 10% Rule","")</f>
      </c>
      <c r="E38" s="366">
        <f>IF(E39*0.1&lt;E37,"Exceed 10% Rule","")</f>
      </c>
      <c r="F38" s="422"/>
      <c r="G38" s="422"/>
      <c r="H38" s="422"/>
      <c r="I38" s="422"/>
      <c r="J38" s="422"/>
      <c r="K38" s="422"/>
      <c r="L38" s="422"/>
      <c r="M38" s="422"/>
      <c r="N38" s="422"/>
      <c r="O38" s="422"/>
    </row>
    <row r="39" spans="1:15" ht="15">
      <c r="A39" s="152" t="s">
        <v>114</v>
      </c>
      <c r="B39" s="324"/>
      <c r="C39" s="322">
        <f>SUM(C34:C37)</f>
        <v>4004</v>
      </c>
      <c r="D39" s="265">
        <f>SUM(D34:D37)</f>
        <v>0</v>
      </c>
      <c r="E39" s="265">
        <f>SUM(E34:E37)</f>
        <v>0</v>
      </c>
      <c r="F39" s="422"/>
      <c r="G39" s="422"/>
      <c r="H39" s="422"/>
      <c r="I39" s="422"/>
      <c r="J39" s="422"/>
      <c r="K39" s="422"/>
      <c r="L39" s="422"/>
      <c r="M39" s="422"/>
      <c r="N39" s="422"/>
      <c r="O39" s="422"/>
    </row>
    <row r="40" spans="1:15" ht="15">
      <c r="A40" s="37" t="s">
        <v>235</v>
      </c>
      <c r="B40" s="324"/>
      <c r="C40" s="330">
        <f>C32-C39</f>
        <v>0</v>
      </c>
      <c r="D40" s="267">
        <f>D32-D39</f>
        <v>0</v>
      </c>
      <c r="E40" s="267">
        <f>E32-E39</f>
        <v>0</v>
      </c>
      <c r="F40" s="422"/>
      <c r="G40" s="422"/>
      <c r="H40" s="422"/>
      <c r="I40" s="422"/>
      <c r="J40" s="422"/>
      <c r="K40" s="422"/>
      <c r="L40" s="422"/>
      <c r="M40" s="422"/>
      <c r="N40" s="422"/>
      <c r="O40" s="422"/>
    </row>
    <row r="41" spans="1:15" ht="15">
      <c r="A41" s="23" t="str">
        <f>CONCATENATE("",E1-2," Budget Authority Limited Amount:")</f>
        <v>2010 Budget Authority Limited Amount:</v>
      </c>
      <c r="B41" s="353">
        <f>inputOth!B67</f>
        <v>0</v>
      </c>
      <c r="C41" s="169"/>
      <c r="D41" s="169"/>
      <c r="E41" s="169"/>
      <c r="F41" s="422"/>
      <c r="G41" s="422"/>
      <c r="H41" s="422"/>
      <c r="I41" s="422"/>
      <c r="J41" s="422"/>
      <c r="K41" s="422"/>
      <c r="L41" s="422"/>
      <c r="M41" s="422"/>
      <c r="N41" s="422"/>
      <c r="O41" s="422"/>
    </row>
    <row r="42" spans="1:15" ht="15">
      <c r="A42" s="23" t="str">
        <f>CONCATENATE("Violation of Budget Law for ",E1-2,":")</f>
        <v>Violation of Budget Law for 2010:</v>
      </c>
      <c r="B42" s="354" t="str">
        <f>IF(C39&gt;B41,"Yes","")</f>
        <v>Yes</v>
      </c>
      <c r="C42" s="393" t="s">
        <v>62</v>
      </c>
      <c r="D42" s="169"/>
      <c r="E42" s="169"/>
      <c r="F42" s="422"/>
      <c r="G42" s="422"/>
      <c r="H42" s="422"/>
      <c r="I42" s="422"/>
      <c r="J42" s="422"/>
      <c r="K42" s="422"/>
      <c r="L42" s="422"/>
      <c r="M42" s="422"/>
      <c r="N42" s="422"/>
      <c r="O42" s="422"/>
    </row>
    <row r="43" spans="1:15" ht="15">
      <c r="A43" s="23" t="str">
        <f>CONCATENATE("Possible Cash Violation for ",E1-2,":")</f>
        <v>Possible Cash Violation for 2010:</v>
      </c>
      <c r="B43" s="354">
        <f>IF(C40&lt;0,"Yes","")</f>
      </c>
      <c r="C43" s="393" t="s">
        <v>63</v>
      </c>
      <c r="D43" s="169"/>
      <c r="E43" s="169"/>
      <c r="F43" s="422"/>
      <c r="G43" s="422"/>
      <c r="H43" s="422"/>
      <c r="I43" s="422"/>
      <c r="J43" s="422"/>
      <c r="K43" s="422"/>
      <c r="L43" s="422"/>
      <c r="M43" s="422"/>
      <c r="N43" s="422"/>
      <c r="O43" s="422"/>
    </row>
    <row r="44" spans="1:15" ht="15">
      <c r="A44" s="23"/>
      <c r="B44" s="354"/>
      <c r="C44" s="169"/>
      <c r="D44" s="169"/>
      <c r="E44" s="169"/>
      <c r="F44" s="422"/>
      <c r="G44" s="422"/>
      <c r="H44" s="422"/>
      <c r="I44" s="422"/>
      <c r="J44" s="422"/>
      <c r="K44" s="422"/>
      <c r="L44" s="422"/>
      <c r="M44" s="422"/>
      <c r="N44" s="422"/>
      <c r="O44" s="422"/>
    </row>
    <row r="45" spans="1:15" ht="15">
      <c r="A45" s="23"/>
      <c r="B45" s="354"/>
      <c r="C45" s="169"/>
      <c r="D45" s="169"/>
      <c r="E45" s="169"/>
      <c r="F45" s="422"/>
      <c r="G45" s="422"/>
      <c r="H45" s="422"/>
      <c r="I45" s="422"/>
      <c r="J45" s="422"/>
      <c r="K45" s="422"/>
      <c r="L45" s="422"/>
      <c r="M45" s="422"/>
      <c r="N45" s="422"/>
      <c r="O45" s="422"/>
    </row>
    <row r="46" spans="1:5" ht="15">
      <c r="A46" s="23"/>
      <c r="B46" s="354"/>
      <c r="C46" s="169"/>
      <c r="D46" s="169"/>
      <c r="E46" s="169"/>
    </row>
    <row r="47" spans="1:5" ht="15">
      <c r="A47" s="169"/>
      <c r="B47" s="169"/>
      <c r="C47" s="169"/>
      <c r="D47" s="169"/>
      <c r="E47" s="169"/>
    </row>
    <row r="48" spans="1:5" ht="15">
      <c r="A48" s="24"/>
      <c r="B48" s="24" t="s">
        <v>118</v>
      </c>
      <c r="C48" s="314">
        <v>11</v>
      </c>
      <c r="D48" s="169"/>
      <c r="E48" s="169"/>
    </row>
  </sheetData>
  <sheetProtection/>
  <conditionalFormatting sqref="C15">
    <cfRule type="cellIs" priority="7" dxfId="138" operator="greaterThan" stopIfTrue="1">
      <formula>$C$17*0.1</formula>
    </cfRule>
  </conditionalFormatting>
  <conditionalFormatting sqref="D15">
    <cfRule type="cellIs" priority="8" dxfId="138" operator="greaterThan" stopIfTrue="1">
      <formula>$D$17*0.1</formula>
    </cfRule>
  </conditionalFormatting>
  <conditionalFormatting sqref="E15">
    <cfRule type="cellIs" priority="9" dxfId="138" operator="greaterThan" stopIfTrue="1">
      <formula>$E$17*0.1</formula>
    </cfRule>
  </conditionalFormatting>
  <conditionalFormatting sqref="C9">
    <cfRule type="cellIs" priority="10" dxfId="138" operator="greaterThan" stopIfTrue="1">
      <formula>$C$11*0.1</formula>
    </cfRule>
  </conditionalFormatting>
  <conditionalFormatting sqref="D9">
    <cfRule type="cellIs" priority="11" dxfId="138" operator="greaterThan" stopIfTrue="1">
      <formula>$D$11*0.1</formula>
    </cfRule>
  </conditionalFormatting>
  <conditionalFormatting sqref="E9">
    <cfRule type="cellIs" priority="12" dxfId="138" operator="greaterThan" stopIfTrue="1">
      <formula>$E$11*0.1</formula>
    </cfRule>
  </conditionalFormatting>
  <conditionalFormatting sqref="C37">
    <cfRule type="cellIs" priority="6" dxfId="138" operator="greaterThan" stopIfTrue="1">
      <formula>$C$17*0.1</formula>
    </cfRule>
  </conditionalFormatting>
  <conditionalFormatting sqref="D37">
    <cfRule type="cellIs" priority="5" dxfId="138" operator="greaterThan" stopIfTrue="1">
      <formula>$D$17*0.1</formula>
    </cfRule>
  </conditionalFormatting>
  <conditionalFormatting sqref="E37">
    <cfRule type="cellIs" priority="4" dxfId="138" operator="greaterThan" stopIfTrue="1">
      <formula>$E$17*0.1</formula>
    </cfRule>
  </conditionalFormatting>
  <conditionalFormatting sqref="C29">
    <cfRule type="cellIs" priority="3" dxfId="138" operator="greaterThan" stopIfTrue="1">
      <formula>$C$11*0.1</formula>
    </cfRule>
  </conditionalFormatting>
  <conditionalFormatting sqref="D29">
    <cfRule type="cellIs" priority="2" dxfId="138" operator="greaterThan" stopIfTrue="1">
      <formula>$D$11*0.1</formula>
    </cfRule>
  </conditionalFormatting>
  <conditionalFormatting sqref="E29">
    <cfRule type="cellIs" priority="1" dxfId="138" operator="greaterThan" stopIfTrue="1">
      <formula>$E$11*0.1</formula>
    </cfRule>
  </conditionalFormatting>
  <printOptions/>
  <pageMargins left="0.75" right="0.75" top="1" bottom="1" header="0.5" footer="0.5"/>
  <pageSetup blackAndWhite="1" fitToHeight="1" fitToWidth="1" horizontalDpi="600" verticalDpi="600" orientation="portrait" scale="87" r:id="rId1"/>
  <headerFooter alignWithMargins="0">
    <oddHeader>&amp;RState of Kansas
City</oddHeader>
    <oddFooter>&amp;Lrevised 8/06/07</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I16" sqref="I16"/>
    </sheetView>
  </sheetViews>
  <sheetFormatPr defaultColWidth="8.796875" defaultRowHeight="15"/>
  <cols>
    <col min="1" max="1" width="27.59765625" style="0" customWidth="1"/>
    <col min="2" max="2" width="9.59765625" style="0" customWidth="1"/>
    <col min="3" max="5" width="15.69921875" style="0" customWidth="1"/>
  </cols>
  <sheetData>
    <row r="1" spans="1:5" ht="15">
      <c r="A1" s="72" t="str">
        <f>(inputPrYr!D2)</f>
        <v>CITY OF BLUE RAPIDS</v>
      </c>
      <c r="B1" s="72"/>
      <c r="C1" s="21"/>
      <c r="D1" s="21"/>
      <c r="E1" s="143">
        <f>inputPrYr!$C$5</f>
        <v>2012</v>
      </c>
    </row>
    <row r="2" spans="1:5" ht="15">
      <c r="A2" s="21"/>
      <c r="B2" s="21"/>
      <c r="C2" s="21"/>
      <c r="D2" s="21"/>
      <c r="E2" s="24"/>
    </row>
    <row r="3" spans="1:5" ht="15">
      <c r="A3" s="90" t="s">
        <v>178</v>
      </c>
      <c r="B3" s="90"/>
      <c r="C3" s="197"/>
      <c r="D3" s="197"/>
      <c r="E3" s="198"/>
    </row>
    <row r="4" spans="1:5" ht="15">
      <c r="A4" s="25" t="s">
        <v>100</v>
      </c>
      <c r="B4" s="25"/>
      <c r="C4" s="93" t="s">
        <v>124</v>
      </c>
      <c r="D4" s="33" t="s">
        <v>262</v>
      </c>
      <c r="E4" s="33" t="s">
        <v>263</v>
      </c>
    </row>
    <row r="5" spans="1:12" ht="15">
      <c r="A5" s="137" t="str">
        <f>inputPrYr!B33</f>
        <v>Water Storage Grant Fund</v>
      </c>
      <c r="B5" s="137"/>
      <c r="C5" s="147">
        <f>E1-2</f>
        <v>2010</v>
      </c>
      <c r="D5" s="147">
        <f>E1-1</f>
        <v>2011</v>
      </c>
      <c r="E5" s="147">
        <f>inputPrYr!$C$5</f>
        <v>2012</v>
      </c>
      <c r="F5" s="422"/>
      <c r="G5" s="422"/>
      <c r="H5" s="422"/>
      <c r="I5" s="422"/>
      <c r="J5" s="422"/>
      <c r="K5" s="422"/>
      <c r="L5" s="422"/>
    </row>
    <row r="6" spans="1:12" ht="15">
      <c r="A6" s="37" t="s">
        <v>234</v>
      </c>
      <c r="B6" s="324"/>
      <c r="C6" s="328">
        <v>0</v>
      </c>
      <c r="D6" s="85">
        <f>C22</f>
        <v>-104258</v>
      </c>
      <c r="E6" s="85">
        <f>D22</f>
        <v>0</v>
      </c>
      <c r="F6" s="423"/>
      <c r="G6" s="422"/>
      <c r="H6" s="422"/>
      <c r="I6" s="422"/>
      <c r="J6" s="422"/>
      <c r="K6" s="422"/>
      <c r="L6" s="422"/>
    </row>
    <row r="7" spans="1:12" ht="15">
      <c r="A7" s="323" t="s">
        <v>236</v>
      </c>
      <c r="B7" s="324"/>
      <c r="C7" s="320"/>
      <c r="D7" s="40"/>
      <c r="E7" s="40"/>
      <c r="F7" s="422"/>
      <c r="G7" s="422"/>
      <c r="H7" s="422"/>
      <c r="I7" s="422"/>
      <c r="J7" s="422"/>
      <c r="K7" s="422"/>
      <c r="L7" s="422"/>
    </row>
    <row r="8" spans="1:12" ht="15">
      <c r="A8" s="316" t="s">
        <v>489</v>
      </c>
      <c r="B8" s="325"/>
      <c r="C8" s="319">
        <v>151372</v>
      </c>
      <c r="D8" s="14">
        <v>53973</v>
      </c>
      <c r="E8" s="14">
        <v>0</v>
      </c>
      <c r="F8" s="422"/>
      <c r="G8" s="422"/>
      <c r="H8" s="422"/>
      <c r="I8" s="422"/>
      <c r="J8" s="422"/>
      <c r="K8" s="422"/>
      <c r="L8" s="422"/>
    </row>
    <row r="9" spans="1:12" ht="15">
      <c r="A9" s="316" t="s">
        <v>490</v>
      </c>
      <c r="B9" s="325"/>
      <c r="C9" s="319">
        <v>146545</v>
      </c>
      <c r="D9" s="14">
        <v>61521</v>
      </c>
      <c r="E9" s="14">
        <v>0</v>
      </c>
      <c r="F9" s="422"/>
      <c r="G9" s="425"/>
      <c r="H9" s="422"/>
      <c r="I9" s="422"/>
      <c r="J9" s="422"/>
      <c r="K9" s="422"/>
      <c r="L9" s="422"/>
    </row>
    <row r="10" spans="1:12" ht="15">
      <c r="A10" s="316" t="s">
        <v>500</v>
      </c>
      <c r="B10" s="325"/>
      <c r="C10" s="319">
        <v>1</v>
      </c>
      <c r="D10" s="14">
        <v>0</v>
      </c>
      <c r="E10" s="14">
        <v>0</v>
      </c>
      <c r="F10" s="422"/>
      <c r="G10" s="422"/>
      <c r="H10" s="422"/>
      <c r="I10" s="422"/>
      <c r="J10" s="422"/>
      <c r="K10" s="422"/>
      <c r="L10" s="422"/>
    </row>
    <row r="11" spans="1:12" ht="15">
      <c r="A11" s="318" t="s">
        <v>476</v>
      </c>
      <c r="B11" s="325"/>
      <c r="C11" s="319">
        <v>25</v>
      </c>
      <c r="D11" s="14">
        <v>0</v>
      </c>
      <c r="E11" s="14">
        <v>0</v>
      </c>
      <c r="F11" s="422"/>
      <c r="G11" s="422"/>
      <c r="H11" s="422"/>
      <c r="I11" s="422"/>
      <c r="J11" s="422"/>
      <c r="K11" s="422"/>
      <c r="L11" s="422"/>
    </row>
    <row r="12" spans="1:12" ht="15">
      <c r="A12" s="336" t="s">
        <v>397</v>
      </c>
      <c r="B12" s="332"/>
      <c r="C12" s="319">
        <v>0</v>
      </c>
      <c r="D12" s="319">
        <v>0</v>
      </c>
      <c r="E12" s="319">
        <v>0</v>
      </c>
      <c r="F12" s="422"/>
      <c r="G12" s="422"/>
      <c r="H12" s="422"/>
      <c r="I12" s="422"/>
      <c r="J12" s="422"/>
      <c r="K12" s="422"/>
      <c r="L12" s="422"/>
    </row>
    <row r="13" spans="1:12" ht="15">
      <c r="A13" s="326" t="s">
        <v>399</v>
      </c>
      <c r="B13" s="332"/>
      <c r="C13" s="366">
        <f>IF(C14*0.1&lt;C12,"Exceed 10% Rule","")</f>
      </c>
      <c r="D13" s="366">
        <f>IF(D14*0.1&lt;D12,"Exceed 10% Rule","")</f>
      </c>
      <c r="E13" s="366">
        <f>IF(E14*0.1&lt;E12,"Exceed 10% Rule","")</f>
      </c>
      <c r="F13" s="422"/>
      <c r="G13" s="422"/>
      <c r="H13" s="422"/>
      <c r="I13" s="422"/>
      <c r="J13" s="422"/>
      <c r="K13" s="422"/>
      <c r="L13" s="422"/>
    </row>
    <row r="14" spans="1:12" ht="15">
      <c r="A14" s="152" t="s">
        <v>107</v>
      </c>
      <c r="B14" s="324"/>
      <c r="C14" s="322">
        <f>SUM(C8:C12)</f>
        <v>297943</v>
      </c>
      <c r="D14" s="265">
        <f>SUM(D8:D12)</f>
        <v>115494</v>
      </c>
      <c r="E14" s="265">
        <f>SUM(E8:E12)</f>
        <v>0</v>
      </c>
      <c r="F14" s="422"/>
      <c r="G14" s="422"/>
      <c r="H14" s="422"/>
      <c r="I14" s="422"/>
      <c r="J14" s="422"/>
      <c r="K14" s="422"/>
      <c r="L14" s="422"/>
    </row>
    <row r="15" spans="1:12" ht="15">
      <c r="A15" s="152" t="s">
        <v>108</v>
      </c>
      <c r="B15" s="324"/>
      <c r="C15" s="329">
        <f>C6+C14</f>
        <v>297943</v>
      </c>
      <c r="D15" s="268">
        <f>D6+D14</f>
        <v>11236</v>
      </c>
      <c r="E15" s="268">
        <f>E6+E14</f>
        <v>0</v>
      </c>
      <c r="F15" s="422"/>
      <c r="G15" s="422"/>
      <c r="H15" s="422"/>
      <c r="I15" s="422"/>
      <c r="J15" s="422"/>
      <c r="K15" s="422"/>
      <c r="L15" s="422"/>
    </row>
    <row r="16" spans="1:12" ht="15">
      <c r="A16" s="37" t="s">
        <v>110</v>
      </c>
      <c r="B16" s="324"/>
      <c r="C16" s="320"/>
      <c r="D16" s="40"/>
      <c r="E16" s="40"/>
      <c r="F16" s="422"/>
      <c r="G16" s="422"/>
      <c r="H16" s="422"/>
      <c r="I16" s="422"/>
      <c r="J16" s="422"/>
      <c r="K16" s="422"/>
      <c r="L16" s="422"/>
    </row>
    <row r="17" spans="1:12" ht="15">
      <c r="A17" s="316" t="s">
        <v>501</v>
      </c>
      <c r="B17" s="325"/>
      <c r="C17" s="321">
        <v>335469</v>
      </c>
      <c r="D17" s="14">
        <v>0</v>
      </c>
      <c r="E17" s="14">
        <v>0</v>
      </c>
      <c r="F17" s="422"/>
      <c r="G17" s="422"/>
      <c r="H17" s="422"/>
      <c r="I17" s="422"/>
      <c r="J17" s="422"/>
      <c r="K17" s="422"/>
      <c r="L17" s="422"/>
    </row>
    <row r="18" spans="1:12" ht="15">
      <c r="A18" s="316" t="s">
        <v>502</v>
      </c>
      <c r="B18" s="325"/>
      <c r="C18" s="319">
        <v>66732</v>
      </c>
      <c r="D18" s="14">
        <v>11236</v>
      </c>
      <c r="E18" s="14">
        <v>0</v>
      </c>
      <c r="F18" s="422"/>
      <c r="G18" s="422"/>
      <c r="H18" s="422"/>
      <c r="I18" s="422"/>
      <c r="J18" s="422"/>
      <c r="K18" s="422"/>
      <c r="L18" s="422"/>
    </row>
    <row r="19" spans="1:12" ht="15">
      <c r="A19" s="334" t="s">
        <v>397</v>
      </c>
      <c r="B19" s="332"/>
      <c r="C19" s="319">
        <v>0</v>
      </c>
      <c r="D19" s="319">
        <v>0</v>
      </c>
      <c r="E19" s="319">
        <v>0</v>
      </c>
      <c r="F19" s="422"/>
      <c r="G19" s="422"/>
      <c r="H19" s="422"/>
      <c r="I19" s="422"/>
      <c r="J19" s="422"/>
      <c r="K19" s="422"/>
      <c r="L19" s="422"/>
    </row>
    <row r="20" spans="1:12" ht="15">
      <c r="A20" s="334" t="s">
        <v>398</v>
      </c>
      <c r="B20" s="332"/>
      <c r="C20" s="366">
        <f>IF(C21*0.1&lt;C19,"Exceed 10% Rule","")</f>
      </c>
      <c r="D20" s="366">
        <f>IF(D21*0.1&lt;D19,"Exceed 10% Rule","")</f>
      </c>
      <c r="E20" s="366">
        <f>IF(E21*0.1&lt;E19,"Exceed 10% Rule","")</f>
      </c>
      <c r="F20" s="422"/>
      <c r="G20" s="422"/>
      <c r="H20" s="422"/>
      <c r="I20" s="422"/>
      <c r="J20" s="422"/>
      <c r="K20" s="422"/>
      <c r="L20" s="422"/>
    </row>
    <row r="21" spans="1:12" ht="15">
      <c r="A21" s="152" t="s">
        <v>114</v>
      </c>
      <c r="B21" s="324"/>
      <c r="C21" s="322">
        <f>SUM(C17:C19)</f>
        <v>402201</v>
      </c>
      <c r="D21" s="265">
        <f>SUM(D17:D19)</f>
        <v>11236</v>
      </c>
      <c r="E21" s="265">
        <f>SUM(E17:E19)</f>
        <v>0</v>
      </c>
      <c r="F21" s="422"/>
      <c r="G21" s="422"/>
      <c r="H21" s="422"/>
      <c r="I21" s="422"/>
      <c r="J21" s="422"/>
      <c r="K21" s="422"/>
      <c r="L21" s="422"/>
    </row>
    <row r="22" spans="1:12" ht="15">
      <c r="A22" s="37" t="s">
        <v>235</v>
      </c>
      <c r="B22" s="324"/>
      <c r="C22" s="330">
        <f>C15-C21</f>
        <v>-104258</v>
      </c>
      <c r="D22" s="267">
        <f>D15-D21</f>
        <v>0</v>
      </c>
      <c r="E22" s="267">
        <f>E15-E21</f>
        <v>0</v>
      </c>
      <c r="F22" s="422"/>
      <c r="G22" s="422"/>
      <c r="H22" s="422"/>
      <c r="I22" s="422"/>
      <c r="J22" s="422"/>
      <c r="K22" s="422"/>
      <c r="L22" s="422"/>
    </row>
    <row r="23" spans="1:12" ht="15">
      <c r="A23" s="23" t="str">
        <f>CONCATENATE("",E1-2," Budget Authority Limited Amount:")</f>
        <v>2010 Budget Authority Limited Amount:</v>
      </c>
      <c r="B23" s="353">
        <f>inputOth!B68</f>
        <v>0</v>
      </c>
      <c r="C23" s="169"/>
      <c r="D23" s="169"/>
      <c r="E23" s="169"/>
      <c r="F23" s="422"/>
      <c r="G23" s="422"/>
      <c r="H23" s="422"/>
      <c r="I23" s="422"/>
      <c r="J23" s="422"/>
      <c r="K23" s="422"/>
      <c r="L23" s="422"/>
    </row>
    <row r="24" spans="1:12" ht="15">
      <c r="A24" s="23" t="str">
        <f>CONCATENATE("Violation of Budget Law for ",E1-2,":")</f>
        <v>Violation of Budget Law for 2010:</v>
      </c>
      <c r="B24" s="354" t="str">
        <f>IF(C21&gt;B23,"Yes","")</f>
        <v>Yes</v>
      </c>
      <c r="C24" s="393" t="s">
        <v>62</v>
      </c>
      <c r="D24" s="169"/>
      <c r="E24" s="169"/>
      <c r="F24" s="422"/>
      <c r="G24" s="422"/>
      <c r="H24" s="422"/>
      <c r="I24" s="422"/>
      <c r="J24" s="422"/>
      <c r="K24" s="422"/>
      <c r="L24" s="422"/>
    </row>
    <row r="25" spans="1:12" ht="15">
      <c r="A25" s="23" t="str">
        <f>CONCATENATE("Possible Cash Violation for ",E1-2,":")</f>
        <v>Possible Cash Violation for 2010:</v>
      </c>
      <c r="B25" s="354" t="str">
        <f>IF(C22&lt;0,"Yes","")</f>
        <v>Yes</v>
      </c>
      <c r="C25" s="393" t="s">
        <v>63</v>
      </c>
      <c r="D25" s="169"/>
      <c r="E25" s="169"/>
      <c r="F25" s="422"/>
      <c r="G25" s="422"/>
      <c r="H25" s="422"/>
      <c r="I25" s="422"/>
      <c r="J25" s="422"/>
      <c r="K25" s="422"/>
      <c r="L25" s="422"/>
    </row>
    <row r="26" spans="1:12" ht="15">
      <c r="A26" s="311"/>
      <c r="B26" s="401"/>
      <c r="C26" s="402"/>
      <c r="D26" s="402"/>
      <c r="E26" s="402"/>
      <c r="F26" s="426"/>
      <c r="G26" s="426"/>
      <c r="H26" s="426"/>
      <c r="I26" s="426"/>
      <c r="J26" s="426"/>
      <c r="K26" s="426"/>
      <c r="L26" s="426"/>
    </row>
    <row r="27" spans="1:12" ht="15">
      <c r="A27" s="129"/>
      <c r="B27" s="129"/>
      <c r="C27" s="404"/>
      <c r="D27" s="405"/>
      <c r="E27" s="405"/>
      <c r="F27" s="426"/>
      <c r="G27" s="426"/>
      <c r="H27" s="426"/>
      <c r="I27" s="426"/>
      <c r="J27" s="426"/>
      <c r="K27" s="426"/>
      <c r="L27" s="426"/>
    </row>
    <row r="28" spans="1:12" ht="15">
      <c r="A28" s="25" t="s">
        <v>100</v>
      </c>
      <c r="B28" s="25"/>
      <c r="C28" s="93" t="s">
        <v>124</v>
      </c>
      <c r="D28" s="33" t="s">
        <v>262</v>
      </c>
      <c r="E28" s="33" t="s">
        <v>263</v>
      </c>
      <c r="F28" s="422"/>
      <c r="G28" s="422"/>
      <c r="H28" s="422"/>
      <c r="I28" s="426"/>
      <c r="J28" s="426"/>
      <c r="K28" s="426"/>
      <c r="L28" s="426"/>
    </row>
    <row r="29" spans="1:12" ht="15">
      <c r="A29" s="137" t="str">
        <f>inputPrYr!B34</f>
        <v>Storm Sewer Capital Project Fund</v>
      </c>
      <c r="B29" s="137"/>
      <c r="C29" s="147">
        <f>E1-2</f>
        <v>2010</v>
      </c>
      <c r="D29" s="147">
        <f>E1-1</f>
        <v>2011</v>
      </c>
      <c r="E29" s="147">
        <f>inputPrYr!$C$5</f>
        <v>2012</v>
      </c>
      <c r="F29" s="422"/>
      <c r="G29" s="422"/>
      <c r="H29" s="422"/>
      <c r="I29" s="426"/>
      <c r="J29" s="426"/>
      <c r="K29" s="426"/>
      <c r="L29" s="426"/>
    </row>
    <row r="30" spans="1:12" ht="15">
      <c r="A30" s="37" t="s">
        <v>234</v>
      </c>
      <c r="B30" s="324"/>
      <c r="C30" s="328">
        <v>0</v>
      </c>
      <c r="D30" s="85">
        <f>C46</f>
        <v>-102455</v>
      </c>
      <c r="E30" s="85">
        <f>D46</f>
        <v>0</v>
      </c>
      <c r="F30" s="423"/>
      <c r="G30" s="422"/>
      <c r="H30" s="422"/>
      <c r="I30" s="426"/>
      <c r="J30" s="426"/>
      <c r="K30" s="426"/>
      <c r="L30" s="426"/>
    </row>
    <row r="31" spans="1:12" ht="15">
      <c r="A31" s="323" t="s">
        <v>236</v>
      </c>
      <c r="B31" s="324"/>
      <c r="C31" s="320"/>
      <c r="D31" s="40"/>
      <c r="E31" s="40"/>
      <c r="F31" s="422"/>
      <c r="G31" s="422"/>
      <c r="H31" s="422"/>
      <c r="I31" s="426"/>
      <c r="J31" s="426"/>
      <c r="K31" s="426"/>
      <c r="L31" s="426"/>
    </row>
    <row r="32" spans="1:12" ht="15">
      <c r="A32" s="316" t="s">
        <v>511</v>
      </c>
      <c r="B32" s="325"/>
      <c r="C32" s="319">
        <v>37000</v>
      </c>
      <c r="D32" s="14">
        <v>0</v>
      </c>
      <c r="E32" s="14">
        <v>0</v>
      </c>
      <c r="F32" s="422"/>
      <c r="G32" s="422"/>
      <c r="H32" s="422"/>
      <c r="I32" s="426"/>
      <c r="J32" s="426"/>
      <c r="K32" s="426"/>
      <c r="L32" s="426"/>
    </row>
    <row r="33" spans="1:12" ht="15">
      <c r="A33" s="316" t="s">
        <v>510</v>
      </c>
      <c r="B33" s="325"/>
      <c r="C33" s="319">
        <v>0</v>
      </c>
      <c r="D33" s="14">
        <v>196000</v>
      </c>
      <c r="E33" s="14">
        <v>0</v>
      </c>
      <c r="F33" s="422"/>
      <c r="G33" s="422"/>
      <c r="H33" s="422"/>
      <c r="I33" s="426"/>
      <c r="J33" s="426"/>
      <c r="K33" s="426"/>
      <c r="L33" s="426"/>
    </row>
    <row r="34" spans="1:12" ht="15">
      <c r="A34" s="336" t="s">
        <v>397</v>
      </c>
      <c r="B34" s="332"/>
      <c r="C34" s="319">
        <v>0</v>
      </c>
      <c r="D34" s="319">
        <v>0</v>
      </c>
      <c r="E34" s="319">
        <v>0</v>
      </c>
      <c r="F34" s="422"/>
      <c r="G34" s="422"/>
      <c r="H34" s="422"/>
      <c r="I34" s="426"/>
      <c r="J34" s="426"/>
      <c r="K34" s="426"/>
      <c r="L34" s="426"/>
    </row>
    <row r="35" spans="1:12" ht="15">
      <c r="A35" s="326" t="s">
        <v>399</v>
      </c>
      <c r="B35" s="332"/>
      <c r="C35" s="366">
        <f>IF(C36*0.1&lt;C34,"Exceed 10% Rule","")</f>
      </c>
      <c r="D35" s="366">
        <f>IF(D36*0.1&lt;D34,"Exceed 10% Rule","")</f>
      </c>
      <c r="E35" s="366">
        <f>IF(E36*0.1&lt;E34,"Exceed 10% Rule","")</f>
      </c>
      <c r="F35" s="422"/>
      <c r="G35" s="422"/>
      <c r="H35" s="422"/>
      <c r="I35" s="426"/>
      <c r="J35" s="426"/>
      <c r="K35" s="426"/>
      <c r="L35" s="426"/>
    </row>
    <row r="36" spans="1:12" ht="15">
      <c r="A36" s="152" t="s">
        <v>107</v>
      </c>
      <c r="B36" s="324"/>
      <c r="C36" s="322">
        <f>SUM(C32:C34)</f>
        <v>37000</v>
      </c>
      <c r="D36" s="265">
        <f>SUM(D32:D34)</f>
        <v>196000</v>
      </c>
      <c r="E36" s="265">
        <f>SUM(E32:E34)</f>
        <v>0</v>
      </c>
      <c r="F36" s="422"/>
      <c r="G36" s="422"/>
      <c r="H36" s="422"/>
      <c r="I36" s="426"/>
      <c r="J36" s="426"/>
      <c r="K36" s="426"/>
      <c r="L36" s="426"/>
    </row>
    <row r="37" spans="1:12" ht="15">
      <c r="A37" s="152" t="s">
        <v>108</v>
      </c>
      <c r="B37" s="324"/>
      <c r="C37" s="329">
        <f>C30+C36</f>
        <v>37000</v>
      </c>
      <c r="D37" s="268">
        <f>D30+D36</f>
        <v>93545</v>
      </c>
      <c r="E37" s="268">
        <f>E30+E36</f>
        <v>0</v>
      </c>
      <c r="F37" s="422"/>
      <c r="G37" s="422"/>
      <c r="H37" s="422"/>
      <c r="I37" s="426"/>
      <c r="J37" s="426"/>
      <c r="K37" s="426"/>
      <c r="L37" s="426"/>
    </row>
    <row r="38" spans="1:12" ht="15">
      <c r="A38" s="37" t="s">
        <v>110</v>
      </c>
      <c r="B38" s="324"/>
      <c r="C38" s="320"/>
      <c r="D38" s="40"/>
      <c r="E38" s="40"/>
      <c r="F38" s="422"/>
      <c r="G38" s="422"/>
      <c r="H38" s="422"/>
      <c r="I38" s="426"/>
      <c r="J38" s="426"/>
      <c r="K38" s="426"/>
      <c r="L38" s="426"/>
    </row>
    <row r="39" spans="1:12" ht="15">
      <c r="A39" s="316" t="s">
        <v>503</v>
      </c>
      <c r="B39" s="325"/>
      <c r="C39" s="321">
        <v>137772</v>
      </c>
      <c r="D39" s="14">
        <v>0</v>
      </c>
      <c r="E39" s="14">
        <v>0</v>
      </c>
      <c r="F39" s="422"/>
      <c r="G39" s="422"/>
      <c r="H39" s="422"/>
      <c r="I39" s="426"/>
      <c r="J39" s="426"/>
      <c r="K39" s="426"/>
      <c r="L39" s="426"/>
    </row>
    <row r="40" spans="1:12" ht="15">
      <c r="A40" s="316" t="s">
        <v>502</v>
      </c>
      <c r="B40" s="325"/>
      <c r="C40" s="321">
        <v>1683</v>
      </c>
      <c r="D40" s="14">
        <v>2100</v>
      </c>
      <c r="E40" s="14">
        <v>0</v>
      </c>
      <c r="F40" s="422"/>
      <c r="G40" s="422"/>
      <c r="H40" s="422"/>
      <c r="I40" s="426"/>
      <c r="J40" s="426"/>
      <c r="K40" s="426"/>
      <c r="L40" s="426"/>
    </row>
    <row r="41" spans="1:12" ht="15">
      <c r="A41" s="316" t="s">
        <v>512</v>
      </c>
      <c r="B41" s="325"/>
      <c r="C41" s="321">
        <v>0</v>
      </c>
      <c r="D41" s="14">
        <v>37185</v>
      </c>
      <c r="E41" s="14">
        <v>0</v>
      </c>
      <c r="F41" s="422"/>
      <c r="G41" s="422"/>
      <c r="H41" s="422"/>
      <c r="I41" s="426"/>
      <c r="J41" s="426"/>
      <c r="K41" s="426"/>
      <c r="L41" s="426"/>
    </row>
    <row r="42" spans="1:12" ht="15">
      <c r="A42" s="316" t="s">
        <v>513</v>
      </c>
      <c r="B42" s="325"/>
      <c r="C42" s="319">
        <v>0</v>
      </c>
      <c r="D42" s="14">
        <v>54260</v>
      </c>
      <c r="E42" s="14">
        <v>0</v>
      </c>
      <c r="F42" s="422"/>
      <c r="G42" s="422"/>
      <c r="H42" s="422"/>
      <c r="I42" s="426"/>
      <c r="J42" s="426"/>
      <c r="K42" s="426"/>
      <c r="L42" s="426"/>
    </row>
    <row r="43" spans="1:12" ht="15">
      <c r="A43" s="334" t="s">
        <v>397</v>
      </c>
      <c r="B43" s="332"/>
      <c r="C43" s="319">
        <v>0</v>
      </c>
      <c r="D43" s="319">
        <v>0</v>
      </c>
      <c r="E43" s="319">
        <v>0</v>
      </c>
      <c r="F43" s="422"/>
      <c r="G43" s="422"/>
      <c r="H43" s="422"/>
      <c r="I43" s="426"/>
      <c r="J43" s="426"/>
      <c r="K43" s="426"/>
      <c r="L43" s="426"/>
    </row>
    <row r="44" spans="1:12" ht="15">
      <c r="A44" s="334" t="s">
        <v>398</v>
      </c>
      <c r="B44" s="332"/>
      <c r="C44" s="366">
        <f>IF(C45*0.1&lt;C43,"Exceed 10% Rule","")</f>
      </c>
      <c r="D44" s="366">
        <f>IF(D45*0.1&lt;D43,"Exceed 10% Rule","")</f>
      </c>
      <c r="E44" s="366">
        <f>IF(E45*0.1&lt;E43,"Exceed 10% Rule","")</f>
      </c>
      <c r="F44" s="422"/>
      <c r="G44" s="422"/>
      <c r="H44" s="422"/>
      <c r="I44" s="426"/>
      <c r="J44" s="426"/>
      <c r="K44" s="426"/>
      <c r="L44" s="426"/>
    </row>
    <row r="45" spans="1:12" ht="15">
      <c r="A45" s="152" t="s">
        <v>114</v>
      </c>
      <c r="B45" s="324"/>
      <c r="C45" s="322">
        <f>SUM(C39:C43)</f>
        <v>139455</v>
      </c>
      <c r="D45" s="265">
        <f>SUM(D39:D43)</f>
        <v>93545</v>
      </c>
      <c r="E45" s="265">
        <f>SUM(E39:E43)</f>
        <v>0</v>
      </c>
      <c r="F45" s="422"/>
      <c r="G45" s="422"/>
      <c r="H45" s="422"/>
      <c r="I45" s="426"/>
      <c r="J45" s="426"/>
      <c r="K45" s="426"/>
      <c r="L45" s="426"/>
    </row>
    <row r="46" spans="1:12" ht="15">
      <c r="A46" s="37" t="s">
        <v>235</v>
      </c>
      <c r="B46" s="324"/>
      <c r="C46" s="330">
        <f>C37-C45</f>
        <v>-102455</v>
      </c>
      <c r="D46" s="267">
        <f>D37-D45</f>
        <v>0</v>
      </c>
      <c r="E46" s="267">
        <f>E37-E45</f>
        <v>0</v>
      </c>
      <c r="F46" s="422"/>
      <c r="G46" s="422"/>
      <c r="H46" s="422"/>
      <c r="I46" s="426"/>
      <c r="J46" s="426"/>
      <c r="K46" s="426"/>
      <c r="L46" s="426"/>
    </row>
    <row r="47" spans="1:12" ht="15">
      <c r="A47" s="23" t="str">
        <f>CONCATENATE("",E1-2," Budget Authority Limited Amount:")</f>
        <v>2010 Budget Authority Limited Amount:</v>
      </c>
      <c r="B47" s="353">
        <f>inputOth!B69</f>
        <v>0</v>
      </c>
      <c r="C47" s="169"/>
      <c r="D47" s="169"/>
      <c r="E47" s="169"/>
      <c r="F47" s="422"/>
      <c r="G47" s="422"/>
      <c r="H47" s="422"/>
      <c r="I47" s="426"/>
      <c r="J47" s="426"/>
      <c r="K47" s="426"/>
      <c r="L47" s="426"/>
    </row>
    <row r="48" spans="1:12" ht="15">
      <c r="A48" s="23" t="str">
        <f>CONCATENATE("Violation of Budget Law for ",E1-2,":")</f>
        <v>Violation of Budget Law for 2010:</v>
      </c>
      <c r="B48" s="354" t="str">
        <f>IF(C45&gt;B47,"Yes","")</f>
        <v>Yes</v>
      </c>
      <c r="C48" s="393" t="s">
        <v>62</v>
      </c>
      <c r="D48" s="169"/>
      <c r="E48" s="169"/>
      <c r="I48" s="403"/>
      <c r="J48" s="403"/>
      <c r="K48" s="403"/>
      <c r="L48" s="403"/>
    </row>
    <row r="49" spans="1:12" ht="15">
      <c r="A49" s="23" t="str">
        <f>CONCATENATE("Possible Cash Violation for ",E1-2,":")</f>
        <v>Possible Cash Violation for 2010:</v>
      </c>
      <c r="B49" s="354" t="str">
        <f>IF(C46&lt;0,"Yes","")</f>
        <v>Yes</v>
      </c>
      <c r="C49" s="393" t="s">
        <v>63</v>
      </c>
      <c r="D49" s="169"/>
      <c r="E49" s="169"/>
      <c r="I49" s="403"/>
      <c r="J49" s="403"/>
      <c r="K49" s="403"/>
      <c r="L49" s="403"/>
    </row>
    <row r="50" spans="1:5" ht="15">
      <c r="A50" s="169"/>
      <c r="B50" s="169"/>
      <c r="C50" s="169"/>
      <c r="D50" s="169"/>
      <c r="E50" s="169"/>
    </row>
    <row r="51" spans="1:5" ht="15">
      <c r="A51" s="24"/>
      <c r="B51" s="24" t="s">
        <v>118</v>
      </c>
      <c r="C51" s="314">
        <v>12</v>
      </c>
      <c r="D51" s="169"/>
      <c r="E51" s="169"/>
    </row>
  </sheetData>
  <sheetProtection/>
  <conditionalFormatting sqref="C47 C43 C19">
    <cfRule type="cellIs" priority="18" dxfId="138" operator="greaterThan" stopIfTrue="1">
      <formula>$C$21*0.1</formula>
    </cfRule>
  </conditionalFormatting>
  <conditionalFormatting sqref="D47 D43 D19">
    <cfRule type="cellIs" priority="17" dxfId="138" operator="greaterThan" stopIfTrue="1">
      <formula>$D$21*0.1</formula>
    </cfRule>
  </conditionalFormatting>
  <conditionalFormatting sqref="E47 E43 E19">
    <cfRule type="cellIs" priority="16" dxfId="138" operator="greaterThan" stopIfTrue="1">
      <formula>$E$21*0.1</formula>
    </cfRule>
  </conditionalFormatting>
  <conditionalFormatting sqref="C38 C34 C12">
    <cfRule type="cellIs" priority="15" dxfId="138" operator="greaterThan" stopIfTrue="1">
      <formula>$C$14*0.1</formula>
    </cfRule>
  </conditionalFormatting>
  <conditionalFormatting sqref="D38 D34 D12">
    <cfRule type="cellIs" priority="14" dxfId="138" operator="greaterThan" stopIfTrue="1">
      <formula>$D$14*0.1</formula>
    </cfRule>
  </conditionalFormatting>
  <conditionalFormatting sqref="E38 E34 E12">
    <cfRule type="cellIs" priority="13" dxfId="138" operator="greaterThan" stopIfTrue="1">
      <formula>$E$14*0.1</formula>
    </cfRule>
  </conditionalFormatting>
  <printOptions/>
  <pageMargins left="0.75" right="0.75" top="1" bottom="1" header="0.5" footer="0.5"/>
  <pageSetup blackAndWhite="1" fitToHeight="1" fitToWidth="1" horizontalDpi="600" verticalDpi="600" orientation="portrait" scale="81" r:id="rId1"/>
  <headerFooter alignWithMargins="0">
    <oddHeader>&amp;RState of Kansas
City</oddHeader>
    <oddFooter>&amp;Lrevised 8/06/07</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48"/>
  <sheetViews>
    <sheetView zoomScalePageLayoutView="0" workbookViewId="0" topLeftCell="A13">
      <selection activeCell="A29" sqref="A29"/>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69921875" style="2" customWidth="1"/>
    <col min="7" max="7" width="12.69921875" style="2" customWidth="1"/>
    <col min="8" max="8" width="10.69921875" style="2" customWidth="1"/>
    <col min="9" max="10" width="8.8984375" style="2" customWidth="1"/>
    <col min="11" max="11" width="9" style="2" bestFit="1" customWidth="1"/>
    <col min="12" max="16384" width="8.8984375" style="2" customWidth="1"/>
  </cols>
  <sheetData>
    <row r="1" spans="1:9" ht="15">
      <c r="A1" s="449" t="s">
        <v>174</v>
      </c>
      <c r="B1" s="449"/>
      <c r="C1" s="449"/>
      <c r="D1" s="449"/>
      <c r="E1" s="449"/>
      <c r="F1" s="449"/>
      <c r="G1" s="449"/>
      <c r="H1" s="449"/>
      <c r="I1" s="13"/>
    </row>
    <row r="2" spans="1:8" ht="18" customHeight="1">
      <c r="A2" s="21"/>
      <c r="B2" s="21"/>
      <c r="C2" s="21"/>
      <c r="D2" s="21"/>
      <c r="E2" s="21"/>
      <c r="F2" s="21"/>
      <c r="G2" s="21"/>
      <c r="H2" s="21">
        <f>inputPrYr!$C$5</f>
        <v>2012</v>
      </c>
    </row>
    <row r="3" spans="1:8" ht="18" customHeight="1">
      <c r="A3" s="443" t="s">
        <v>122</v>
      </c>
      <c r="B3" s="443"/>
      <c r="C3" s="443"/>
      <c r="D3" s="443"/>
      <c r="E3" s="443"/>
      <c r="F3" s="443"/>
      <c r="G3" s="443"/>
      <c r="H3" s="443"/>
    </row>
    <row r="4" spans="1:8" ht="15">
      <c r="A4" s="443" t="str">
        <f>inputPrYr!D2</f>
        <v>CITY OF BLUE RAPIDS</v>
      </c>
      <c r="B4" s="443"/>
      <c r="C4" s="443"/>
      <c r="D4" s="443"/>
      <c r="E4" s="443"/>
      <c r="F4" s="443"/>
      <c r="G4" s="443"/>
      <c r="H4" s="443"/>
    </row>
    <row r="5" spans="1:8" ht="18" customHeight="1">
      <c r="A5" s="470" t="s">
        <v>517</v>
      </c>
      <c r="B5" s="470"/>
      <c r="C5" s="470"/>
      <c r="D5" s="470"/>
      <c r="E5" s="470"/>
      <c r="F5" s="470"/>
      <c r="G5" s="470"/>
      <c r="H5" s="470"/>
    </row>
    <row r="6" spans="1:8" ht="16.5" customHeight="1">
      <c r="A6" s="443" t="s">
        <v>186</v>
      </c>
      <c r="B6" s="443"/>
      <c r="C6" s="443"/>
      <c r="D6" s="443"/>
      <c r="E6" s="443"/>
      <c r="F6" s="443"/>
      <c r="G6" s="443"/>
      <c r="H6" s="443"/>
    </row>
    <row r="7" spans="1:8" ht="16.5" customHeight="1">
      <c r="A7" s="21"/>
      <c r="B7" s="21"/>
      <c r="C7" s="21"/>
      <c r="D7" s="21"/>
      <c r="E7" s="21"/>
      <c r="F7" s="21"/>
      <c r="G7" s="21"/>
      <c r="H7" s="21"/>
    </row>
    <row r="8" spans="1:8" ht="16.5" customHeight="1">
      <c r="A8" s="470" t="s">
        <v>50</v>
      </c>
      <c r="B8" s="470"/>
      <c r="C8" s="470"/>
      <c r="D8" s="470"/>
      <c r="E8" s="470"/>
      <c r="F8" s="470"/>
      <c r="G8" s="470"/>
      <c r="H8" s="470"/>
    </row>
    <row r="9" spans="1:8" ht="16.5" customHeight="1">
      <c r="A9" s="443" t="s">
        <v>123</v>
      </c>
      <c r="B9" s="443"/>
      <c r="C9" s="443"/>
      <c r="D9" s="443"/>
      <c r="E9" s="443"/>
      <c r="F9" s="443"/>
      <c r="G9" s="443"/>
      <c r="H9" s="443"/>
    </row>
    <row r="10" spans="1:8" ht="15">
      <c r="A10" s="49"/>
      <c r="B10" s="49"/>
      <c r="C10" s="49"/>
      <c r="D10" s="49"/>
      <c r="E10" s="49"/>
      <c r="F10" s="49"/>
      <c r="G10" s="49"/>
      <c r="H10" s="49"/>
    </row>
    <row r="11" spans="1:8" ht="15">
      <c r="A11" s="102" t="s">
        <v>175</v>
      </c>
      <c r="B11" s="27"/>
      <c r="C11" s="27"/>
      <c r="D11" s="27"/>
      <c r="E11" s="27"/>
      <c r="F11" s="27"/>
      <c r="G11" s="27"/>
      <c r="H11" s="27"/>
    </row>
    <row r="12" spans="1:8" ht="15">
      <c r="A12" s="26" t="str">
        <f>CONCATENATE("Proposed Budget ",H2," Expenditures and Amount of ",H2-1," Ad Valorem Tax establish the maximum limits of the ",H2," budget.")</f>
        <v>Proposed Budget 2012 Expenditures and Amount of 2011 Ad Valorem Tax establish the maximum limits of the 2012 budget.</v>
      </c>
      <c r="B12" s="27"/>
      <c r="C12" s="27"/>
      <c r="D12" s="27"/>
      <c r="E12" s="27"/>
      <c r="F12" s="27"/>
      <c r="G12" s="27"/>
      <c r="H12" s="27"/>
    </row>
    <row r="13" spans="1:8" ht="15">
      <c r="A13" s="26" t="s">
        <v>241</v>
      </c>
      <c r="B13" s="27"/>
      <c r="C13" s="27"/>
      <c r="D13" s="27"/>
      <c r="E13" s="27"/>
      <c r="F13" s="27"/>
      <c r="G13" s="27"/>
      <c r="H13" s="27"/>
    </row>
    <row r="14" spans="1:8" ht="15">
      <c r="A14" s="21"/>
      <c r="B14" s="96"/>
      <c r="C14" s="96"/>
      <c r="D14" s="96"/>
      <c r="E14" s="96"/>
      <c r="F14" s="96"/>
      <c r="G14" s="96"/>
      <c r="H14" s="96"/>
    </row>
    <row r="15" spans="1:8" ht="15">
      <c r="A15" s="21"/>
      <c r="B15" s="103" t="str">
        <f>CONCATENATE("Prior Year Actual for ",H2-2,"")</f>
        <v>Prior Year Actual for 2010</v>
      </c>
      <c r="C15" s="30"/>
      <c r="D15" s="103" t="str">
        <f>CONCATENATE("Current Year Estimate for ",H2-1,"")</f>
        <v>Current Year Estimate for 2011</v>
      </c>
      <c r="E15" s="30"/>
      <c r="F15" s="28" t="str">
        <f>CONCATENATE("Proposed Budget for ",H2,"")</f>
        <v>Proposed Budget for 2012</v>
      </c>
      <c r="G15" s="29"/>
      <c r="H15" s="30"/>
    </row>
    <row r="16" spans="1:8" ht="21" customHeight="1">
      <c r="A16" s="21"/>
      <c r="B16" s="93"/>
      <c r="C16" s="33" t="s">
        <v>125</v>
      </c>
      <c r="D16" s="33"/>
      <c r="E16" s="33" t="s">
        <v>125</v>
      </c>
      <c r="F16" s="33"/>
      <c r="G16" s="33" t="str">
        <f>CONCATENATE("Amount of ",H2-1,"")</f>
        <v>Amount of 2011</v>
      </c>
      <c r="H16" s="33" t="s">
        <v>320</v>
      </c>
    </row>
    <row r="17" spans="1:26" ht="15">
      <c r="A17" s="44" t="s">
        <v>126</v>
      </c>
      <c r="B17" s="36" t="s">
        <v>127</v>
      </c>
      <c r="C17" s="36" t="s">
        <v>128</v>
      </c>
      <c r="D17" s="36" t="s">
        <v>127</v>
      </c>
      <c r="E17" s="36" t="s">
        <v>128</v>
      </c>
      <c r="F17" s="36" t="s">
        <v>129</v>
      </c>
      <c r="G17" s="193" t="s">
        <v>101</v>
      </c>
      <c r="H17" s="36" t="s">
        <v>128</v>
      </c>
      <c r="I17" s="245"/>
      <c r="J17" s="245"/>
      <c r="K17" s="245"/>
      <c r="L17" s="245"/>
      <c r="M17" s="245"/>
      <c r="N17" s="245"/>
      <c r="O17" s="245"/>
      <c r="P17" s="245"/>
      <c r="Q17" s="245"/>
      <c r="R17" s="245"/>
      <c r="S17" s="245"/>
      <c r="T17" s="245"/>
      <c r="U17" s="245"/>
      <c r="V17" s="245"/>
      <c r="W17" s="245"/>
      <c r="X17" s="245"/>
      <c r="Y17" s="245"/>
      <c r="Z17" s="245"/>
    </row>
    <row r="18" spans="1:26" ht="15">
      <c r="A18" s="40" t="str">
        <f>inputPrYr!B16</f>
        <v>General</v>
      </c>
      <c r="B18" s="40">
        <f>IF(general!$C$83&lt;&gt;0,general!$C$83,"  ")</f>
        <v>601363</v>
      </c>
      <c r="C18" s="104">
        <f>IF(inputPrYr!D39&gt;0,inputPrYr!D39,"  ")</f>
        <v>71.583</v>
      </c>
      <c r="D18" s="40">
        <f>IF(general!$D$83&lt;&gt;0,general!$D$83,"  ")</f>
        <v>640524</v>
      </c>
      <c r="E18" s="104">
        <f>IF(inputOth!D20&gt;0,inputOth!D20,"  ")</f>
        <v>71.563</v>
      </c>
      <c r="F18" s="40">
        <f>IF(general!$E$83&lt;&gt;0,general!$E$83,"  ")</f>
        <v>741269</v>
      </c>
      <c r="G18" s="40">
        <f>IF(general!$E$89&lt;&gt;0,general!$E$89,"  ")</f>
        <v>217667</v>
      </c>
      <c r="H18" s="104">
        <f>IF(general!E89&gt;0,ROUND(G18/$F$34*1000,3),"  ")</f>
        <v>71.695</v>
      </c>
      <c r="I18" s="245"/>
      <c r="J18" s="245"/>
      <c r="K18" s="245"/>
      <c r="L18" s="245"/>
      <c r="M18" s="245"/>
      <c r="N18" s="245"/>
      <c r="O18" s="245"/>
      <c r="P18" s="245"/>
      <c r="Q18" s="245"/>
      <c r="R18" s="245"/>
      <c r="S18" s="245"/>
      <c r="T18" s="245"/>
      <c r="U18" s="245"/>
      <c r="V18" s="245"/>
      <c r="W18" s="245"/>
      <c r="X18" s="245"/>
      <c r="Y18" s="245"/>
      <c r="Z18" s="245"/>
    </row>
    <row r="19" spans="1:26" ht="15">
      <c r="A19" s="40" t="str">
        <f>inputPrYr!B19</f>
        <v>Library</v>
      </c>
      <c r="B19" s="40">
        <f>IF(LibraryBondInt!$C$24&gt;0,LibraryBondInt!$C$24,"  ")</f>
        <v>10651</v>
      </c>
      <c r="C19" s="104">
        <f>IF(inputPrYr!D41&gt;0,inputPrYr!D41,"  ")</f>
        <v>3.016</v>
      </c>
      <c r="D19" s="40">
        <f>IF(LibraryBondInt!$D$24&gt;0,LibraryBondInt!$D$24,"  ")</f>
        <v>10700</v>
      </c>
      <c r="E19" s="104">
        <f>IF(inputOth!D22&gt;0,inputOth!D22,"  ")</f>
        <v>3.006</v>
      </c>
      <c r="F19" s="40">
        <f>IF(LibraryBondInt!$E$24&gt;0,LibraryBondInt!$E$24,"  ")</f>
        <v>10850</v>
      </c>
      <c r="G19" s="40">
        <f>IF(LibraryBondInt!$E$30&lt;&gt;0,LibraryBondInt!$E$30,"  ")</f>
        <v>9144</v>
      </c>
      <c r="H19" s="104">
        <f>IF(LibraryBondInt!E30&lt;&gt;0,ROUND(G19/$F$34*1000,3),"  ")</f>
        <v>3.012</v>
      </c>
      <c r="I19" s="245"/>
      <c r="J19" s="245"/>
      <c r="K19" s="245"/>
      <c r="L19" s="245"/>
      <c r="M19" s="245"/>
      <c r="N19" s="245"/>
      <c r="O19" s="245"/>
      <c r="P19" s="245"/>
      <c r="Q19" s="245"/>
      <c r="R19" s="245"/>
      <c r="S19" s="245"/>
      <c r="T19" s="245"/>
      <c r="U19" s="245"/>
      <c r="V19" s="245"/>
      <c r="W19" s="245"/>
      <c r="X19" s="245"/>
      <c r="Y19" s="245"/>
      <c r="Z19" s="245"/>
    </row>
    <row r="20" spans="1:26" ht="15">
      <c r="A20" s="40" t="str">
        <f>IF(inputPrYr!$B17&gt;"  ",(inputPrYr!$B17),"  ")</f>
        <v>Bond &amp; Interest</v>
      </c>
      <c r="B20" s="40">
        <f>IF(LibraryBondInt!$C$58&gt;0,LibraryBondInt!$C$58,"  ")</f>
        <v>1586</v>
      </c>
      <c r="C20" s="104" t="str">
        <f>IF(inputPrYr!D40&gt;0,inputPrYr!D40,"  ")</f>
        <v>  </v>
      </c>
      <c r="D20" s="396" t="str">
        <f>IF(LibraryBondInt!$D$58&gt;0,LibraryBondInt!$D$58," 0 ")</f>
        <v> 0 </v>
      </c>
      <c r="E20" s="104" t="str">
        <f>IF(inputOth!D21&gt;0,inputOth!D21,"  ")</f>
        <v>  </v>
      </c>
      <c r="F20" s="396">
        <f>IF(LibraryBondInt!$E$58&gt;0,LibraryBondInt!$E$58," 0 ")</f>
        <v>30575</v>
      </c>
      <c r="G20" s="40" t="str">
        <f>IF(LibraryBondInt!$E$64&lt;&gt;0,LibraryBondInt!$E$64,"  ")</f>
        <v>  </v>
      </c>
      <c r="H20" s="104"/>
      <c r="I20" s="245"/>
      <c r="J20" s="245"/>
      <c r="K20" s="427"/>
      <c r="L20" s="245"/>
      <c r="M20" s="245"/>
      <c r="N20" s="245"/>
      <c r="O20" s="245"/>
      <c r="P20" s="245"/>
      <c r="Q20" s="245"/>
      <c r="R20" s="245"/>
      <c r="S20" s="245"/>
      <c r="T20" s="245"/>
      <c r="U20" s="245"/>
      <c r="V20" s="245"/>
      <c r="W20" s="245"/>
      <c r="X20" s="245"/>
      <c r="Y20" s="245"/>
      <c r="Z20" s="245"/>
    </row>
    <row r="21" spans="1:26" ht="15">
      <c r="A21" s="40" t="str">
        <f>IF(inputPrYr!$B24&gt;"  ",(inputPrYr!$B24),"  ")</f>
        <v>Special Highway</v>
      </c>
      <c r="B21" s="40">
        <f>IF(SpHiwayWaterSewerRefuse!$C$22&gt;0,SpHiwayWaterSewerRefuse!$C$22,"  ")</f>
        <v>27585</v>
      </c>
      <c r="C21" s="42"/>
      <c r="D21" s="40">
        <f>IF(SpHiwayWaterSewerRefuse!$D$22&gt;0,SpHiwayWaterSewerRefuse!$D$22,"  ")</f>
        <v>27500</v>
      </c>
      <c r="E21" s="42"/>
      <c r="F21" s="40">
        <f>IF(SpHiwayWaterSewerRefuse!$E$22&gt;0,SpHiwayWaterSewerRefuse!$E$22,"  ")</f>
        <v>28940</v>
      </c>
      <c r="G21" s="40"/>
      <c r="H21" s="104"/>
      <c r="I21" s="245"/>
      <c r="J21" s="245"/>
      <c r="K21" s="245"/>
      <c r="L21" s="245"/>
      <c r="M21" s="245"/>
      <c r="N21" s="245"/>
      <c r="O21" s="245"/>
      <c r="P21" s="245"/>
      <c r="Q21" s="245"/>
      <c r="R21" s="245"/>
      <c r="S21" s="245"/>
      <c r="T21" s="245"/>
      <c r="U21" s="245"/>
      <c r="V21" s="245"/>
      <c r="W21" s="245"/>
      <c r="X21" s="245"/>
      <c r="Y21" s="245"/>
      <c r="Z21" s="245"/>
    </row>
    <row r="22" spans="1:26" ht="15">
      <c r="A22" s="40" t="str">
        <f>IF(inputPrYr!$B25&gt;"  ",(inputPrYr!$B25),"  ")</f>
        <v>Water/Sewer/Refuse</v>
      </c>
      <c r="B22" s="40">
        <f>IF(SpHiwayWaterSewerRefuse!$C$63&gt;0,SpHiwayWaterSewerRefuse!$C$63,"  ")</f>
        <v>134716</v>
      </c>
      <c r="C22" s="42"/>
      <c r="D22" s="40">
        <f>IF(SpHiwayWaterSewerRefuse!$D$63&gt;0,SpHiwayWaterSewerRefuse!$D$63,"  ")</f>
        <v>279900</v>
      </c>
      <c r="E22" s="42"/>
      <c r="F22" s="40">
        <f>IF(SpHiwayWaterSewerRefuse!$E$63&gt;0,SpHiwayWaterSewerRefuse!$E$63,"  ")</f>
        <v>555191</v>
      </c>
      <c r="G22" s="40"/>
      <c r="H22" s="104"/>
      <c r="I22" s="245"/>
      <c r="J22" s="245"/>
      <c r="K22" s="245"/>
      <c r="L22" s="245"/>
      <c r="M22" s="245"/>
      <c r="N22" s="245"/>
      <c r="O22" s="245"/>
      <c r="P22" s="245"/>
      <c r="Q22" s="245"/>
      <c r="R22" s="245"/>
      <c r="S22" s="245"/>
      <c r="T22" s="245"/>
      <c r="U22" s="245"/>
      <c r="V22" s="245"/>
      <c r="W22" s="245"/>
      <c r="X22" s="245"/>
      <c r="Y22" s="245"/>
      <c r="Z22" s="245"/>
    </row>
    <row r="23" spans="1:26" ht="15">
      <c r="A23" s="40" t="str">
        <f>IF(inputPrYr!$B26&gt;"  ",(inputPrYr!$B26),"  ")</f>
        <v>Capital Improvement</v>
      </c>
      <c r="B23" s="396" t="str">
        <f>IF(CapImprSewerSystemReserve!$C$19&gt;0,CapImprSewerSystemReserve!$C$19," 0 ")</f>
        <v> 0 </v>
      </c>
      <c r="C23" s="42"/>
      <c r="D23" s="40">
        <f>IF(CapImprSewerSystemReserve!$D$19&gt;0,CapImprSewerSystemReserve!$D$19,"  ")</f>
        <v>17000</v>
      </c>
      <c r="E23" s="42"/>
      <c r="F23" s="40">
        <f>IF(CapImprSewerSystemReserve!$E$19&gt;0,CapImprSewerSystemReserve!$E$19,"  ")</f>
        <v>132569</v>
      </c>
      <c r="G23" s="40"/>
      <c r="H23" s="104"/>
      <c r="I23" s="245"/>
      <c r="J23" s="245"/>
      <c r="K23" s="245"/>
      <c r="L23" s="245"/>
      <c r="M23" s="245"/>
      <c r="N23" s="245"/>
      <c r="O23" s="245"/>
      <c r="P23" s="245"/>
      <c r="Q23" s="245"/>
      <c r="R23" s="245"/>
      <c r="S23" s="245"/>
      <c r="T23" s="245"/>
      <c r="U23" s="245"/>
      <c r="V23" s="245"/>
      <c r="W23" s="245"/>
      <c r="X23" s="245"/>
      <c r="Y23" s="245"/>
      <c r="Z23" s="245"/>
    </row>
    <row r="24" spans="1:26" ht="15">
      <c r="A24" s="40" t="str">
        <f>IF(inputPrYr!$B27&gt;"  ",(inputPrYr!$B27),"  ")</f>
        <v>Utility System Reserve</v>
      </c>
      <c r="B24" s="396">
        <f>IF(CapImprSewerSystemReserve!$C$43&gt;0,CapImprSewerSystemReserve!$C$43," 0 ")</f>
        <v>25</v>
      </c>
      <c r="C24" s="42"/>
      <c r="D24" s="40">
        <f>IF(CapImprSewerSystemReserve!$D$43&gt;0,CapImprSewerSystemReserve!$D$43,"  ")</f>
        <v>20000</v>
      </c>
      <c r="E24" s="42"/>
      <c r="F24" s="40">
        <f>IF(CapImprSewerSystemReserve!$E$43&gt;0,CapImprSewerSystemReserve!$E$43,"  ")</f>
        <v>163741</v>
      </c>
      <c r="G24" s="40"/>
      <c r="H24" s="104"/>
      <c r="I24" s="245"/>
      <c r="J24" s="245"/>
      <c r="K24" s="245"/>
      <c r="L24" s="245"/>
      <c r="M24" s="245"/>
      <c r="N24" s="245"/>
      <c r="O24" s="245"/>
      <c r="P24" s="245"/>
      <c r="Q24" s="245"/>
      <c r="R24" s="245"/>
      <c r="S24" s="245"/>
      <c r="T24" s="245"/>
      <c r="U24" s="245"/>
      <c r="V24" s="245"/>
      <c r="W24" s="245"/>
      <c r="X24" s="245"/>
      <c r="Y24" s="245"/>
      <c r="Z24" s="245"/>
    </row>
    <row r="25" spans="1:26" ht="15">
      <c r="A25" s="40" t="str">
        <f>IF(inputPrYr!$B31&gt;"  ",(inputPrYr!$B31),"  ")</f>
        <v>Spec. Law Enf. Trust Fund</v>
      </c>
      <c r="B25" s="396" t="str">
        <f>IF('SpecLawEnfTrustHousing Grant'!$C$17&gt;0,'SpecLawEnfTrustHousing Grant'!$C$17," 0 ")</f>
        <v> 0 </v>
      </c>
      <c r="C25" s="42"/>
      <c r="D25" s="40">
        <f>IF('SpecLawEnfTrustHousing Grant'!$D$17&gt;0,'SpecLawEnfTrustHousing Grant'!$D$17,"  ")</f>
        <v>1200</v>
      </c>
      <c r="E25" s="42"/>
      <c r="F25" s="40">
        <f>IF('SpecLawEnfTrustHousing Grant'!$E$17&gt;0,'SpecLawEnfTrustHousing Grant'!$E$17,"  ")</f>
        <v>2165</v>
      </c>
      <c r="G25" s="42"/>
      <c r="H25" s="42"/>
      <c r="I25" s="245"/>
      <c r="J25" s="245"/>
      <c r="K25" s="245"/>
      <c r="L25" s="245"/>
      <c r="M25" s="245"/>
      <c r="N25" s="245"/>
      <c r="O25" s="245"/>
      <c r="P25" s="245"/>
      <c r="Q25" s="245"/>
      <c r="R25" s="245"/>
      <c r="S25" s="245"/>
      <c r="T25" s="245"/>
      <c r="U25" s="245"/>
      <c r="V25" s="245"/>
      <c r="W25" s="245"/>
      <c r="X25" s="245"/>
      <c r="Y25" s="245"/>
      <c r="Z25" s="245"/>
    </row>
    <row r="26" spans="1:26" ht="15">
      <c r="A26" s="40" t="str">
        <f>IF(inputPrYr!$B30&gt;"  ",(inputPrYr!$B30),"  ")</f>
        <v>Housing Grant Fund</v>
      </c>
      <c r="B26" s="40">
        <f>IF('SpecLawEnfTrustHousing Grant'!$C$39&gt;0,'SpecLawEnfTrustHousing Grant'!$C$39,"  ")</f>
        <v>4004</v>
      </c>
      <c r="C26" s="42"/>
      <c r="D26" s="396" t="str">
        <f>IF('SpecLawEnfTrustHousing Grant'!$D$39&gt;0,'SpecLawEnfTrustHousing Grant'!$D$39," 0 ")</f>
        <v> 0 </v>
      </c>
      <c r="E26" s="42"/>
      <c r="F26" s="396" t="str">
        <f>IF('SpecLawEnfTrustHousing Grant'!$E$39&gt;0,'SpecLawEnfTrustHousing Grant'!$E$39," 0 ")</f>
        <v> 0 </v>
      </c>
      <c r="G26" s="42"/>
      <c r="H26" s="42"/>
      <c r="I26" s="245"/>
      <c r="J26" s="245"/>
      <c r="K26" s="245"/>
      <c r="L26" s="245"/>
      <c r="M26" s="245"/>
      <c r="N26" s="245"/>
      <c r="O26" s="245"/>
      <c r="P26" s="245"/>
      <c r="Q26" s="245"/>
      <c r="R26" s="245"/>
      <c r="S26" s="245"/>
      <c r="T26" s="245"/>
      <c r="U26" s="245"/>
      <c r="V26" s="245"/>
      <c r="W26" s="245"/>
      <c r="X26" s="245"/>
      <c r="Y26" s="245"/>
      <c r="Z26" s="245"/>
    </row>
    <row r="27" spans="1:26" ht="15">
      <c r="A27" s="40" t="str">
        <f>IF(inputPrYr!$B33&gt;"  ",(inputPrYr!$B33),"  ")</f>
        <v>Water Storage Grant Fund</v>
      </c>
      <c r="B27" s="396">
        <f>IF(WaterStorageGrantStormSewerProj!$C$21&gt;0,WaterStorageGrantStormSewerProj!$C$21," 0 ")</f>
        <v>402201</v>
      </c>
      <c r="C27" s="42"/>
      <c r="D27" s="40">
        <f>IF(WaterStorageGrantStormSewerProj!$D$21&gt;0,WaterStorageGrantStormSewerProj!$D$21,"0 ")</f>
        <v>11236</v>
      </c>
      <c r="E27" s="42"/>
      <c r="F27" s="396" t="str">
        <f>IF(WaterStorageGrantStormSewerProj!$E$21&gt;0,WaterStorageGrantStormSewerProj!$E$21," 0 ")</f>
        <v> 0 </v>
      </c>
      <c r="G27" s="42"/>
      <c r="H27" s="42"/>
      <c r="I27" s="245"/>
      <c r="J27" s="245"/>
      <c r="K27" s="245"/>
      <c r="L27" s="245"/>
      <c r="M27" s="245"/>
      <c r="N27" s="245"/>
      <c r="O27" s="245"/>
      <c r="P27" s="245"/>
      <c r="Q27" s="245"/>
      <c r="R27" s="245"/>
      <c r="S27" s="245"/>
      <c r="T27" s="245"/>
      <c r="U27" s="245"/>
      <c r="V27" s="245"/>
      <c r="W27" s="245"/>
      <c r="X27" s="245"/>
      <c r="Y27" s="245"/>
      <c r="Z27" s="245"/>
    </row>
    <row r="28" spans="1:26" ht="15">
      <c r="A28" s="40" t="str">
        <f>IF(inputPrYr!$B34&gt;"  ",(inputPrYr!$B34),"  ")</f>
        <v>Storm Sewer Capital Project Fund</v>
      </c>
      <c r="B28" s="396">
        <f>IF(WaterStorageGrantStormSewerProj!$C$45&gt;0,WaterStorageGrantStormSewerProj!$C$45," 0 ")</f>
        <v>139455</v>
      </c>
      <c r="C28" s="42"/>
      <c r="D28" s="40">
        <f>IF(WaterStorageGrantStormSewerProj!$D$45&gt;0,WaterStorageGrantStormSewerProj!$D$45,"0 ")</f>
        <v>93545</v>
      </c>
      <c r="E28" s="42"/>
      <c r="F28" s="396" t="str">
        <f>IF(WaterStorageGrantStormSewerProj!$E$45&gt;0,WaterStorageGrantStormSewerProj!$E$45," 0 ")</f>
        <v> 0 </v>
      </c>
      <c r="G28" s="42"/>
      <c r="H28" s="42"/>
      <c r="I28" s="245"/>
      <c r="J28" s="245"/>
      <c r="K28" s="245"/>
      <c r="L28" s="245"/>
      <c r="M28" s="245"/>
      <c r="N28" s="245"/>
      <c r="O28" s="245"/>
      <c r="P28" s="245"/>
      <c r="Q28" s="245"/>
      <c r="R28" s="245"/>
      <c r="S28" s="245"/>
      <c r="T28" s="245"/>
      <c r="U28" s="245"/>
      <c r="V28" s="245"/>
      <c r="W28" s="245"/>
      <c r="X28" s="245"/>
      <c r="Y28" s="245"/>
      <c r="Z28" s="245"/>
    </row>
    <row r="29" spans="1:26" ht="15">
      <c r="A29" s="44" t="s">
        <v>87</v>
      </c>
      <c r="B29" s="40">
        <f>SUM(B18:B28)</f>
        <v>1321586</v>
      </c>
      <c r="C29" s="104">
        <f>SUM(C18:C20)</f>
        <v>74.599</v>
      </c>
      <c r="D29" s="40">
        <f>SUM(D18:D28)</f>
        <v>1101605</v>
      </c>
      <c r="E29" s="104">
        <f>SUM(E18:E20)</f>
        <v>74.569</v>
      </c>
      <c r="F29" s="40">
        <f>SUM(F18:F28)</f>
        <v>1665300</v>
      </c>
      <c r="G29" s="40">
        <f>SUM(G18:G26)</f>
        <v>226811</v>
      </c>
      <c r="H29" s="104">
        <f>SUM(H18:H20)</f>
        <v>74.707</v>
      </c>
      <c r="I29" s="420"/>
      <c r="J29" s="245"/>
      <c r="K29" s="245"/>
      <c r="L29" s="245"/>
      <c r="M29" s="245"/>
      <c r="N29" s="245"/>
      <c r="O29" s="245"/>
      <c r="P29" s="245"/>
      <c r="Q29" s="245"/>
      <c r="R29" s="245"/>
      <c r="S29" s="245"/>
      <c r="T29" s="245"/>
      <c r="U29" s="245"/>
      <c r="V29" s="245"/>
      <c r="W29" s="245"/>
      <c r="X29" s="245"/>
      <c r="Y29" s="245"/>
      <c r="Z29" s="245"/>
    </row>
    <row r="30" spans="1:26" ht="15">
      <c r="A30" s="25" t="s">
        <v>130</v>
      </c>
      <c r="B30" s="119">
        <f>transfers!C28</f>
        <v>6640</v>
      </c>
      <c r="C30" s="72"/>
      <c r="D30" s="119">
        <f>transfers!D28</f>
        <v>214260</v>
      </c>
      <c r="E30" s="72"/>
      <c r="F30" s="119">
        <f>transfers!E28</f>
        <v>160000</v>
      </c>
      <c r="G30" s="21"/>
      <c r="H30" s="21"/>
      <c r="I30" s="245"/>
      <c r="J30" s="245"/>
      <c r="K30" s="245"/>
      <c r="L30" s="245"/>
      <c r="M30" s="245"/>
      <c r="N30" s="245"/>
      <c r="O30" s="245"/>
      <c r="P30" s="245"/>
      <c r="Q30" s="245"/>
      <c r="R30" s="245"/>
      <c r="S30" s="245"/>
      <c r="T30" s="245"/>
      <c r="U30" s="245"/>
      <c r="V30" s="245"/>
      <c r="W30" s="245"/>
      <c r="X30" s="245"/>
      <c r="Y30" s="245"/>
      <c r="Z30" s="245"/>
    </row>
    <row r="31" spans="1:26" ht="15.75" thickBot="1">
      <c r="A31" s="25" t="s">
        <v>131</v>
      </c>
      <c r="B31" s="73">
        <f>B29-B30</f>
        <v>1314946</v>
      </c>
      <c r="C31" s="21"/>
      <c r="D31" s="73">
        <f>D29-D30</f>
        <v>887345</v>
      </c>
      <c r="E31" s="94"/>
      <c r="F31" s="73">
        <f>F29-F30</f>
        <v>1505300</v>
      </c>
      <c r="G31" s="21"/>
      <c r="H31" s="21"/>
      <c r="I31" s="245"/>
      <c r="J31" s="245"/>
      <c r="K31" s="245"/>
      <c r="L31" s="245"/>
      <c r="M31" s="245"/>
      <c r="N31" s="245"/>
      <c r="O31" s="245"/>
      <c r="P31" s="245"/>
      <c r="Q31" s="245"/>
      <c r="R31" s="245"/>
      <c r="S31" s="245"/>
      <c r="T31" s="245"/>
      <c r="U31" s="245"/>
      <c r="V31" s="245"/>
      <c r="W31" s="245"/>
      <c r="X31" s="245"/>
      <c r="Y31" s="245"/>
      <c r="Z31" s="245"/>
    </row>
    <row r="32" spans="1:26" ht="15.75" thickTop="1">
      <c r="A32" s="25" t="s">
        <v>132</v>
      </c>
      <c r="B32" s="119">
        <f>inputPrYr!E44</f>
        <v>222032</v>
      </c>
      <c r="C32" s="105"/>
      <c r="D32" s="119">
        <f>inputPrYr!D21</f>
        <v>221329</v>
      </c>
      <c r="E32" s="105"/>
      <c r="F32" s="120" t="s">
        <v>88</v>
      </c>
      <c r="G32" s="21"/>
      <c r="H32" s="21"/>
      <c r="I32" s="245"/>
      <c r="J32" s="245"/>
      <c r="K32" s="245"/>
      <c r="L32" s="245"/>
      <c r="M32" s="245"/>
      <c r="N32" s="245"/>
      <c r="O32" s="245"/>
      <c r="P32" s="245"/>
      <c r="Q32" s="245"/>
      <c r="R32" s="245"/>
      <c r="S32" s="245"/>
      <c r="T32" s="245"/>
      <c r="U32" s="245"/>
      <c r="V32" s="245"/>
      <c r="W32" s="245"/>
      <c r="X32" s="245"/>
      <c r="Y32" s="245"/>
      <c r="Z32" s="245"/>
    </row>
    <row r="33" spans="1:26" ht="15">
      <c r="A33" s="25" t="s">
        <v>133</v>
      </c>
      <c r="B33" s="39"/>
      <c r="C33" s="21"/>
      <c r="D33" s="39"/>
      <c r="E33" s="21"/>
      <c r="F33" s="39"/>
      <c r="G33" s="21"/>
      <c r="H33" s="21"/>
      <c r="I33" s="245"/>
      <c r="J33" s="245"/>
      <c r="K33" s="245"/>
      <c r="L33" s="245"/>
      <c r="M33" s="245"/>
      <c r="N33" s="245"/>
      <c r="O33" s="245"/>
      <c r="P33" s="245"/>
      <c r="Q33" s="245"/>
      <c r="R33" s="245"/>
      <c r="S33" s="245"/>
      <c r="T33" s="245"/>
      <c r="U33" s="245"/>
      <c r="V33" s="245"/>
      <c r="W33" s="245"/>
      <c r="X33" s="245"/>
      <c r="Y33" s="245"/>
      <c r="Z33" s="245"/>
    </row>
    <row r="34" spans="1:26" ht="15">
      <c r="A34" s="25" t="s">
        <v>134</v>
      </c>
      <c r="B34" s="119">
        <f>inputPrYr!E45</f>
        <v>2976368</v>
      </c>
      <c r="C34" s="21"/>
      <c r="D34" s="119">
        <f>inputOth!E34</f>
        <v>2968131</v>
      </c>
      <c r="E34" s="21"/>
      <c r="F34" s="119">
        <f>inputOth!E6</f>
        <v>3036027</v>
      </c>
      <c r="G34" s="21"/>
      <c r="H34" s="21"/>
      <c r="I34" s="245"/>
      <c r="J34" s="245"/>
      <c r="K34" s="245"/>
      <c r="L34" s="245"/>
      <c r="M34" s="245"/>
      <c r="N34" s="245"/>
      <c r="O34" s="245"/>
      <c r="P34" s="245"/>
      <c r="Q34" s="245"/>
      <c r="R34" s="245"/>
      <c r="S34" s="245"/>
      <c r="T34" s="245"/>
      <c r="U34" s="245"/>
      <c r="V34" s="245"/>
      <c r="W34" s="245"/>
      <c r="X34" s="245"/>
      <c r="Y34" s="245"/>
      <c r="Z34" s="245"/>
    </row>
    <row r="35" spans="1:8" ht="13.5" customHeight="1">
      <c r="A35" s="21"/>
      <c r="B35" s="21"/>
      <c r="C35" s="21"/>
      <c r="D35" s="21"/>
      <c r="E35" s="21"/>
      <c r="F35" s="21"/>
      <c r="G35" s="21"/>
      <c r="H35" s="21"/>
    </row>
    <row r="36" spans="1:8" ht="15">
      <c r="A36" s="25" t="s">
        <v>135</v>
      </c>
      <c r="B36" s="21"/>
      <c r="C36" s="21"/>
      <c r="D36" s="21"/>
      <c r="E36" s="21"/>
      <c r="F36" s="21"/>
      <c r="G36" s="21"/>
      <c r="H36" s="21"/>
    </row>
    <row r="37" spans="1:8" ht="18.75" customHeight="1">
      <c r="A37" s="25" t="s">
        <v>136</v>
      </c>
      <c r="B37" s="106">
        <f>H2-3</f>
        <v>2009</v>
      </c>
      <c r="C37" s="21"/>
      <c r="D37" s="106">
        <f>H2-2</f>
        <v>2010</v>
      </c>
      <c r="E37" s="21"/>
      <c r="F37" s="106">
        <f>H2-1</f>
        <v>2011</v>
      </c>
      <c r="G37" s="21"/>
      <c r="H37" s="21"/>
    </row>
    <row r="38" spans="1:8" ht="18.75" customHeight="1">
      <c r="A38" s="25" t="s">
        <v>137</v>
      </c>
      <c r="B38" s="194">
        <f>inputPrYr!D49</f>
        <v>10000</v>
      </c>
      <c r="C38" s="132"/>
      <c r="D38" s="194">
        <f>inputPrYr!E49</f>
        <v>0</v>
      </c>
      <c r="E38" s="132"/>
      <c r="F38" s="194">
        <f>debt!F16</f>
        <v>0</v>
      </c>
      <c r="G38" s="21"/>
      <c r="H38" s="21"/>
    </row>
    <row r="39" spans="1:8" ht="18.75" customHeight="1">
      <c r="A39" s="25" t="s">
        <v>138</v>
      </c>
      <c r="B39" s="194">
        <f>inputPrYr!D50</f>
        <v>0</v>
      </c>
      <c r="C39" s="132"/>
      <c r="D39" s="194">
        <f>inputPrYr!E50</f>
        <v>0</v>
      </c>
      <c r="E39" s="132"/>
      <c r="F39" s="195">
        <f>debt!F24</f>
        <v>0</v>
      </c>
      <c r="G39" s="21"/>
      <c r="H39" s="21"/>
    </row>
    <row r="40" spans="1:8" ht="18.75" customHeight="1">
      <c r="A40" s="21" t="s">
        <v>157</v>
      </c>
      <c r="B40" s="194">
        <f>inputPrYr!D51</f>
        <v>0</v>
      </c>
      <c r="C40" s="132"/>
      <c r="D40" s="194">
        <f>inputPrYr!E51</f>
        <v>0</v>
      </c>
      <c r="E40" s="132"/>
      <c r="F40" s="195">
        <f>debt!F33</f>
        <v>183545</v>
      </c>
      <c r="G40" s="21"/>
      <c r="H40" s="21"/>
    </row>
    <row r="41" spans="1:8" ht="18" customHeight="1">
      <c r="A41" s="25" t="s">
        <v>242</v>
      </c>
      <c r="B41" s="194">
        <f>inputPrYr!D52</f>
        <v>0</v>
      </c>
      <c r="C41" s="132"/>
      <c r="D41" s="194">
        <f>inputPrYr!E52</f>
        <v>18944</v>
      </c>
      <c r="E41" s="132"/>
      <c r="F41" s="195">
        <f>lpform!F28</f>
        <v>14427</v>
      </c>
      <c r="G41" s="21"/>
      <c r="H41" s="21"/>
    </row>
    <row r="42" spans="1:8" ht="19.5" customHeight="1" thickBot="1">
      <c r="A42" s="25" t="s">
        <v>139</v>
      </c>
      <c r="B42" s="196">
        <f>SUM(B38:B41)</f>
        <v>10000</v>
      </c>
      <c r="C42" s="132"/>
      <c r="D42" s="196">
        <f>SUM(D38:D41)</f>
        <v>18944</v>
      </c>
      <c r="E42" s="132"/>
      <c r="F42" s="196">
        <f>SUM(F38:F41)</f>
        <v>197972</v>
      </c>
      <c r="G42" s="21"/>
      <c r="H42" s="21"/>
    </row>
    <row r="43" spans="1:8" ht="18.75" customHeight="1" thickTop="1">
      <c r="A43" s="25" t="s">
        <v>140</v>
      </c>
      <c r="B43" s="21"/>
      <c r="C43" s="21"/>
      <c r="D43" s="21"/>
      <c r="E43" s="21"/>
      <c r="F43" s="21"/>
      <c r="G43" s="21"/>
      <c r="H43" s="21"/>
    </row>
    <row r="44" spans="1:8" ht="15">
      <c r="A44" s="21"/>
      <c r="B44" s="21"/>
      <c r="C44" s="21"/>
      <c r="D44" s="21"/>
      <c r="E44" s="21"/>
      <c r="F44" s="21"/>
      <c r="G44" s="21"/>
      <c r="H44" s="21"/>
    </row>
    <row r="45" spans="1:8" ht="15">
      <c r="A45" s="31"/>
      <c r="B45" s="31"/>
      <c r="C45" s="20"/>
      <c r="D45" s="21"/>
      <c r="E45" s="21"/>
      <c r="F45" s="21"/>
      <c r="G45" s="21"/>
      <c r="H45" s="21"/>
    </row>
    <row r="46" spans="1:8" ht="15">
      <c r="A46" s="24" t="s">
        <v>291</v>
      </c>
      <c r="B46" s="468" t="s">
        <v>250</v>
      </c>
      <c r="C46" s="469"/>
      <c r="D46" s="21"/>
      <c r="E46" s="21"/>
      <c r="F46" s="21"/>
      <c r="G46" s="21"/>
      <c r="H46" s="21"/>
    </row>
    <row r="47" spans="1:8" ht="15">
      <c r="A47" s="21"/>
      <c r="B47" s="21"/>
      <c r="C47" s="21"/>
      <c r="D47" s="21"/>
      <c r="E47" s="21"/>
      <c r="F47" s="21"/>
      <c r="G47" s="21"/>
      <c r="H47" s="21"/>
    </row>
    <row r="48" spans="1:8" ht="15">
      <c r="A48" s="21"/>
      <c r="B48" s="21"/>
      <c r="C48" s="23" t="s">
        <v>109</v>
      </c>
      <c r="D48" s="16">
        <v>13</v>
      </c>
      <c r="E48" s="21"/>
      <c r="F48" s="21"/>
      <c r="G48" s="21"/>
      <c r="H48" s="21"/>
    </row>
  </sheetData>
  <sheetProtection/>
  <mergeCells count="8">
    <mergeCell ref="B46:C46"/>
    <mergeCell ref="A1:H1"/>
    <mergeCell ref="A4:H4"/>
    <mergeCell ref="A5:H5"/>
    <mergeCell ref="A6:H6"/>
    <mergeCell ref="A8:H8"/>
    <mergeCell ref="A9:H9"/>
    <mergeCell ref="A3:H3"/>
  </mergeCells>
  <printOptions/>
  <pageMargins left="0.5" right="0.5" top="1" bottom="0.5" header="0.5" footer="0.5"/>
  <pageSetup blackAndWhite="1" fitToHeight="1" fitToWidth="1" horizontalDpi="600" verticalDpi="600" orientation="portrait" scale="70" r:id="rId1"/>
  <headerFooter alignWithMargins="0">
    <oddHeader>&amp;RState of Kansas
City</oddHeader>
    <oddFooter>&amp;Lrevised 5/08/08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A24" sqref="A24"/>
    </sheetView>
  </sheetViews>
  <sheetFormatPr defaultColWidth="8.796875" defaultRowHeight="15"/>
  <cols>
    <col min="1" max="1" width="10.09765625" style="0" customWidth="1"/>
    <col min="2" max="2" width="16.296875" style="0" customWidth="1"/>
    <col min="3" max="3" width="11.69921875" style="0" customWidth="1"/>
    <col min="4" max="4" width="12.69921875" style="0" customWidth="1"/>
    <col min="5" max="5" width="11.69921875" style="0" customWidth="1"/>
  </cols>
  <sheetData>
    <row r="1" spans="1:6" ht="15">
      <c r="A1" s="72" t="str">
        <f>inputPrYr!D2</f>
        <v>CITY OF BLUE RAPIDS</v>
      </c>
      <c r="B1" s="21"/>
      <c r="C1" s="21"/>
      <c r="D1" s="21"/>
      <c r="E1" s="21"/>
      <c r="F1" s="21">
        <f>inputPrYr!C5</f>
        <v>2012</v>
      </c>
    </row>
    <row r="2" spans="1:6" ht="15">
      <c r="A2" s="21"/>
      <c r="B2" s="21"/>
      <c r="C2" s="21"/>
      <c r="D2" s="21"/>
      <c r="E2" s="21"/>
      <c r="F2" s="21"/>
    </row>
    <row r="3" spans="1:6" ht="15">
      <c r="A3" s="21"/>
      <c r="B3" s="453" t="str">
        <f>CONCATENATE("",F1," Neighborhood Revitalization Rebate")</f>
        <v>2012 Neighborhood Revitalization Rebate</v>
      </c>
      <c r="C3" s="472"/>
      <c r="D3" s="472"/>
      <c r="E3" s="472"/>
      <c r="F3" s="21"/>
    </row>
    <row r="4" spans="1:6" ht="15">
      <c r="A4" s="21"/>
      <c r="B4" s="21"/>
      <c r="C4" s="21"/>
      <c r="D4" s="21"/>
      <c r="E4" s="21"/>
      <c r="F4" s="21"/>
    </row>
    <row r="5" spans="1:6" ht="51" customHeight="1">
      <c r="A5" s="21"/>
      <c r="B5" s="374" t="str">
        <f>CONCATENATE("Budgeted Funds for ",F1-1,"")</f>
        <v>Budgeted Funds for 2011</v>
      </c>
      <c r="C5" s="355" t="str">
        <f>CONCATENATE("",F1-1," Ad Valorem before Rebate")</f>
        <v>2011 Ad Valorem before Rebate</v>
      </c>
      <c r="D5" s="356" t="str">
        <f>CONCATENATE("",F1-1," Mil Rate before Rebate")</f>
        <v>2011 Mil Rate before Rebate</v>
      </c>
      <c r="E5" s="357" t="str">
        <f>CONCATENATE("Estimate ",F1," NR Rebate")</f>
        <v>Estimate 2012 NR Rebate</v>
      </c>
      <c r="F5" s="136"/>
    </row>
    <row r="6" spans="1:6" ht="15">
      <c r="A6" s="21"/>
      <c r="B6" s="44" t="str">
        <f>inputPrYr!B16</f>
        <v>General</v>
      </c>
      <c r="C6" s="369">
        <v>213174</v>
      </c>
      <c r="D6" s="358">
        <f>IF(C6&gt;0,C6/$D$23,"")</f>
        <v>71.03604986059307</v>
      </c>
      <c r="E6" s="214">
        <f>IF(C6&gt;0,D6*$D$27,"")</f>
        <v>2493.3653501068165</v>
      </c>
      <c r="F6" s="136"/>
    </row>
    <row r="7" spans="1:6" ht="15">
      <c r="A7" s="21"/>
      <c r="B7" s="44" t="str">
        <f>inputPrYr!B17</f>
        <v>Bond &amp; Interest</v>
      </c>
      <c r="C7" s="369"/>
      <c r="D7" s="358">
        <f aca="true" t="shared" si="0" ref="D7:D17">IF(C7&gt;0,C7/$D$23,"")</f>
      </c>
      <c r="E7" s="214">
        <f aca="true" t="shared" si="1" ref="E7:E17">IF(C7&gt;0,D7*$D$27,"")</f>
      </c>
      <c r="F7" s="136"/>
    </row>
    <row r="8" spans="1:6" ht="15">
      <c r="A8" s="21"/>
      <c r="B8" s="40" t="str">
        <f>inputPrYr!B19</f>
        <v>Library</v>
      </c>
      <c r="C8" s="369">
        <v>9038</v>
      </c>
      <c r="D8" s="358">
        <f t="shared" si="0"/>
        <v>3.0117360402302356</v>
      </c>
      <c r="E8" s="214">
        <f t="shared" si="1"/>
        <v>105.71193501208127</v>
      </c>
      <c r="F8" s="136"/>
    </row>
    <row r="9" spans="1:7" ht="15">
      <c r="A9" s="21"/>
      <c r="B9" s="40" t="e">
        <f>inputPrYr!#REF!</f>
        <v>#REF!</v>
      </c>
      <c r="C9" s="369"/>
      <c r="D9" s="358">
        <f t="shared" si="0"/>
      </c>
      <c r="E9" s="214">
        <f t="shared" si="1"/>
      </c>
      <c r="F9" s="136"/>
      <c r="G9" t="s">
        <v>532</v>
      </c>
    </row>
    <row r="10" spans="1:6" ht="15">
      <c r="A10" s="21"/>
      <c r="B10" s="40" t="e">
        <f>inputPrYr!#REF!</f>
        <v>#REF!</v>
      </c>
      <c r="C10" s="369"/>
      <c r="D10" s="358">
        <f t="shared" si="0"/>
      </c>
      <c r="E10" s="214">
        <f t="shared" si="1"/>
      </c>
      <c r="F10" s="136"/>
    </row>
    <row r="11" spans="1:6" ht="15">
      <c r="A11" s="21"/>
      <c r="B11" s="40" t="e">
        <f>inputPrYr!#REF!</f>
        <v>#REF!</v>
      </c>
      <c r="C11" s="369"/>
      <c r="D11" s="358">
        <f t="shared" si="0"/>
      </c>
      <c r="E11" s="214">
        <f t="shared" si="1"/>
      </c>
      <c r="F11" s="136"/>
    </row>
    <row r="12" spans="1:6" ht="15">
      <c r="A12" s="21"/>
      <c r="B12" s="40" t="e">
        <f>inputPrYr!#REF!</f>
        <v>#REF!</v>
      </c>
      <c r="C12" s="370"/>
      <c r="D12" s="358">
        <f t="shared" si="0"/>
      </c>
      <c r="E12" s="214">
        <f t="shared" si="1"/>
      </c>
      <c r="F12" s="136"/>
    </row>
    <row r="13" spans="1:6" ht="15">
      <c r="A13" s="21"/>
      <c r="B13" s="40" t="e">
        <f>inputPrYr!#REF!</f>
        <v>#REF!</v>
      </c>
      <c r="C13" s="370"/>
      <c r="D13" s="358">
        <f t="shared" si="0"/>
      </c>
      <c r="E13" s="214">
        <f t="shared" si="1"/>
      </c>
      <c r="F13" s="136"/>
    </row>
    <row r="14" spans="1:6" ht="15">
      <c r="A14" s="21"/>
      <c r="B14" s="40" t="e">
        <f>inputPrYr!#REF!</f>
        <v>#REF!</v>
      </c>
      <c r="C14" s="370"/>
      <c r="D14" s="358">
        <f t="shared" si="0"/>
      </c>
      <c r="E14" s="214">
        <f t="shared" si="1"/>
      </c>
      <c r="F14" s="136"/>
    </row>
    <row r="15" spans="1:6" ht="15">
      <c r="A15" s="21"/>
      <c r="B15" s="40" t="e">
        <f>inputPrYr!#REF!</f>
        <v>#REF!</v>
      </c>
      <c r="C15" s="370"/>
      <c r="D15" s="358">
        <f t="shared" si="0"/>
      </c>
      <c r="E15" s="214">
        <f t="shared" si="1"/>
      </c>
      <c r="F15" s="136"/>
    </row>
    <row r="16" spans="1:6" ht="15">
      <c r="A16" s="21"/>
      <c r="B16" s="40" t="e">
        <f>inputPrYr!#REF!</f>
        <v>#REF!</v>
      </c>
      <c r="C16" s="370"/>
      <c r="D16" s="358">
        <f t="shared" si="0"/>
      </c>
      <c r="E16" s="214">
        <f t="shared" si="1"/>
      </c>
      <c r="F16" s="136"/>
    </row>
    <row r="17" spans="1:6" ht="15">
      <c r="A17" s="21"/>
      <c r="B17" s="40">
        <f>inputPrYr!B20</f>
        <v>0</v>
      </c>
      <c r="C17" s="370"/>
      <c r="D17" s="358">
        <f t="shared" si="0"/>
      </c>
      <c r="E17" s="214">
        <f t="shared" si="1"/>
      </c>
      <c r="F17" s="136"/>
    </row>
    <row r="18" spans="1:6" ht="15.75" thickBot="1">
      <c r="A18" s="21"/>
      <c r="B18" s="42" t="s">
        <v>95</v>
      </c>
      <c r="C18" s="359">
        <f>SUM(C6:C17)</f>
        <v>222212</v>
      </c>
      <c r="D18" s="360">
        <f>SUM(D6:D17)</f>
        <v>74.0477859008233</v>
      </c>
      <c r="E18" s="359">
        <f>SUM(E6:E17)</f>
        <v>2599.0772851188976</v>
      </c>
      <c r="F18" s="136"/>
    </row>
    <row r="19" spans="1:6" ht="15.75" thickTop="1">
      <c r="A19" s="21"/>
      <c r="B19" s="21"/>
      <c r="C19" s="21"/>
      <c r="D19" s="21"/>
      <c r="E19" s="21"/>
      <c r="F19" s="136"/>
    </row>
    <row r="20" spans="1:6" ht="15">
      <c r="A20" s="21"/>
      <c r="B20" s="21"/>
      <c r="C20" s="21"/>
      <c r="D20" s="21"/>
      <c r="E20" s="21"/>
      <c r="F20" s="136"/>
    </row>
    <row r="21" spans="1:6" ht="15">
      <c r="A21" s="473" t="str">
        <f>CONCATENATE("",F1-1," Net Valuation (July 1 less NR Valuation)")</f>
        <v>2011 Net Valuation (July 1 less NR Valuation)</v>
      </c>
      <c r="B21" s="461"/>
      <c r="C21" s="473"/>
      <c r="D21" s="194">
        <f>inputOth!E6-inputOth!E16</f>
        <v>3000927</v>
      </c>
      <c r="E21" s="21"/>
      <c r="F21" s="136"/>
    </row>
    <row r="22" spans="1:6" ht="15">
      <c r="A22" s="21"/>
      <c r="B22" s="21"/>
      <c r="C22" s="21"/>
      <c r="D22" s="21"/>
      <c r="E22" s="21"/>
      <c r="F22" s="136"/>
    </row>
    <row r="23" spans="1:6" ht="15">
      <c r="A23" s="21"/>
      <c r="B23" s="473" t="s">
        <v>393</v>
      </c>
      <c r="C23" s="473"/>
      <c r="D23" s="361">
        <f>IF(D21&gt;0,(D21*0.001),"")</f>
        <v>3000.927</v>
      </c>
      <c r="E23" s="21"/>
      <c r="F23" s="136"/>
    </row>
    <row r="24" spans="1:6" ht="15">
      <c r="A24" s="21"/>
      <c r="B24" s="23"/>
      <c r="C24" s="23"/>
      <c r="D24" s="362"/>
      <c r="E24" s="21"/>
      <c r="F24" s="136"/>
    </row>
    <row r="25" spans="1:6" ht="15">
      <c r="A25" s="471" t="s">
        <v>394</v>
      </c>
      <c r="B25" s="474"/>
      <c r="C25" s="474"/>
      <c r="D25" s="363">
        <f>inputOth!E16</f>
        <v>35100</v>
      </c>
      <c r="E25" s="169"/>
      <c r="F25" s="169"/>
    </row>
    <row r="26" spans="1:6" ht="15">
      <c r="A26" s="169"/>
      <c r="B26" s="169"/>
      <c r="C26" s="169"/>
      <c r="D26" s="364"/>
      <c r="E26" s="169"/>
      <c r="F26" s="169"/>
    </row>
    <row r="27" spans="1:6" ht="15">
      <c r="A27" s="169"/>
      <c r="B27" s="471" t="s">
        <v>395</v>
      </c>
      <c r="C27" s="461"/>
      <c r="D27" s="368">
        <f>IF(D25&gt;0,(D25*0.001),"")</f>
        <v>35.1</v>
      </c>
      <c r="E27" s="169"/>
      <c r="F27" s="169"/>
    </row>
    <row r="28" spans="1:6" ht="15">
      <c r="A28" s="169"/>
      <c r="B28" s="169"/>
      <c r="C28" s="169"/>
      <c r="D28" s="169"/>
      <c r="E28" s="169"/>
      <c r="F28" s="169"/>
    </row>
    <row r="29" spans="1:6" ht="15">
      <c r="A29" s="169"/>
      <c r="B29" s="169"/>
      <c r="C29" s="169"/>
      <c r="D29" s="169"/>
      <c r="E29" s="169"/>
      <c r="F29" s="169"/>
    </row>
    <row r="30" spans="1:6" ht="15">
      <c r="A30" s="169"/>
      <c r="B30" s="169"/>
      <c r="C30" s="169"/>
      <c r="D30" s="169"/>
      <c r="E30" s="169"/>
      <c r="F30" s="169"/>
    </row>
    <row r="31" spans="1:6" ht="15">
      <c r="A31" s="169"/>
      <c r="B31" s="169"/>
      <c r="C31" s="169"/>
      <c r="D31" s="169"/>
      <c r="E31" s="169"/>
      <c r="F31" s="169"/>
    </row>
    <row r="32" spans="1:6" ht="15">
      <c r="A32" s="169"/>
      <c r="B32" s="169"/>
      <c r="C32" s="169"/>
      <c r="D32" s="169"/>
      <c r="E32" s="169"/>
      <c r="F32" s="169"/>
    </row>
    <row r="33" spans="1:6" ht="15">
      <c r="A33" s="169"/>
      <c r="B33" s="169"/>
      <c r="C33" s="169"/>
      <c r="D33" s="169"/>
      <c r="E33" s="169"/>
      <c r="F33" s="169"/>
    </row>
    <row r="34" spans="1:6" ht="15">
      <c r="A34" s="169"/>
      <c r="B34" s="63" t="s">
        <v>118</v>
      </c>
      <c r="C34" s="16"/>
      <c r="D34" s="169"/>
      <c r="E34" s="169"/>
      <c r="F34" s="169"/>
    </row>
    <row r="35" spans="1:6" ht="15">
      <c r="A35" s="136"/>
      <c r="B35" s="21"/>
      <c r="C35" s="21"/>
      <c r="D35" s="365"/>
      <c r="E35" s="136"/>
      <c r="F35" s="136"/>
    </row>
  </sheetData>
  <sheetProtection/>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r:id="rId1"/>
  <headerFooter alignWithMargins="0">
    <oddHeader>&amp;RState of  Kansas
City</oddHeader>
    <oddFooter>&amp;Lrevised 8/06/07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F62"/>
  <sheetViews>
    <sheetView zoomScalePageLayoutView="0" workbookViewId="0" topLeftCell="A1">
      <selection activeCell="A48" sqref="A48"/>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43">
        <f>inputPrYr!$C$5</f>
        <v>2012</v>
      </c>
    </row>
    <row r="2" spans="1:5" ht="15">
      <c r="A2" s="21"/>
      <c r="B2" s="21"/>
      <c r="C2" s="21"/>
      <c r="D2" s="21"/>
      <c r="E2" s="24"/>
    </row>
    <row r="3" spans="1:5" ht="15">
      <c r="A3" s="90" t="s">
        <v>392</v>
      </c>
      <c r="B3" s="90"/>
      <c r="C3" s="94"/>
      <c r="D3" s="94"/>
      <c r="E3" s="144"/>
    </row>
    <row r="4" spans="1:5" ht="15">
      <c r="A4" s="21"/>
      <c r="B4" s="21"/>
      <c r="C4" s="145"/>
      <c r="D4" s="145"/>
      <c r="E4" s="145"/>
    </row>
    <row r="5" spans="1:5" ht="15">
      <c r="A5" s="25" t="s">
        <v>100</v>
      </c>
      <c r="B5" s="25"/>
      <c r="C5" s="93" t="s">
        <v>124</v>
      </c>
      <c r="D5" s="33" t="s">
        <v>262</v>
      </c>
      <c r="E5" s="33" t="s">
        <v>263</v>
      </c>
    </row>
    <row r="6" spans="1:5" ht="15">
      <c r="A6" s="137" t="s">
        <v>278</v>
      </c>
      <c r="B6" s="137"/>
      <c r="C6" s="147">
        <f>E1-2</f>
        <v>2010</v>
      </c>
      <c r="D6" s="147">
        <f>E1-1</f>
        <v>2011</v>
      </c>
      <c r="E6" s="147">
        <f>E1</f>
        <v>2012</v>
      </c>
    </row>
    <row r="7" spans="1:5" ht="15">
      <c r="A7" s="37" t="s">
        <v>234</v>
      </c>
      <c r="B7" s="324"/>
      <c r="C7" s="340">
        <v>3229</v>
      </c>
      <c r="D7" s="149">
        <f>C55</f>
        <v>3229</v>
      </c>
      <c r="E7" s="149">
        <f>D55</f>
        <v>3229</v>
      </c>
    </row>
    <row r="8" spans="1:5" ht="15">
      <c r="A8" s="323" t="s">
        <v>236</v>
      </c>
      <c r="B8" s="324"/>
      <c r="C8" s="341"/>
      <c r="D8" s="149"/>
      <c r="E8" s="149"/>
    </row>
    <row r="9" spans="1:5" ht="15">
      <c r="A9" s="37" t="s">
        <v>101</v>
      </c>
      <c r="B9" s="324"/>
      <c r="C9" s="340"/>
      <c r="D9" s="150">
        <f>inputPrYr!D17</f>
        <v>0</v>
      </c>
      <c r="E9" s="97" t="s">
        <v>88</v>
      </c>
    </row>
    <row r="10" spans="1:5" ht="15">
      <c r="A10" s="37" t="s">
        <v>102</v>
      </c>
      <c r="B10" s="324"/>
      <c r="C10" s="340"/>
      <c r="D10" s="148"/>
      <c r="E10" s="148"/>
    </row>
    <row r="11" spans="1:5" ht="15">
      <c r="A11" s="37" t="s">
        <v>103</v>
      </c>
      <c r="B11" s="324"/>
      <c r="C11" s="340"/>
      <c r="D11" s="148"/>
      <c r="E11" s="150" t="e">
        <f>mvalloc!#REF!</f>
        <v>#REF!</v>
      </c>
    </row>
    <row r="12" spans="1:5" ht="15">
      <c r="A12" s="37" t="s">
        <v>104</v>
      </c>
      <c r="B12" s="324"/>
      <c r="C12" s="340"/>
      <c r="D12" s="148"/>
      <c r="E12" s="150" t="e">
        <f>mvalloc!#REF!</f>
        <v>#REF!</v>
      </c>
    </row>
    <row r="13" spans="1:5" ht="15">
      <c r="A13" s="337" t="s">
        <v>211</v>
      </c>
      <c r="B13" s="324"/>
      <c r="C13" s="340"/>
      <c r="D13" s="148"/>
      <c r="E13" s="150" t="e">
        <f>mvalloc!#REF!</f>
        <v>#REF!</v>
      </c>
    </row>
    <row r="14" spans="1:5" ht="15">
      <c r="A14" s="337" t="s">
        <v>282</v>
      </c>
      <c r="B14" s="324"/>
      <c r="C14" s="340"/>
      <c r="D14" s="148"/>
      <c r="E14" s="150" t="e">
        <f>mvalloc!#REF!</f>
        <v>#REF!</v>
      </c>
    </row>
    <row r="15" spans="1:5" ht="15">
      <c r="A15" s="337"/>
      <c r="B15" s="324"/>
      <c r="C15" s="340"/>
      <c r="D15" s="148"/>
      <c r="E15" s="150"/>
    </row>
    <row r="16" spans="1:5" ht="15">
      <c r="A16" s="337"/>
      <c r="B16" s="324"/>
      <c r="C16" s="340"/>
      <c r="D16" s="148"/>
      <c r="E16" s="150"/>
    </row>
    <row r="17" spans="1:5" ht="15">
      <c r="A17" s="338"/>
      <c r="B17" s="325"/>
      <c r="C17" s="340"/>
      <c r="D17" s="148"/>
      <c r="E17" s="148"/>
    </row>
    <row r="18" spans="1:5" ht="15">
      <c r="A18" s="338"/>
      <c r="B18" s="325"/>
      <c r="C18" s="340"/>
      <c r="D18" s="148"/>
      <c r="E18" s="151"/>
    </row>
    <row r="19" spans="1:5" ht="15">
      <c r="A19" s="338"/>
      <c r="B19" s="325"/>
      <c r="C19" s="340"/>
      <c r="D19" s="148"/>
      <c r="E19" s="148"/>
    </row>
    <row r="20" spans="1:5" ht="15">
      <c r="A20" s="338"/>
      <c r="B20" s="325"/>
      <c r="C20" s="340"/>
      <c r="D20" s="148"/>
      <c r="E20" s="148"/>
    </row>
    <row r="21" spans="1:5" ht="15">
      <c r="A21" s="338"/>
      <c r="B21" s="325"/>
      <c r="C21" s="340"/>
      <c r="D21" s="148"/>
      <c r="E21" s="148"/>
    </row>
    <row r="22" spans="1:5" ht="15">
      <c r="A22" s="338"/>
      <c r="B22" s="325"/>
      <c r="C22" s="340"/>
      <c r="D22" s="148"/>
      <c r="E22" s="148"/>
    </row>
    <row r="23" spans="1:5" ht="15">
      <c r="A23" s="338"/>
      <c r="B23" s="325"/>
      <c r="C23" s="340"/>
      <c r="D23" s="148"/>
      <c r="E23" s="148"/>
    </row>
    <row r="24" spans="1:5" ht="15">
      <c r="A24" s="338"/>
      <c r="B24" s="325"/>
      <c r="C24" s="340"/>
      <c r="D24" s="148"/>
      <c r="E24" s="148"/>
    </row>
    <row r="25" spans="1:5" ht="15">
      <c r="A25" s="338"/>
      <c r="B25" s="325"/>
      <c r="C25" s="340"/>
      <c r="D25" s="148"/>
      <c r="E25" s="148"/>
    </row>
    <row r="26" spans="1:5" ht="15">
      <c r="A26" s="338" t="s">
        <v>264</v>
      </c>
      <c r="B26" s="325"/>
      <c r="C26" s="340"/>
      <c r="D26" s="148"/>
      <c r="E26" s="148"/>
    </row>
    <row r="27" spans="1:5" ht="15">
      <c r="A27" s="339" t="s">
        <v>106</v>
      </c>
      <c r="B27" s="325"/>
      <c r="C27" s="340"/>
      <c r="D27" s="148"/>
      <c r="E27" s="148"/>
    </row>
    <row r="28" spans="1:5" ht="15">
      <c r="A28" s="336" t="s">
        <v>397</v>
      </c>
      <c r="B28" s="332"/>
      <c r="C28" s="340"/>
      <c r="D28" s="340"/>
      <c r="E28" s="340"/>
    </row>
    <row r="29" spans="1:5" ht="15">
      <c r="A29" s="326" t="s">
        <v>399</v>
      </c>
      <c r="B29" s="332"/>
      <c r="C29" s="366">
        <f>IF(C30*0.1&lt;C28,"Exceed 10% Rule","")</f>
      </c>
      <c r="D29" s="366">
        <f>IF(D30*0.1&lt;D28,"Exceed 10% Rule","")</f>
      </c>
      <c r="E29" s="366" t="e">
        <f>IF(E30*0.1&lt;E28,"Exceed 10% Rule","")</f>
        <v>#REF!</v>
      </c>
    </row>
    <row r="30" spans="1:5" ht="15">
      <c r="A30" s="152" t="s">
        <v>107</v>
      </c>
      <c r="B30" s="324"/>
      <c r="C30" s="284">
        <f>SUM(C9:C28)</f>
        <v>0</v>
      </c>
      <c r="D30" s="282">
        <f>SUM(D9:D28)</f>
        <v>0</v>
      </c>
      <c r="E30" s="283" t="e">
        <f>SUM(E9:E28)</f>
        <v>#REF!</v>
      </c>
    </row>
    <row r="31" spans="1:5" ht="15">
      <c r="A31" s="152" t="s">
        <v>108</v>
      </c>
      <c r="B31" s="324"/>
      <c r="C31" s="284">
        <f>C7+C30</f>
        <v>3229</v>
      </c>
      <c r="D31" s="284">
        <f>D7+D30</f>
        <v>3229</v>
      </c>
      <c r="E31" s="281" t="e">
        <f>E7+E30</f>
        <v>#REF!</v>
      </c>
    </row>
    <row r="32" spans="1:5" ht="15">
      <c r="A32" s="323" t="s">
        <v>110</v>
      </c>
      <c r="B32" s="324"/>
      <c r="C32" s="342"/>
      <c r="D32" s="150"/>
      <c r="E32" s="150"/>
    </row>
    <row r="33" spans="1:5" ht="15">
      <c r="A33" s="316"/>
      <c r="B33" s="325"/>
      <c r="C33" s="340"/>
      <c r="D33" s="148"/>
      <c r="E33" s="148"/>
    </row>
    <row r="34" spans="1:5" ht="15">
      <c r="A34" s="316"/>
      <c r="B34" s="325"/>
      <c r="C34" s="340"/>
      <c r="D34" s="148"/>
      <c r="E34" s="148"/>
    </row>
    <row r="35" spans="1:5" ht="15">
      <c r="A35" s="316"/>
      <c r="B35" s="325"/>
      <c r="C35" s="340"/>
      <c r="D35" s="148"/>
      <c r="E35" s="148"/>
    </row>
    <row r="36" spans="1:5" ht="15">
      <c r="A36" s="316"/>
      <c r="B36" s="325"/>
      <c r="C36" s="340"/>
      <c r="D36" s="148"/>
      <c r="E36" s="148"/>
    </row>
    <row r="37" spans="1:5" ht="15">
      <c r="A37" s="316"/>
      <c r="B37" s="325"/>
      <c r="C37" s="340"/>
      <c r="D37" s="148"/>
      <c r="E37" s="148"/>
    </row>
    <row r="38" spans="1:5" ht="15">
      <c r="A38" s="316"/>
      <c r="B38" s="325"/>
      <c r="C38" s="340"/>
      <c r="D38" s="148"/>
      <c r="E38" s="148"/>
    </row>
    <row r="39" spans="1:5" ht="15">
      <c r="A39" s="316"/>
      <c r="B39" s="325"/>
      <c r="C39" s="340"/>
      <c r="D39" s="148"/>
      <c r="E39" s="148"/>
    </row>
    <row r="40" spans="1:5" ht="15">
      <c r="A40" s="316"/>
      <c r="B40" s="325"/>
      <c r="C40" s="340"/>
      <c r="D40" s="148"/>
      <c r="E40" s="148"/>
    </row>
    <row r="41" spans="1:5" ht="15">
      <c r="A41" s="316"/>
      <c r="B41" s="325"/>
      <c r="C41" s="340"/>
      <c r="D41" s="148"/>
      <c r="E41" s="148"/>
    </row>
    <row r="42" spans="1:5" ht="15">
      <c r="A42" s="316"/>
      <c r="B42" s="325"/>
      <c r="C42" s="340"/>
      <c r="D42" s="148"/>
      <c r="E42" s="148"/>
    </row>
    <row r="43" spans="1:5" ht="15">
      <c r="A43" s="316"/>
      <c r="B43" s="325"/>
      <c r="C43" s="340"/>
      <c r="D43" s="148"/>
      <c r="E43" s="148"/>
    </row>
    <row r="44" spans="1:5" ht="15">
      <c r="A44" s="316"/>
      <c r="B44" s="325"/>
      <c r="C44" s="340"/>
      <c r="D44" s="148"/>
      <c r="E44" s="148"/>
    </row>
    <row r="45" spans="1:5" ht="15">
      <c r="A45" s="316"/>
      <c r="B45" s="325"/>
      <c r="C45" s="340"/>
      <c r="D45" s="148"/>
      <c r="E45" s="148"/>
    </row>
    <row r="46" spans="1:5" ht="15">
      <c r="A46" s="316"/>
      <c r="B46" s="325"/>
      <c r="C46" s="340"/>
      <c r="D46" s="148"/>
      <c r="E46" s="148"/>
    </row>
    <row r="47" spans="1:5" ht="15">
      <c r="A47" s="316"/>
      <c r="B47" s="325"/>
      <c r="C47" s="340"/>
      <c r="D47" s="148"/>
      <c r="E47" s="148"/>
    </row>
    <row r="48" spans="1:5" ht="15">
      <c r="A48" s="316"/>
      <c r="B48" s="325"/>
      <c r="C48" s="340"/>
      <c r="D48" s="148"/>
      <c r="E48" s="148"/>
    </row>
    <row r="49" spans="1:5" ht="15">
      <c r="A49" s="316"/>
      <c r="B49" s="325"/>
      <c r="C49" s="340"/>
      <c r="D49" s="148"/>
      <c r="E49" s="148"/>
    </row>
    <row r="50" spans="1:5" ht="15">
      <c r="A50" s="316"/>
      <c r="B50" s="325"/>
      <c r="C50" s="340"/>
      <c r="D50" s="148"/>
      <c r="E50" s="148"/>
    </row>
    <row r="51" spans="1:5" ht="15">
      <c r="A51" s="334" t="s">
        <v>396</v>
      </c>
      <c r="B51" s="332"/>
      <c r="C51" s="340"/>
      <c r="D51" s="148"/>
      <c r="E51" s="367">
        <f>nhood!E7</f>
      </c>
    </row>
    <row r="52" spans="1:5" ht="15">
      <c r="A52" s="334" t="s">
        <v>397</v>
      </c>
      <c r="B52" s="332"/>
      <c r="C52" s="340"/>
      <c r="D52" s="340"/>
      <c r="E52" s="340"/>
    </row>
    <row r="53" spans="1:5" ht="15">
      <c r="A53" s="334" t="s">
        <v>398</v>
      </c>
      <c r="B53" s="332"/>
      <c r="C53" s="366">
        <f>IF(C54*0.1&lt;C52,"Exceed 10% Rule","")</f>
      </c>
      <c r="D53" s="366">
        <f>IF(D54*0.1&lt;D52,"Exceed 10% Rule","")</f>
      </c>
      <c r="E53" s="366">
        <f>IF(E54*0.1&lt;E52,"Exceed 10% Rule","")</f>
      </c>
    </row>
    <row r="54" spans="1:5" ht="15">
      <c r="A54" s="152" t="s">
        <v>114</v>
      </c>
      <c r="B54" s="324"/>
      <c r="C54" s="284">
        <f>SUM(C33:C52)</f>
        <v>0</v>
      </c>
      <c r="D54" s="282">
        <f>SUM(D33:D52)</f>
        <v>0</v>
      </c>
      <c r="E54" s="283">
        <f>SUM(E33:E52)</f>
        <v>0</v>
      </c>
    </row>
    <row r="55" spans="1:5" ht="15">
      <c r="A55" s="37" t="s">
        <v>235</v>
      </c>
      <c r="B55" s="324"/>
      <c r="C55" s="285">
        <f>C31-C54</f>
        <v>3229</v>
      </c>
      <c r="D55" s="285">
        <f>D31-D54</f>
        <v>3229</v>
      </c>
      <c r="E55" s="97" t="s">
        <v>88</v>
      </c>
    </row>
    <row r="56" spans="1:6" ht="15">
      <c r="A56" s="23" t="str">
        <f>CONCATENATE("",E1-2," Budget Authority Limited Amount:")</f>
        <v>2010 Budget Authority Limited Amount:</v>
      </c>
      <c r="B56" s="353">
        <f>inputOth!B60</f>
        <v>0</v>
      </c>
      <c r="C56" s="21"/>
      <c r="D56" s="24" t="s">
        <v>115</v>
      </c>
      <c r="E56" s="9"/>
      <c r="F56" s="310">
        <f>IF(E54/0.95-E54&lt;E56,"Exceeds 5%","")</f>
      </c>
    </row>
    <row r="57" spans="1:5" ht="15">
      <c r="A57" s="23" t="str">
        <f>CONCATENATE("Violation of Budget Law for ",E1-2,":")</f>
        <v>Violation of Budget Law for 2010:</v>
      </c>
      <c r="B57" s="354">
        <f>IF(C54&gt;B56,"Yes","")</f>
      </c>
      <c r="C57" s="21"/>
      <c r="D57" s="24" t="s">
        <v>385</v>
      </c>
      <c r="E57" s="85">
        <f>E54+E56</f>
        <v>0</v>
      </c>
    </row>
    <row r="58" spans="1:5" ht="15">
      <c r="A58" s="23" t="str">
        <f>CONCATENATE("Possible Cash Violation for ",E1-2,":")</f>
        <v>Possible Cash Violation for 2010:</v>
      </c>
      <c r="B58" s="354">
        <f>IF(C55&lt;0,"Yes","")</f>
      </c>
      <c r="C58" s="21"/>
      <c r="D58" s="24" t="s">
        <v>116</v>
      </c>
      <c r="E58" s="267" t="e">
        <f>IF(E57-E31&gt;0,E57-E31,0)</f>
        <v>#REF!</v>
      </c>
    </row>
    <row r="59" spans="1:5" ht="15">
      <c r="A59" s="460" t="s">
        <v>321</v>
      </c>
      <c r="B59" s="460"/>
      <c r="C59" s="461"/>
      <c r="D59" s="232">
        <f>(inputOth!E46)</f>
        <v>0</v>
      </c>
      <c r="E59" s="85">
        <f>ROUND(IF(D59&gt;0,(E58*D59),0),0)</f>
        <v>0</v>
      </c>
    </row>
    <row r="60" spans="1:5" ht="15">
      <c r="A60" s="21"/>
      <c r="B60" s="21"/>
      <c r="C60" s="458" t="str">
        <f>CONCATENATE("Amount of  ",E1-1," Ad Valorem Tax")</f>
        <v>Amount of  2011 Ad Valorem Tax</v>
      </c>
      <c r="D60" s="466"/>
      <c r="E60" s="267" t="e">
        <f>E58+E59</f>
        <v>#REF!</v>
      </c>
    </row>
    <row r="61" spans="1:5" ht="15">
      <c r="A61" s="24"/>
      <c r="B61" s="24"/>
      <c r="C61" s="21"/>
      <c r="D61" s="21"/>
      <c r="E61" s="21"/>
    </row>
    <row r="62" spans="1:5" ht="15">
      <c r="A62" s="23"/>
      <c r="B62" s="23" t="s">
        <v>118</v>
      </c>
      <c r="C62" s="100"/>
      <c r="D62" s="21"/>
      <c r="E62" s="21"/>
    </row>
  </sheetData>
  <sheetProtection sheet="1" objects="1" scenarios="1"/>
  <mergeCells count="2">
    <mergeCell ref="A59:C59"/>
    <mergeCell ref="C60:D60"/>
  </mergeCells>
  <conditionalFormatting sqref="C28">
    <cfRule type="cellIs" priority="1" dxfId="138" operator="greaterThan" stopIfTrue="1">
      <formula>$C$30*0.1</formula>
    </cfRule>
  </conditionalFormatting>
  <conditionalFormatting sqref="D28">
    <cfRule type="cellIs" priority="2" dxfId="138" operator="greaterThan" stopIfTrue="1">
      <formula>$D$30*0.1</formula>
    </cfRule>
  </conditionalFormatting>
  <conditionalFormatting sqref="E28">
    <cfRule type="cellIs" priority="3" dxfId="138" operator="greaterThan" stopIfTrue="1">
      <formula>$E$30*0.1</formula>
    </cfRule>
  </conditionalFormatting>
  <conditionalFormatting sqref="C52">
    <cfRule type="cellIs" priority="4" dxfId="138" operator="greaterThan" stopIfTrue="1">
      <formula>$C$54*0.1</formula>
    </cfRule>
  </conditionalFormatting>
  <conditionalFormatting sqref="D52">
    <cfRule type="cellIs" priority="5" dxfId="138" operator="greaterThan" stopIfTrue="1">
      <formula>$D$54*0.1</formula>
    </cfRule>
  </conditionalFormatting>
  <conditionalFormatting sqref="E52">
    <cfRule type="cellIs" priority="6" dxfId="138" operator="greaterThan" stopIfTrue="1">
      <formula>$E$54*0.1</formula>
    </cfRule>
  </conditionalFormatting>
  <conditionalFormatting sqref="E56">
    <cfRule type="cellIs" priority="7" dxfId="138" operator="greaterThan" stopIfTrue="1">
      <formula>$E$54/0.95-$E$54</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City</oddHeader>
    <oddFooter>&amp;Lrevised 8/06/07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28">
      <selection activeCell="D17" sqref="D17"/>
    </sheetView>
  </sheetViews>
  <sheetFormatPr defaultColWidth="8.8984375" defaultRowHeight="15"/>
  <cols>
    <col min="1" max="1" width="15.69921875" style="7" customWidth="1"/>
    <col min="2" max="2" width="20.69921875" style="7" customWidth="1"/>
    <col min="3" max="3" width="9.69921875" style="7" customWidth="1"/>
    <col min="4" max="4" width="15.09765625" style="7" customWidth="1"/>
    <col min="5" max="5" width="15.69921875" style="7" customWidth="1"/>
    <col min="6" max="16384" width="8.8984375" style="7" customWidth="1"/>
  </cols>
  <sheetData>
    <row r="1" spans="1:5" ht="15">
      <c r="A1" s="430" t="s">
        <v>66</v>
      </c>
      <c r="B1" s="431"/>
      <c r="C1" s="431"/>
      <c r="D1" s="431"/>
      <c r="E1" s="431"/>
    </row>
    <row r="2" spans="1:5" ht="15">
      <c r="A2" s="22" t="s">
        <v>419</v>
      </c>
      <c r="B2" s="21"/>
      <c r="C2" s="21"/>
      <c r="D2" s="259" t="s">
        <v>453</v>
      </c>
      <c r="E2" s="260"/>
    </row>
    <row r="3" spans="1:5" ht="15">
      <c r="A3" s="22" t="s">
        <v>420</v>
      </c>
      <c r="B3" s="21"/>
      <c r="C3" s="21"/>
      <c r="D3" s="261" t="s">
        <v>454</v>
      </c>
      <c r="E3" s="262"/>
    </row>
    <row r="4" spans="1:5" ht="15">
      <c r="A4" s="25"/>
      <c r="B4" s="21"/>
      <c r="C4" s="21"/>
      <c r="D4" s="183"/>
      <c r="E4" s="21"/>
    </row>
    <row r="5" spans="1:5" ht="15">
      <c r="A5" s="22" t="s">
        <v>285</v>
      </c>
      <c r="B5" s="21"/>
      <c r="C5" s="258">
        <v>2012</v>
      </c>
      <c r="D5" s="183"/>
      <c r="E5" s="21"/>
    </row>
    <row r="6" spans="1:5" ht="15">
      <c r="A6" s="21"/>
      <c r="B6" s="21"/>
      <c r="C6" s="21"/>
      <c r="D6" s="21"/>
      <c r="E6" s="21"/>
    </row>
    <row r="7" spans="1:5" ht="30.75">
      <c r="A7" s="109" t="s">
        <v>376</v>
      </c>
      <c r="B7" s="115"/>
      <c r="C7" s="115"/>
      <c r="D7" s="115"/>
      <c r="E7" s="115"/>
    </row>
    <row r="8" spans="1:5" ht="15">
      <c r="A8" s="109" t="s">
        <v>375</v>
      </c>
      <c r="B8" s="115"/>
      <c r="C8" s="115"/>
      <c r="D8" s="115"/>
      <c r="E8" s="115"/>
    </row>
    <row r="9" spans="1:5" ht="15">
      <c r="A9" s="109"/>
      <c r="B9" s="115"/>
      <c r="C9" s="115"/>
      <c r="D9" s="115"/>
      <c r="E9" s="115"/>
    </row>
    <row r="10" spans="1:5" ht="15">
      <c r="A10" s="428" t="s">
        <v>354</v>
      </c>
      <c r="B10" s="429"/>
      <c r="C10" s="429"/>
      <c r="D10" s="429"/>
      <c r="E10" s="429"/>
    </row>
    <row r="11" spans="1:5" ht="15">
      <c r="A11" s="21"/>
      <c r="B11" s="21"/>
      <c r="C11" s="21"/>
      <c r="D11" s="21"/>
      <c r="E11" s="21"/>
    </row>
    <row r="12" spans="1:5" ht="15">
      <c r="A12" s="184" t="s">
        <v>355</v>
      </c>
      <c r="B12" s="125"/>
      <c r="C12" s="21"/>
      <c r="D12" s="21"/>
      <c r="E12" s="21"/>
    </row>
    <row r="13" spans="1:5" ht="15">
      <c r="A13" s="122" t="str">
        <f>CONCATENATE("the ",C5-1," Budget, Certificate Page:")</f>
        <v>the 2011 Budget, Certificate Page:</v>
      </c>
      <c r="B13" s="123"/>
      <c r="C13" s="21"/>
      <c r="D13" s="21"/>
      <c r="E13" s="21"/>
    </row>
    <row r="14" spans="1:5" ht="15">
      <c r="A14" s="21"/>
      <c r="B14" s="21"/>
      <c r="C14" s="21"/>
      <c r="D14" s="243" t="s">
        <v>319</v>
      </c>
      <c r="E14" s="169"/>
    </row>
    <row r="15" spans="1:5" ht="15">
      <c r="A15" s="25" t="s">
        <v>67</v>
      </c>
      <c r="B15" s="21"/>
      <c r="C15" s="49" t="s">
        <v>68</v>
      </c>
      <c r="D15" s="244" t="str">
        <f>CONCATENATE("in ",C5-1," Budget")</f>
        <v>in 2011 Budget</v>
      </c>
      <c r="E15" s="169"/>
    </row>
    <row r="16" spans="1:5" ht="15">
      <c r="A16" s="21"/>
      <c r="B16" s="44" t="s">
        <v>69</v>
      </c>
      <c r="C16" s="42" t="s">
        <v>238</v>
      </c>
      <c r="D16" s="9">
        <v>212407</v>
      </c>
      <c r="E16" s="169"/>
    </row>
    <row r="17" spans="1:5" ht="15">
      <c r="A17" s="21"/>
      <c r="B17" s="44" t="s">
        <v>278</v>
      </c>
      <c r="C17" s="42" t="s">
        <v>457</v>
      </c>
      <c r="D17" s="9">
        <v>0</v>
      </c>
      <c r="E17" s="169"/>
    </row>
    <row r="18" spans="1:5" ht="15">
      <c r="A18" s="25" t="s">
        <v>70</v>
      </c>
      <c r="B18" s="21"/>
      <c r="C18" s="21"/>
      <c r="D18" s="21"/>
      <c r="E18" s="169"/>
    </row>
    <row r="19" spans="1:5" ht="15">
      <c r="A19" s="21"/>
      <c r="B19" s="8" t="s">
        <v>455</v>
      </c>
      <c r="C19" s="8" t="s">
        <v>456</v>
      </c>
      <c r="D19" s="9">
        <v>8922</v>
      </c>
      <c r="E19" s="169"/>
    </row>
    <row r="20" spans="1:5" ht="15">
      <c r="A20" s="21"/>
      <c r="B20" s="8"/>
      <c r="C20" s="8"/>
      <c r="D20" s="9"/>
      <c r="E20" s="169"/>
    </row>
    <row r="21" spans="1:5" ht="15">
      <c r="A21" s="110" t="str">
        <f>CONCATENATE("Total Tax Levy Funds for ",C5-1," Budgeted Year")</f>
        <v>Total Tax Levy Funds for 2011 Budgeted Year</v>
      </c>
      <c r="B21" s="20"/>
      <c r="C21" s="116"/>
      <c r="D21" s="263">
        <f>SUM(D16:D20)</f>
        <v>221329</v>
      </c>
      <c r="E21" s="169"/>
    </row>
    <row r="22" spans="1:5" ht="15">
      <c r="A22" s="129"/>
      <c r="B22" s="105"/>
      <c r="C22" s="105"/>
      <c r="D22" s="137"/>
      <c r="E22" s="169"/>
    </row>
    <row r="23" spans="1:5" ht="15">
      <c r="A23" s="25" t="s">
        <v>290</v>
      </c>
      <c r="B23" s="21"/>
      <c r="C23" s="21"/>
      <c r="D23" s="21"/>
      <c r="E23" s="21"/>
    </row>
    <row r="24" spans="1:5" ht="15">
      <c r="A24" s="21"/>
      <c r="B24" s="42" t="s">
        <v>213</v>
      </c>
      <c r="C24" s="21"/>
      <c r="D24" s="21"/>
      <c r="E24" s="21"/>
    </row>
    <row r="25" spans="1:5" ht="15">
      <c r="A25" s="21"/>
      <c r="B25" s="8" t="s">
        <v>458</v>
      </c>
      <c r="C25" s="21"/>
      <c r="D25" s="21"/>
      <c r="E25" s="21"/>
    </row>
    <row r="26" spans="1:5" ht="15">
      <c r="A26" s="21"/>
      <c r="B26" s="8" t="s">
        <v>459</v>
      </c>
      <c r="C26" s="21"/>
      <c r="D26" s="21"/>
      <c r="E26" s="21"/>
    </row>
    <row r="27" spans="1:5" ht="15">
      <c r="A27" s="21"/>
      <c r="B27" s="8" t="s">
        <v>496</v>
      </c>
      <c r="C27" s="21"/>
      <c r="D27" s="21"/>
      <c r="E27" s="21"/>
    </row>
    <row r="28" spans="1:5" ht="15">
      <c r="A28" s="21"/>
      <c r="B28" s="10"/>
      <c r="C28" s="21"/>
      <c r="D28" s="21"/>
      <c r="E28" s="21"/>
    </row>
    <row r="29" spans="1:5" ht="15">
      <c r="A29" s="21" t="s">
        <v>325</v>
      </c>
      <c r="B29" s="192"/>
      <c r="C29" s="21"/>
      <c r="D29" s="21"/>
      <c r="E29" s="21"/>
    </row>
    <row r="30" spans="1:5" ht="15">
      <c r="A30" s="21">
        <v>1</v>
      </c>
      <c r="B30" s="10" t="s">
        <v>55</v>
      </c>
      <c r="C30" s="21"/>
      <c r="D30" s="21"/>
      <c r="E30" s="21"/>
    </row>
    <row r="31" spans="1:5" ht="15">
      <c r="A31" s="21">
        <v>2</v>
      </c>
      <c r="B31" s="10" t="s">
        <v>48</v>
      </c>
      <c r="C31" s="21"/>
      <c r="D31" s="21"/>
      <c r="E31" s="21"/>
    </row>
    <row r="32" spans="1:5" ht="15">
      <c r="A32" s="21" t="s">
        <v>326</v>
      </c>
      <c r="B32" s="192"/>
      <c r="C32" s="21"/>
      <c r="D32" s="21"/>
      <c r="E32" s="21"/>
    </row>
    <row r="33" spans="1:5" ht="15">
      <c r="A33" s="21">
        <v>1</v>
      </c>
      <c r="B33" s="10" t="s">
        <v>488</v>
      </c>
      <c r="C33" s="21"/>
      <c r="D33" s="21"/>
      <c r="E33" s="21"/>
    </row>
    <row r="34" spans="1:5" ht="15">
      <c r="A34" s="21">
        <v>2</v>
      </c>
      <c r="B34" s="10" t="s">
        <v>504</v>
      </c>
      <c r="C34" s="21"/>
      <c r="D34" s="21"/>
      <c r="E34" s="21"/>
    </row>
    <row r="35" spans="1:5" ht="15">
      <c r="A35" s="129"/>
      <c r="B35" s="105"/>
      <c r="C35" s="105"/>
      <c r="D35" s="105"/>
      <c r="E35" s="170"/>
    </row>
    <row r="36" spans="1:5" ht="15">
      <c r="A36" s="21"/>
      <c r="B36" s="21"/>
      <c r="C36" s="21"/>
      <c r="D36" s="21"/>
      <c r="E36" s="21"/>
    </row>
    <row r="37" spans="1:5" ht="15">
      <c r="A37" s="21"/>
      <c r="B37" s="21"/>
      <c r="C37" s="21"/>
      <c r="D37" s="185" t="str">
        <f>CONCATENATE("",C5-3," Tax Levy Rate")</f>
        <v>2009 Tax Levy Rate</v>
      </c>
      <c r="E37" s="21"/>
    </row>
    <row r="38" spans="1:5" ht="15">
      <c r="A38" s="122" t="str">
        <f>CONCATENATE("From the ",C5-1," Budget, Budget Summary Page")</f>
        <v>From the 2011 Budget, Budget Summary Page</v>
      </c>
      <c r="B38" s="123"/>
      <c r="C38" s="21"/>
      <c r="D38" s="186" t="str">
        <f>CONCATENATE("(",C5-2," Column)")</f>
        <v>(2010 Column)</v>
      </c>
      <c r="E38" s="21"/>
    </row>
    <row r="39" spans="1:5" ht="15">
      <c r="A39" s="21"/>
      <c r="B39" s="40" t="str">
        <f>B16</f>
        <v>General</v>
      </c>
      <c r="C39" s="21"/>
      <c r="D39" s="10">
        <v>71.583</v>
      </c>
      <c r="E39" s="21"/>
    </row>
    <row r="40" spans="1:5" ht="15">
      <c r="A40" s="21"/>
      <c r="B40" s="40" t="str">
        <f>B17</f>
        <v>Bond &amp; Interest</v>
      </c>
      <c r="C40" s="21"/>
      <c r="D40" s="10">
        <v>0</v>
      </c>
      <c r="E40" s="21"/>
    </row>
    <row r="41" spans="1:5" ht="15">
      <c r="A41" s="21"/>
      <c r="B41" s="40" t="str">
        <f>B19</f>
        <v>Library</v>
      </c>
      <c r="C41" s="21"/>
      <c r="D41" s="10">
        <v>3.016</v>
      </c>
      <c r="E41" s="21"/>
    </row>
    <row r="42" spans="1:5" ht="15">
      <c r="A42" s="110" t="s">
        <v>71</v>
      </c>
      <c r="B42" s="20"/>
      <c r="C42" s="116"/>
      <c r="D42" s="264">
        <f>SUM(D39:D41)</f>
        <v>74.599</v>
      </c>
      <c r="E42" s="21"/>
    </row>
    <row r="43" spans="1:5" ht="15">
      <c r="A43" s="21"/>
      <c r="B43" s="21"/>
      <c r="C43" s="21"/>
      <c r="D43" s="21"/>
      <c r="E43" s="21"/>
    </row>
    <row r="44" spans="1:5" ht="15">
      <c r="A44" s="239" t="str">
        <f>CONCATENATE("Total Levy Dollar Amount (",C5-2," budget column)")</f>
        <v>Total Levy Dollar Amount (2010 budget column)</v>
      </c>
      <c r="B44" s="240"/>
      <c r="C44" s="20"/>
      <c r="D44" s="116"/>
      <c r="E44" s="9">
        <v>222032</v>
      </c>
    </row>
    <row r="45" spans="1:5" ht="15">
      <c r="A45" s="241" t="str">
        <f>CONCATENATE("Assessed Valuation for ",C5-3," (",C5-2," budget column)")</f>
        <v>Assessed Valuation for 2009 (2010 budget column)</v>
      </c>
      <c r="B45" s="242"/>
      <c r="C45" s="114"/>
      <c r="D45" s="38"/>
      <c r="E45" s="9">
        <v>2976368</v>
      </c>
    </row>
    <row r="46" spans="1:5" ht="15">
      <c r="A46" s="129"/>
      <c r="B46" s="105"/>
      <c r="C46" s="105"/>
      <c r="D46" s="105"/>
      <c r="E46" s="170"/>
    </row>
    <row r="47" spans="1:5" ht="15">
      <c r="A47" s="238" t="str">
        <f>CONCATENATE("From the ",C5-1," Budget, Budget Summary Page")</f>
        <v>From the 2011 Budget, Budget Summary Page</v>
      </c>
      <c r="B47" s="304"/>
      <c r="C47" s="21"/>
      <c r="D47" s="187"/>
      <c r="E47" s="65"/>
    </row>
    <row r="48" spans="1:5" ht="15">
      <c r="A48" s="125" t="s">
        <v>374</v>
      </c>
      <c r="B48" s="125"/>
      <c r="C48" s="136"/>
      <c r="D48" s="188">
        <f>C5-3</f>
        <v>2009</v>
      </c>
      <c r="E48" s="189">
        <f>C5-2</f>
        <v>2010</v>
      </c>
    </row>
    <row r="49" spans="1:5" ht="15">
      <c r="A49" s="305" t="s">
        <v>286</v>
      </c>
      <c r="B49" s="305"/>
      <c r="C49" s="190"/>
      <c r="D49" s="17">
        <v>10000</v>
      </c>
      <c r="E49" s="17">
        <v>0</v>
      </c>
    </row>
    <row r="50" spans="1:5" ht="15">
      <c r="A50" s="306" t="s">
        <v>287</v>
      </c>
      <c r="B50" s="306"/>
      <c r="C50" s="191"/>
      <c r="D50" s="17">
        <v>0</v>
      </c>
      <c r="E50" s="17">
        <v>0</v>
      </c>
    </row>
    <row r="51" spans="1:5" ht="15">
      <c r="A51" s="306" t="s">
        <v>288</v>
      </c>
      <c r="B51" s="306"/>
      <c r="C51" s="191"/>
      <c r="D51" s="17">
        <v>0</v>
      </c>
      <c r="E51" s="17">
        <v>0</v>
      </c>
    </row>
    <row r="52" spans="1:5" ht="15">
      <c r="A52" s="306" t="s">
        <v>289</v>
      </c>
      <c r="B52" s="306"/>
      <c r="C52" s="191"/>
      <c r="D52" s="17">
        <v>0</v>
      </c>
      <c r="E52" s="17">
        <v>18944</v>
      </c>
    </row>
    <row r="53" spans="1:5" ht="15">
      <c r="A53"/>
      <c r="B53"/>
      <c r="C53"/>
      <c r="D53"/>
      <c r="E53"/>
    </row>
    <row r="54" spans="1:5" ht="15">
      <c r="A54"/>
      <c r="B54"/>
      <c r="C54"/>
      <c r="D54"/>
      <c r="E54"/>
    </row>
    <row r="55" spans="1:5" ht="15">
      <c r="A55"/>
      <c r="B55"/>
      <c r="C55"/>
      <c r="D55"/>
      <c r="E55"/>
    </row>
    <row r="56" spans="1:5" ht="15">
      <c r="A56"/>
      <c r="B56"/>
      <c r="C56"/>
      <c r="D56"/>
      <c r="E56"/>
    </row>
    <row r="57" spans="1:5" ht="15">
      <c r="A57"/>
      <c r="B57"/>
      <c r="C57"/>
      <c r="D57"/>
      <c r="E57"/>
    </row>
    <row r="58" spans="1:5" ht="15">
      <c r="A58"/>
      <c r="B58"/>
      <c r="C58"/>
      <c r="D58"/>
      <c r="E58"/>
    </row>
    <row r="59" ht="15"/>
    <row r="60" spans="1:5" ht="15">
      <c r="A60"/>
      <c r="B60"/>
      <c r="C60"/>
      <c r="D60"/>
      <c r="E60"/>
    </row>
    <row r="61" spans="1:5" ht="15">
      <c r="A61"/>
      <c r="B61"/>
      <c r="C61"/>
      <c r="D61"/>
      <c r="E61"/>
    </row>
    <row r="62" spans="1:5" ht="15">
      <c r="A62"/>
      <c r="B62"/>
      <c r="C62"/>
      <c r="D62"/>
      <c r="E62"/>
    </row>
    <row r="63" spans="1:5" ht="15">
      <c r="A63"/>
      <c r="B63"/>
      <c r="C63"/>
      <c r="D63"/>
      <c r="E63"/>
    </row>
    <row r="64" spans="1:5" ht="15">
      <c r="A64"/>
      <c r="B64"/>
      <c r="C64"/>
      <c r="D64"/>
      <c r="E64"/>
    </row>
    <row r="65" spans="1:5" ht="15">
      <c r="A65"/>
      <c r="B65"/>
      <c r="C65"/>
      <c r="D65"/>
      <c r="E65"/>
    </row>
    <row r="66" spans="1:5" ht="15">
      <c r="A66"/>
      <c r="B66"/>
      <c r="C66"/>
      <c r="D66"/>
      <c r="E66"/>
    </row>
    <row r="67" spans="1:5" ht="15">
      <c r="A67"/>
      <c r="B67"/>
      <c r="C67"/>
      <c r="D67"/>
      <c r="E67"/>
    </row>
    <row r="68" spans="1:5" ht="15">
      <c r="A68"/>
      <c r="B68"/>
      <c r="C68"/>
      <c r="D68"/>
      <c r="E68"/>
    </row>
    <row r="69" spans="1:5" ht="15">
      <c r="A69"/>
      <c r="B69"/>
      <c r="C69"/>
      <c r="D69"/>
      <c r="E69"/>
    </row>
    <row r="70" spans="1:5" ht="15">
      <c r="A70"/>
      <c r="B70"/>
      <c r="C70"/>
      <c r="D70"/>
      <c r="E70"/>
    </row>
  </sheetData>
  <sheetProtection sheet="1" objects="1" scenarios="1"/>
  <mergeCells count="2">
    <mergeCell ref="A10:E10"/>
    <mergeCell ref="A1:E1"/>
  </mergeCells>
  <printOptions/>
  <pageMargins left="0.5" right="0.5" top="1" bottom="0.5" header="0.5" footer="0.25"/>
  <pageSetup blackAndWhite="1" fitToHeight="2" fitToWidth="1" horizontalDpi="120" verticalDpi="120" orientation="portrait" r:id="rId1"/>
  <headerFooter alignWithMargins="0">
    <oddFooter>&amp;Lrevised 8/06/07</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1">
      <selection activeCell="C7" sqref="C7"/>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177</v>
      </c>
      <c r="B3" s="90"/>
      <c r="C3" s="94"/>
      <c r="D3" s="94"/>
      <c r="E3" s="95"/>
    </row>
    <row r="4" spans="1:5" ht="15">
      <c r="A4" s="21"/>
      <c r="B4" s="21"/>
      <c r="C4" s="96"/>
      <c r="D4" s="96"/>
      <c r="E4" s="96"/>
    </row>
    <row r="5" spans="1:5" ht="15">
      <c r="A5" s="25" t="s">
        <v>100</v>
      </c>
      <c r="B5" s="25"/>
      <c r="C5" s="93" t="s">
        <v>124</v>
      </c>
      <c r="D5" s="33" t="s">
        <v>262</v>
      </c>
      <c r="E5" s="33" t="s">
        <v>263</v>
      </c>
    </row>
    <row r="6" spans="1:5" ht="15">
      <c r="A6" s="137" t="e">
        <f>inputPrYr!#REF!</f>
        <v>#REF!</v>
      </c>
      <c r="B6" s="137"/>
      <c r="C6" s="146">
        <f>E1-2</f>
        <v>2010</v>
      </c>
      <c r="D6" s="146">
        <f>E1-1</f>
        <v>2011</v>
      </c>
      <c r="E6" s="146">
        <f>E1</f>
        <v>2012</v>
      </c>
    </row>
    <row r="7" spans="1:5" ht="15">
      <c r="A7" s="326" t="s">
        <v>234</v>
      </c>
      <c r="B7" s="332"/>
      <c r="C7" s="328"/>
      <c r="D7" s="85">
        <f>C32</f>
        <v>0</v>
      </c>
      <c r="E7" s="85" t="e">
        <f>D32</f>
        <v>#REF!</v>
      </c>
    </row>
    <row r="8" spans="1:5" ht="15">
      <c r="A8" s="331" t="s">
        <v>236</v>
      </c>
      <c r="B8" s="332"/>
      <c r="C8" s="320"/>
      <c r="D8" s="40"/>
      <c r="E8" s="40"/>
    </row>
    <row r="9" spans="1:5" ht="15">
      <c r="A9" s="37" t="s">
        <v>101</v>
      </c>
      <c r="B9" s="332"/>
      <c r="C9" s="328"/>
      <c r="D9" s="85" t="e">
        <f>inputPrYr!#REF!</f>
        <v>#REF!</v>
      </c>
      <c r="E9" s="97" t="s">
        <v>88</v>
      </c>
    </row>
    <row r="10" spans="1:5" ht="15">
      <c r="A10" s="37" t="s">
        <v>102</v>
      </c>
      <c r="B10" s="332"/>
      <c r="C10" s="328"/>
      <c r="D10" s="9"/>
      <c r="E10" s="9"/>
    </row>
    <row r="11" spans="1:5" ht="15">
      <c r="A11" s="37" t="s">
        <v>103</v>
      </c>
      <c r="B11" s="332"/>
      <c r="C11" s="328"/>
      <c r="D11" s="9"/>
      <c r="E11" s="85">
        <f>mvalloc!C17</f>
        <v>0</v>
      </c>
    </row>
    <row r="12" spans="1:5" ht="15">
      <c r="A12" s="37" t="s">
        <v>104</v>
      </c>
      <c r="B12" s="332"/>
      <c r="C12" s="328"/>
      <c r="D12" s="9"/>
      <c r="E12" s="85">
        <f>mvalloc!D17</f>
        <v>0</v>
      </c>
    </row>
    <row r="13" spans="1:5" ht="15">
      <c r="A13" s="336" t="s">
        <v>211</v>
      </c>
      <c r="B13" s="332"/>
      <c r="C13" s="328"/>
      <c r="D13" s="9"/>
      <c r="E13" s="85">
        <f>mvalloc!E17</f>
        <v>0</v>
      </c>
    </row>
    <row r="14" spans="1:5" ht="15">
      <c r="A14" s="337" t="s">
        <v>282</v>
      </c>
      <c r="B14" s="332"/>
      <c r="C14" s="328"/>
      <c r="D14" s="9"/>
      <c r="E14" s="85">
        <f>mvalloc!F17</f>
        <v>0</v>
      </c>
    </row>
    <row r="15" spans="1:5" ht="15">
      <c r="A15" s="316"/>
      <c r="B15" s="333"/>
      <c r="C15" s="328"/>
      <c r="D15" s="9"/>
      <c r="E15" s="9"/>
    </row>
    <row r="16" spans="1:5" ht="15">
      <c r="A16" s="316"/>
      <c r="B16" s="333"/>
      <c r="C16" s="328"/>
      <c r="D16" s="9"/>
      <c r="E16" s="9"/>
    </row>
    <row r="17" spans="1:5" ht="15">
      <c r="A17" s="327" t="s">
        <v>106</v>
      </c>
      <c r="B17" s="333"/>
      <c r="C17" s="328"/>
      <c r="D17" s="9"/>
      <c r="E17" s="9"/>
    </row>
    <row r="18" spans="1:5" ht="15">
      <c r="A18" s="336" t="s">
        <v>397</v>
      </c>
      <c r="B18" s="332"/>
      <c r="C18" s="328"/>
      <c r="D18" s="328"/>
      <c r="E18" s="328"/>
    </row>
    <row r="19" spans="1:5" ht="15">
      <c r="A19" s="326" t="s">
        <v>399</v>
      </c>
      <c r="B19" s="332"/>
      <c r="C19" s="366">
        <f>IF(C20*0.1&lt;C18,"Exceed 10% Rule","")</f>
      </c>
      <c r="D19" s="366" t="e">
        <f>IF(D20*0.1&lt;D18,"Exceed 10% Rule","")</f>
        <v>#REF!</v>
      </c>
      <c r="E19" s="366">
        <f>IF(E20*0.1&lt;E18,"Exceed 10% Rule","")</f>
      </c>
    </row>
    <row r="20" spans="1:5" ht="15">
      <c r="A20" s="152" t="s">
        <v>107</v>
      </c>
      <c r="B20" s="332"/>
      <c r="C20" s="329">
        <f>SUM(C9:C18)</f>
        <v>0</v>
      </c>
      <c r="D20" s="268" t="e">
        <f>SUM(D9:D18)</f>
        <v>#REF!</v>
      </c>
      <c r="E20" s="268">
        <f>SUM(E9:E18)</f>
        <v>0</v>
      </c>
    </row>
    <row r="21" spans="1:5" ht="15">
      <c r="A21" s="152" t="s">
        <v>108</v>
      </c>
      <c r="B21" s="332"/>
      <c r="C21" s="329">
        <f>C7+C20</f>
        <v>0</v>
      </c>
      <c r="D21" s="268" t="e">
        <f>D7+D20</f>
        <v>#REF!</v>
      </c>
      <c r="E21" s="268" t="e">
        <f>E7+E20</f>
        <v>#REF!</v>
      </c>
    </row>
    <row r="22" spans="1:5" ht="15">
      <c r="A22" s="37" t="s">
        <v>110</v>
      </c>
      <c r="B22" s="332"/>
      <c r="C22" s="38"/>
      <c r="D22" s="42"/>
      <c r="E22" s="42"/>
    </row>
    <row r="23" spans="1:5" ht="15">
      <c r="A23" s="316"/>
      <c r="B23" s="333"/>
      <c r="C23" s="328"/>
      <c r="D23" s="9"/>
      <c r="E23" s="9"/>
    </row>
    <row r="24" spans="1:5" ht="15">
      <c r="A24" s="316"/>
      <c r="B24" s="333"/>
      <c r="C24" s="328"/>
      <c r="D24" s="9"/>
      <c r="E24" s="9"/>
    </row>
    <row r="25" spans="1:5" ht="15">
      <c r="A25" s="316"/>
      <c r="B25" s="333"/>
      <c r="C25" s="328"/>
      <c r="D25" s="9"/>
      <c r="E25" s="9"/>
    </row>
    <row r="26" spans="1:5" ht="15">
      <c r="A26" s="316"/>
      <c r="B26" s="333"/>
      <c r="C26" s="328"/>
      <c r="D26" s="9"/>
      <c r="E26" s="9"/>
    </row>
    <row r="27" spans="1:5" ht="15">
      <c r="A27" s="316"/>
      <c r="B27" s="333"/>
      <c r="C27" s="328"/>
      <c r="D27" s="9"/>
      <c r="E27" s="9"/>
    </row>
    <row r="28" spans="1:5" ht="15">
      <c r="A28" s="334" t="s">
        <v>396</v>
      </c>
      <c r="B28" s="332"/>
      <c r="C28" s="328"/>
      <c r="D28" s="9"/>
      <c r="E28" s="267">
        <f>nhood!E16</f>
      </c>
    </row>
    <row r="29" spans="1:5" ht="15">
      <c r="A29" s="334" t="s">
        <v>397</v>
      </c>
      <c r="B29" s="332"/>
      <c r="C29" s="328"/>
      <c r="D29" s="328"/>
      <c r="E29" s="328"/>
    </row>
    <row r="30" spans="1:5" ht="15">
      <c r="A30" s="334" t="s">
        <v>398</v>
      </c>
      <c r="B30" s="332"/>
      <c r="C30" s="366">
        <f>IF(C31*0.1&lt;C29,"Exceed 10% Rule","")</f>
      </c>
      <c r="D30" s="366">
        <f>IF(D31*0.1&lt;D29,"Exceed 10% Rule","")</f>
      </c>
      <c r="E30" s="366">
        <f>IF(E31*0.1&lt;E29,"Exceed 10% Rule","")</f>
      </c>
    </row>
    <row r="31" spans="1:5" ht="15">
      <c r="A31" s="152" t="s">
        <v>114</v>
      </c>
      <c r="B31" s="332"/>
      <c r="C31" s="329">
        <f>SUM(C23:C29)</f>
        <v>0</v>
      </c>
      <c r="D31" s="268">
        <f>SUM(D23:D29)</f>
        <v>0</v>
      </c>
      <c r="E31" s="268">
        <f>SUM(E23:E29)</f>
        <v>0</v>
      </c>
    </row>
    <row r="32" spans="1:5" ht="15">
      <c r="A32" s="37" t="s">
        <v>235</v>
      </c>
      <c r="B32" s="332"/>
      <c r="C32" s="330">
        <f>C21-C31</f>
        <v>0</v>
      </c>
      <c r="D32" s="267" t="e">
        <f>D21-D31</f>
        <v>#REF!</v>
      </c>
      <c r="E32" s="97" t="s">
        <v>88</v>
      </c>
    </row>
    <row r="33" spans="1:6" ht="15">
      <c r="A33" s="23" t="str">
        <f>CONCATENATE("",E1-2," Budget Authority Limited Amount:")</f>
        <v>2010 Budget Authority Limited Amount:</v>
      </c>
      <c r="B33" s="353" t="e">
        <f>inputOth!#REF!</f>
        <v>#REF!</v>
      </c>
      <c r="C33" s="21"/>
      <c r="D33" s="24" t="s">
        <v>115</v>
      </c>
      <c r="E33" s="9"/>
      <c r="F33" s="310">
        <f>IF(E31/0.95-E31&lt;E33,"Exceeds 5%","")</f>
      </c>
    </row>
    <row r="34" spans="1:5" ht="15">
      <c r="A34" s="23" t="str">
        <f>CONCATENATE("Violation of Budget Law for ",E1-2,":")</f>
        <v>Violation of Budget Law for 2010:</v>
      </c>
      <c r="B34" s="354" t="e">
        <f>IF(C31&gt;B33,"Yes","")</f>
        <v>#REF!</v>
      </c>
      <c r="C34" s="21"/>
      <c r="D34" s="24" t="s">
        <v>385</v>
      </c>
      <c r="E34" s="85">
        <f>E31+E33</f>
        <v>0</v>
      </c>
    </row>
    <row r="35" spans="1:5" ht="15">
      <c r="A35" s="23" t="str">
        <f>CONCATENATE("Possible Cash Violation for ",E1-2,":")</f>
        <v>Possible Cash Violation for 2010:</v>
      </c>
      <c r="B35" s="354">
        <f>IF(C32&lt;0,"Yes","")</f>
      </c>
      <c r="C35" s="21"/>
      <c r="D35" s="24" t="s">
        <v>116</v>
      </c>
      <c r="E35" s="267" t="e">
        <f>IF(E34-E21&gt;0,E34-E21,0)</f>
        <v>#REF!</v>
      </c>
    </row>
    <row r="36" spans="1:5" ht="15">
      <c r="A36" s="460" t="s">
        <v>321</v>
      </c>
      <c r="B36" s="460"/>
      <c r="C36" s="461"/>
      <c r="D36" s="234">
        <f>(inputOth!E46)</f>
        <v>0</v>
      </c>
      <c r="E36" s="85">
        <f>ROUND(IF(D36&gt;0,(E35*D36),0),0)</f>
        <v>0</v>
      </c>
    </row>
    <row r="37" spans="1:5" ht="15">
      <c r="A37" s="21"/>
      <c r="B37" s="21"/>
      <c r="C37" s="458" t="str">
        <f>CONCATENATE("Amount of  ",E1-1," Ad Valorem Tax")</f>
        <v>Amount of  2011 Ad Valorem Tax</v>
      </c>
      <c r="D37" s="466"/>
      <c r="E37" s="267" t="e">
        <f>E35+E36</f>
        <v>#REF!</v>
      </c>
    </row>
    <row r="38" spans="1:5" ht="15">
      <c r="A38" s="21"/>
      <c r="B38" s="21"/>
      <c r="C38" s="21"/>
      <c r="D38" s="21"/>
      <c r="E38" s="21"/>
    </row>
    <row r="39" spans="1:5" ht="15">
      <c r="A39" s="25" t="s">
        <v>100</v>
      </c>
      <c r="B39" s="25"/>
      <c r="C39" s="31"/>
      <c r="D39" s="31"/>
      <c r="E39" s="31"/>
    </row>
    <row r="40" spans="1:5" ht="15">
      <c r="A40" s="21"/>
      <c r="B40" s="21"/>
      <c r="C40" s="93" t="s">
        <v>124</v>
      </c>
      <c r="D40" s="33" t="s">
        <v>262</v>
      </c>
      <c r="E40" s="33" t="s">
        <v>263</v>
      </c>
    </row>
    <row r="41" spans="1:5" ht="15">
      <c r="A41" s="137">
        <f>inputPrYr!B20</f>
        <v>0</v>
      </c>
      <c r="B41" s="137"/>
      <c r="C41" s="146">
        <f>E1-2</f>
        <v>2010</v>
      </c>
      <c r="D41" s="146">
        <f>E1-1</f>
        <v>2011</v>
      </c>
      <c r="E41" s="146">
        <f>E1</f>
        <v>2012</v>
      </c>
    </row>
    <row r="42" spans="1:5" ht="15">
      <c r="A42" s="326" t="s">
        <v>234</v>
      </c>
      <c r="B42" s="332"/>
      <c r="C42" s="328"/>
      <c r="D42" s="85">
        <f>C67</f>
        <v>0</v>
      </c>
      <c r="E42" s="85">
        <f>D67</f>
        <v>0</v>
      </c>
    </row>
    <row r="43" spans="1:5" ht="15">
      <c r="A43" s="331" t="s">
        <v>236</v>
      </c>
      <c r="B43" s="332"/>
      <c r="C43" s="320"/>
      <c r="D43" s="40"/>
      <c r="E43" s="40"/>
    </row>
    <row r="44" spans="1:5" ht="15">
      <c r="A44" s="37" t="s">
        <v>101</v>
      </c>
      <c r="B44" s="332"/>
      <c r="C44" s="328"/>
      <c r="D44" s="85">
        <f>inputPrYr!D20</f>
        <v>0</v>
      </c>
      <c r="E44" s="97" t="s">
        <v>88</v>
      </c>
    </row>
    <row r="45" spans="1:5" ht="15">
      <c r="A45" s="37" t="s">
        <v>102</v>
      </c>
      <c r="B45" s="332"/>
      <c r="C45" s="328"/>
      <c r="D45" s="9"/>
      <c r="E45" s="9"/>
    </row>
    <row r="46" spans="1:5" ht="15">
      <c r="A46" s="37" t="s">
        <v>103</v>
      </c>
      <c r="B46" s="332"/>
      <c r="C46" s="328"/>
      <c r="D46" s="9"/>
      <c r="E46" s="85" t="str">
        <f>mvalloc!C18</f>
        <v>  </v>
      </c>
    </row>
    <row r="47" spans="1:5" ht="15">
      <c r="A47" s="37" t="s">
        <v>104</v>
      </c>
      <c r="B47" s="332"/>
      <c r="C47" s="328"/>
      <c r="D47" s="9"/>
      <c r="E47" s="85" t="str">
        <f>mvalloc!D18</f>
        <v> </v>
      </c>
    </row>
    <row r="48" spans="1:5" ht="15">
      <c r="A48" s="336" t="s">
        <v>211</v>
      </c>
      <c r="B48" s="332"/>
      <c r="C48" s="328"/>
      <c r="D48" s="9"/>
      <c r="E48" s="85" t="str">
        <f>mvalloc!E18</f>
        <v> </v>
      </c>
    </row>
    <row r="49" spans="1:5" ht="15">
      <c r="A49" s="337" t="s">
        <v>282</v>
      </c>
      <c r="B49" s="332"/>
      <c r="C49" s="328"/>
      <c r="D49" s="9"/>
      <c r="E49" s="85" t="str">
        <f>mvalloc!F18</f>
        <v> </v>
      </c>
    </row>
    <row r="50" spans="1:5" ht="15">
      <c r="A50" s="316"/>
      <c r="B50" s="333"/>
      <c r="C50" s="328"/>
      <c r="D50" s="9"/>
      <c r="E50" s="9"/>
    </row>
    <row r="51" spans="1:5" ht="15">
      <c r="A51" s="316"/>
      <c r="B51" s="333"/>
      <c r="C51" s="328"/>
      <c r="D51" s="9"/>
      <c r="E51" s="9"/>
    </row>
    <row r="52" spans="1:5" ht="15">
      <c r="A52" s="327" t="s">
        <v>106</v>
      </c>
      <c r="B52" s="333"/>
      <c r="C52" s="328"/>
      <c r="D52" s="9"/>
      <c r="E52" s="9"/>
    </row>
    <row r="53" spans="1:5" ht="15">
      <c r="A53" s="336" t="s">
        <v>397</v>
      </c>
      <c r="B53" s="332"/>
      <c r="C53" s="328"/>
      <c r="D53" s="328"/>
      <c r="E53" s="328"/>
    </row>
    <row r="54" spans="1:5" ht="15">
      <c r="A54" s="326" t="s">
        <v>399</v>
      </c>
      <c r="B54" s="332"/>
      <c r="C54" s="366">
        <f>IF(C55*0.1&lt;C53,"Exceed 10% Rule","")</f>
      </c>
      <c r="D54" s="366">
        <f>IF(D55*0.1&lt;D53,"Exceed 10% Rule","")</f>
      </c>
      <c r="E54" s="366">
        <f>IF(E55*0.1&lt;E53,"Exceed 10% Rule","")</f>
      </c>
    </row>
    <row r="55" spans="1:5" ht="15">
      <c r="A55" s="152" t="s">
        <v>107</v>
      </c>
      <c r="B55" s="332"/>
      <c r="C55" s="329">
        <f>SUM(C44:C53)</f>
        <v>0</v>
      </c>
      <c r="D55" s="268">
        <f>SUM(D44:D53)</f>
        <v>0</v>
      </c>
      <c r="E55" s="268">
        <f>SUM(E44:E53)</f>
        <v>0</v>
      </c>
    </row>
    <row r="56" spans="1:5" ht="15">
      <c r="A56" s="152" t="s">
        <v>108</v>
      </c>
      <c r="B56" s="332"/>
      <c r="C56" s="329">
        <f>C42+C55</f>
        <v>0</v>
      </c>
      <c r="D56" s="268">
        <f>D42+D55</f>
        <v>0</v>
      </c>
      <c r="E56" s="268">
        <f>E42+E55</f>
        <v>0</v>
      </c>
    </row>
    <row r="57" spans="1:5" ht="15">
      <c r="A57" s="37" t="s">
        <v>110</v>
      </c>
      <c r="B57" s="332"/>
      <c r="C57" s="38"/>
      <c r="D57" s="42"/>
      <c r="E57" s="42"/>
    </row>
    <row r="58" spans="1:5" ht="15">
      <c r="A58" s="316"/>
      <c r="B58" s="333"/>
      <c r="C58" s="328"/>
      <c r="D58" s="9"/>
      <c r="E58" s="9"/>
    </row>
    <row r="59" spans="1:5" ht="15">
      <c r="A59" s="316"/>
      <c r="B59" s="333"/>
      <c r="C59" s="328"/>
      <c r="D59" s="9"/>
      <c r="E59" s="9"/>
    </row>
    <row r="60" spans="1:5" ht="15">
      <c r="A60" s="316"/>
      <c r="B60" s="333"/>
      <c r="C60" s="328"/>
      <c r="D60" s="9"/>
      <c r="E60" s="9"/>
    </row>
    <row r="61" spans="1:5" ht="15">
      <c r="A61" s="316"/>
      <c r="B61" s="333"/>
      <c r="C61" s="328"/>
      <c r="D61" s="9"/>
      <c r="E61" s="9"/>
    </row>
    <row r="62" spans="1:5" ht="15">
      <c r="A62" s="316"/>
      <c r="B62" s="333"/>
      <c r="C62" s="328"/>
      <c r="D62" s="9"/>
      <c r="E62" s="9"/>
    </row>
    <row r="63" spans="1:5" ht="15">
      <c r="A63" s="334" t="s">
        <v>396</v>
      </c>
      <c r="B63" s="332"/>
      <c r="C63" s="328"/>
      <c r="D63" s="9"/>
      <c r="E63" s="267">
        <f>nhood!E17</f>
      </c>
    </row>
    <row r="64" spans="1:5" ht="15">
      <c r="A64" s="334" t="s">
        <v>397</v>
      </c>
      <c r="B64" s="332"/>
      <c r="C64" s="328"/>
      <c r="D64" s="328"/>
      <c r="E64" s="328"/>
    </row>
    <row r="65" spans="1:5" ht="15">
      <c r="A65" s="334" t="s">
        <v>398</v>
      </c>
      <c r="B65" s="332"/>
      <c r="C65" s="366">
        <f>IF(C66*0.1&lt;C64,"Exceed 10% Rule","")</f>
      </c>
      <c r="D65" s="366">
        <f>IF(D66*0.1&lt;D64,"Exceed 10% Rule","")</f>
      </c>
      <c r="E65" s="366">
        <f>IF(E66*0.1&lt;E64,"Exceed 10% Rule","")</f>
      </c>
    </row>
    <row r="66" spans="1:5" ht="15">
      <c r="A66" s="152" t="s">
        <v>114</v>
      </c>
      <c r="B66" s="332"/>
      <c r="C66" s="329">
        <f>SUM(C58:C64)</f>
        <v>0</v>
      </c>
      <c r="D66" s="268">
        <f>SUM(D58:D64)</f>
        <v>0</v>
      </c>
      <c r="E66" s="268">
        <f>SUM(E58:E64)</f>
        <v>0</v>
      </c>
    </row>
    <row r="67" spans="1:5" ht="15">
      <c r="A67" s="37" t="s">
        <v>235</v>
      </c>
      <c r="B67" s="332"/>
      <c r="C67" s="330">
        <f>C56-C66</f>
        <v>0</v>
      </c>
      <c r="D67" s="267">
        <f>D56-D66</f>
        <v>0</v>
      </c>
      <c r="E67" s="97" t="s">
        <v>88</v>
      </c>
    </row>
    <row r="68" spans="1:6" ht="15">
      <c r="A68" s="23" t="str">
        <f>CONCATENATE("",E1-2," Budget Authority Limited Amount:")</f>
        <v>2010 Budget Authority Limited Amount:</v>
      </c>
      <c r="B68" s="353" t="e">
        <f>inputOth!#REF!</f>
        <v>#REF!</v>
      </c>
      <c r="C68" s="65"/>
      <c r="D68" s="24" t="s">
        <v>115</v>
      </c>
      <c r="E68" s="9"/>
      <c r="F68" s="310">
        <f>IF(E66/0.95-E66&lt;E68,"Exceeds 5%","")</f>
      </c>
    </row>
    <row r="69" spans="1:5" ht="15">
      <c r="A69" s="23" t="str">
        <f>CONCATENATE("Violation of Budget Law for ",E1-2,":")</f>
        <v>Violation of Budget Law for 2010:</v>
      </c>
      <c r="B69" s="354" t="e">
        <f>IF(C66&gt;B68,"Yes","")</f>
        <v>#REF!</v>
      </c>
      <c r="C69" s="65"/>
      <c r="D69" s="24" t="s">
        <v>385</v>
      </c>
      <c r="E69" s="85">
        <f>E66+E68</f>
        <v>0</v>
      </c>
    </row>
    <row r="70" spans="1:5" ht="15">
      <c r="A70" s="23" t="str">
        <f>CONCATENATE("Possible Cash Violation for ",E1-2,":")</f>
        <v>Possible Cash Violation for 2010:</v>
      </c>
      <c r="B70" s="354">
        <f>IF(C67&lt;0,"Yes","")</f>
      </c>
      <c r="C70" s="21"/>
      <c r="D70" s="24" t="s">
        <v>116</v>
      </c>
      <c r="E70" s="267">
        <f>IF(E69-E56&gt;0,E69-E56,0)</f>
        <v>0</v>
      </c>
    </row>
    <row r="71" spans="1:5" ht="15">
      <c r="A71" s="460" t="s">
        <v>321</v>
      </c>
      <c r="B71" s="460"/>
      <c r="C71" s="461"/>
      <c r="D71" s="234">
        <f>(inputOth!E46)</f>
        <v>0</v>
      </c>
      <c r="E71" s="85">
        <f>ROUND(IF(D71&gt;0,(E70*D71),0),0)</f>
        <v>0</v>
      </c>
    </row>
    <row r="72" spans="1:5" ht="15">
      <c r="A72" s="21"/>
      <c r="B72" s="21"/>
      <c r="C72" s="458" t="str">
        <f>CONCATENATE("Amount of  ",E1-1," Ad Valorem Tax")</f>
        <v>Amount of  2011 Ad Valorem Tax</v>
      </c>
      <c r="D72" s="466"/>
      <c r="E72" s="267">
        <f>E70+E71</f>
        <v>0</v>
      </c>
    </row>
    <row r="73" spans="1:5" ht="15">
      <c r="A73" s="21"/>
      <c r="B73" s="21"/>
      <c r="C73" s="21"/>
      <c r="D73" s="21"/>
      <c r="E73" s="21"/>
    </row>
    <row r="74" spans="1:5" ht="15">
      <c r="A74" s="136"/>
      <c r="B74" s="24" t="s">
        <v>118</v>
      </c>
      <c r="C74" s="16"/>
      <c r="D74" s="21"/>
      <c r="E74" s="21"/>
    </row>
  </sheetData>
  <sheetProtection sheet="1" objects="1" scenarios="1"/>
  <mergeCells count="4">
    <mergeCell ref="C37:D37"/>
    <mergeCell ref="C72:D72"/>
    <mergeCell ref="A36:C36"/>
    <mergeCell ref="A71:C71"/>
  </mergeCells>
  <conditionalFormatting sqref="C18">
    <cfRule type="cellIs" priority="1" dxfId="138" operator="greaterThan" stopIfTrue="1">
      <formula>$C$20*0.1</formula>
    </cfRule>
  </conditionalFormatting>
  <conditionalFormatting sqref="D18">
    <cfRule type="cellIs" priority="2" dxfId="138" operator="greaterThan" stopIfTrue="1">
      <formula>$D$20*0.1</formula>
    </cfRule>
  </conditionalFormatting>
  <conditionalFormatting sqref="E18">
    <cfRule type="cellIs" priority="3" dxfId="138" operator="greaterThan" stopIfTrue="1">
      <formula>$E$20*0.1</formula>
    </cfRule>
  </conditionalFormatting>
  <conditionalFormatting sqref="C29">
    <cfRule type="cellIs" priority="4" dxfId="138" operator="greaterThan" stopIfTrue="1">
      <formula>$C$31*0.1</formula>
    </cfRule>
  </conditionalFormatting>
  <conditionalFormatting sqref="D29">
    <cfRule type="cellIs" priority="5" dxfId="138" operator="greaterThan" stopIfTrue="1">
      <formula>$D$31*0.1</formula>
    </cfRule>
  </conditionalFormatting>
  <conditionalFormatting sqref="E29">
    <cfRule type="cellIs" priority="6" dxfId="138" operator="greaterThan" stopIfTrue="1">
      <formula>$E$31*0.1</formula>
    </cfRule>
  </conditionalFormatting>
  <conditionalFormatting sqref="E33">
    <cfRule type="cellIs" priority="7" dxfId="138" operator="greaterThan" stopIfTrue="1">
      <formula>$E$31/0.95-$E$31</formula>
    </cfRule>
  </conditionalFormatting>
  <conditionalFormatting sqref="C53">
    <cfRule type="cellIs" priority="8" dxfId="138" operator="greaterThan" stopIfTrue="1">
      <formula>$C$55*0.1</formula>
    </cfRule>
  </conditionalFormatting>
  <conditionalFormatting sqref="D53">
    <cfRule type="cellIs" priority="9" dxfId="138" operator="greaterThan" stopIfTrue="1">
      <formula>$D$55*0.1</formula>
    </cfRule>
  </conditionalFormatting>
  <conditionalFormatting sqref="E53">
    <cfRule type="cellIs" priority="10" dxfId="138" operator="greaterThan" stopIfTrue="1">
      <formula>$E$55*0.1</formula>
    </cfRule>
  </conditionalFormatting>
  <conditionalFormatting sqref="C64">
    <cfRule type="cellIs" priority="11" dxfId="138" operator="greaterThan" stopIfTrue="1">
      <formula>$C$66*0.1</formula>
    </cfRule>
  </conditionalFormatting>
  <conditionalFormatting sqref="D64">
    <cfRule type="cellIs" priority="12" dxfId="138" operator="greaterThan" stopIfTrue="1">
      <formula>$D$66*0.1</formula>
    </cfRule>
  </conditionalFormatting>
  <conditionalFormatting sqref="E64">
    <cfRule type="cellIs" priority="13" dxfId="138" operator="greaterThan" stopIfTrue="1">
      <formula>$E$66*0.1</formula>
    </cfRule>
  </conditionalFormatting>
  <conditionalFormatting sqref="E68">
    <cfRule type="cellIs" priority="14" dxfId="138" operator="greaterThan" stopIfTrue="1">
      <formula>$E$66/0.95-$E$66</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oddFooter>&amp;Lrevised 8/06/07</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6" sqref="C6"/>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178</v>
      </c>
      <c r="B3" s="90"/>
      <c r="C3" s="96"/>
      <c r="D3" s="96"/>
      <c r="E3" s="96"/>
    </row>
    <row r="4" spans="1:5" ht="15">
      <c r="A4" s="25" t="s">
        <v>100</v>
      </c>
      <c r="B4" s="25"/>
      <c r="C4" s="93" t="s">
        <v>124</v>
      </c>
      <c r="D4" s="33" t="s">
        <v>262</v>
      </c>
      <c r="E4" s="33" t="s">
        <v>263</v>
      </c>
    </row>
    <row r="5" spans="1:5" ht="15">
      <c r="A5" s="137" t="e">
        <f>inputPrYr!#REF!</f>
        <v>#REF!</v>
      </c>
      <c r="B5" s="137"/>
      <c r="C5" s="146">
        <f>E1-2</f>
        <v>2010</v>
      </c>
      <c r="D5" s="146">
        <f>E1-1</f>
        <v>2011</v>
      </c>
      <c r="E5" s="146">
        <f>E1</f>
        <v>2012</v>
      </c>
    </row>
    <row r="6" spans="1:5" ht="15">
      <c r="A6" s="326" t="s">
        <v>234</v>
      </c>
      <c r="B6" s="332"/>
      <c r="C6" s="328"/>
      <c r="D6" s="85">
        <f>C29</f>
        <v>0</v>
      </c>
      <c r="E6" s="85">
        <f>D29</f>
        <v>0</v>
      </c>
    </row>
    <row r="7" spans="1:5" ht="15">
      <c r="A7" s="331" t="s">
        <v>236</v>
      </c>
      <c r="B7" s="332"/>
      <c r="C7" s="320"/>
      <c r="D7" s="40"/>
      <c r="E7" s="40"/>
    </row>
    <row r="8" spans="1:5" ht="15">
      <c r="A8" s="316"/>
      <c r="B8" s="333"/>
      <c r="C8" s="328"/>
      <c r="D8" s="9"/>
      <c r="E8" s="9"/>
    </row>
    <row r="9" spans="1:5" ht="15">
      <c r="A9" s="316"/>
      <c r="B9" s="333"/>
      <c r="C9" s="328"/>
      <c r="D9" s="9"/>
      <c r="E9" s="9"/>
    </row>
    <row r="10" spans="1:5" ht="15">
      <c r="A10" s="316"/>
      <c r="B10" s="333"/>
      <c r="C10" s="328"/>
      <c r="D10" s="9"/>
      <c r="E10" s="9"/>
    </row>
    <row r="11" spans="1:5" ht="15">
      <c r="A11" s="316"/>
      <c r="B11" s="333"/>
      <c r="C11" s="328"/>
      <c r="D11" s="9"/>
      <c r="E11" s="9"/>
    </row>
    <row r="12" spans="1:5" ht="15">
      <c r="A12" s="327" t="s">
        <v>106</v>
      </c>
      <c r="B12" s="333"/>
      <c r="C12" s="328"/>
      <c r="D12" s="9"/>
      <c r="E12" s="9"/>
    </row>
    <row r="13" spans="1:5" ht="15">
      <c r="A13" s="336" t="s">
        <v>397</v>
      </c>
      <c r="B13" s="332"/>
      <c r="C13" s="328"/>
      <c r="D13" s="328"/>
      <c r="E13" s="328"/>
    </row>
    <row r="14" spans="1:5" ht="15">
      <c r="A14" s="326" t="s">
        <v>399</v>
      </c>
      <c r="B14" s="332"/>
      <c r="C14" s="366">
        <f>IF(C15*0.1&lt;C13,"Exceed 10% Rule","")</f>
      </c>
      <c r="D14" s="366">
        <f>IF(D15*0.1&lt;D13,"Exceed 10% Rule","")</f>
      </c>
      <c r="E14" s="366">
        <f>IF(E15*0.1&lt;E13,"Exceed 10% Rule","")</f>
      </c>
    </row>
    <row r="15" spans="1:5" ht="15">
      <c r="A15" s="152" t="s">
        <v>107</v>
      </c>
      <c r="B15" s="332"/>
      <c r="C15" s="329">
        <f>SUM(C8:C13)</f>
        <v>0</v>
      </c>
      <c r="D15" s="268">
        <f>SUM(D8:D13)</f>
        <v>0</v>
      </c>
      <c r="E15" s="268">
        <f>SUM(E8:E13)</f>
        <v>0</v>
      </c>
    </row>
    <row r="16" spans="1:5" ht="15">
      <c r="A16" s="152" t="s">
        <v>108</v>
      </c>
      <c r="B16" s="332"/>
      <c r="C16" s="329">
        <f>C6+C15</f>
        <v>0</v>
      </c>
      <c r="D16" s="268">
        <f>D6+D15</f>
        <v>0</v>
      </c>
      <c r="E16" s="268">
        <f>E6+E15</f>
        <v>0</v>
      </c>
    </row>
    <row r="17" spans="1:5" ht="15">
      <c r="A17" s="37" t="s">
        <v>110</v>
      </c>
      <c r="B17" s="332"/>
      <c r="C17" s="118"/>
      <c r="D17" s="85"/>
      <c r="E17" s="85"/>
    </row>
    <row r="18" spans="1:5" ht="15">
      <c r="A18" s="316"/>
      <c r="B18" s="333"/>
      <c r="C18" s="328"/>
      <c r="D18" s="9"/>
      <c r="E18" s="9"/>
    </row>
    <row r="19" spans="1:5" ht="15">
      <c r="A19" s="316"/>
      <c r="B19" s="333"/>
      <c r="C19" s="328"/>
      <c r="D19" s="9"/>
      <c r="E19" s="9"/>
    </row>
    <row r="20" spans="1:5" ht="15">
      <c r="A20" s="316"/>
      <c r="B20" s="333"/>
      <c r="C20" s="328"/>
      <c r="D20" s="9"/>
      <c r="E20" s="9"/>
    </row>
    <row r="21" spans="1:5" ht="15">
      <c r="A21" s="316"/>
      <c r="B21" s="333"/>
      <c r="C21" s="328"/>
      <c r="D21" s="9"/>
      <c r="E21" s="9"/>
    </row>
    <row r="22" spans="1:5" ht="15">
      <c r="A22" s="316"/>
      <c r="B22" s="333"/>
      <c r="C22" s="328"/>
      <c r="D22" s="9"/>
      <c r="E22" s="9"/>
    </row>
    <row r="23" spans="1:5" ht="15">
      <c r="A23" s="316"/>
      <c r="B23" s="333"/>
      <c r="C23" s="328"/>
      <c r="D23" s="9"/>
      <c r="E23" s="9"/>
    </row>
    <row r="24" spans="1:5" ht="15">
      <c r="A24" s="316"/>
      <c r="B24" s="333"/>
      <c r="C24" s="328"/>
      <c r="D24" s="9"/>
      <c r="E24" s="9"/>
    </row>
    <row r="25" spans="1:5" ht="15">
      <c r="A25" s="316"/>
      <c r="B25" s="333"/>
      <c r="C25" s="328"/>
      <c r="D25" s="9"/>
      <c r="E25" s="9"/>
    </row>
    <row r="26" spans="1:5" ht="15">
      <c r="A26" s="334" t="s">
        <v>397</v>
      </c>
      <c r="B26" s="332"/>
      <c r="C26" s="328"/>
      <c r="D26" s="328"/>
      <c r="E26" s="328"/>
    </row>
    <row r="27" spans="1:5" ht="15">
      <c r="A27" s="334" t="s">
        <v>398</v>
      </c>
      <c r="B27" s="332"/>
      <c r="C27" s="366">
        <f>IF(C28*0.1&lt;C26,"Exceed 10% Rule","")</f>
      </c>
      <c r="D27" s="366">
        <f>IF(D28*0.1&lt;D26,"Exceed 10% Rule","")</f>
      </c>
      <c r="E27" s="366">
        <f>IF(E28*0.1&lt;E26,"Exceed 10% Rule","")</f>
      </c>
    </row>
    <row r="28" spans="1:5" ht="15">
      <c r="A28" s="152" t="s">
        <v>114</v>
      </c>
      <c r="B28" s="332"/>
      <c r="C28" s="329">
        <f>SUM(C18:C26)</f>
        <v>0</v>
      </c>
      <c r="D28" s="268">
        <f>SUM(D18:D26)</f>
        <v>0</v>
      </c>
      <c r="E28" s="268">
        <f>SUM(E18:E26)</f>
        <v>0</v>
      </c>
    </row>
    <row r="29" spans="1:5" ht="15">
      <c r="A29" s="37" t="s">
        <v>235</v>
      </c>
      <c r="B29" s="332"/>
      <c r="C29" s="330">
        <f>C16-C28</f>
        <v>0</v>
      </c>
      <c r="D29" s="267">
        <f>D16-D28</f>
        <v>0</v>
      </c>
      <c r="E29" s="267">
        <f>E16-E28</f>
        <v>0</v>
      </c>
    </row>
    <row r="30" spans="1:5" ht="15">
      <c r="A30" s="23" t="str">
        <f>CONCATENATE("",E1-2," Budget Authority Limited Amount:")</f>
        <v>2010 Budget Authority Limited Amount:</v>
      </c>
      <c r="B30" s="353" t="e">
        <f>inputOth!#REF!</f>
        <v>#REF!</v>
      </c>
      <c r="C30" s="65"/>
      <c r="D30" s="65"/>
      <c r="E30" s="65"/>
    </row>
    <row r="31" spans="1:5" ht="15">
      <c r="A31" s="23" t="str">
        <f>CONCATENATE("Violation of Budget Law for ",E1-2,":")</f>
        <v>Violation of Budget Law for 2010:</v>
      </c>
      <c r="B31" s="354" t="e">
        <f>IF(C28&gt;B30,"Yes","")</f>
        <v>#REF!</v>
      </c>
      <c r="C31" s="65"/>
      <c r="D31" s="65"/>
      <c r="E31" s="65"/>
    </row>
    <row r="32" spans="1:5" ht="15">
      <c r="A32" s="23" t="str">
        <f>CONCATENATE("Possible Cash Violation for ",E1-2,":")</f>
        <v>Possible Cash Violation for 2010:</v>
      </c>
      <c r="B32" s="354">
        <f>IF(C29&lt;0,"Yes","")</f>
      </c>
      <c r="C32" s="65"/>
      <c r="D32" s="65"/>
      <c r="E32" s="65"/>
    </row>
    <row r="33" spans="1:5" ht="15">
      <c r="A33" s="21"/>
      <c r="B33" s="21"/>
      <c r="C33" s="65"/>
      <c r="D33" s="65"/>
      <c r="E33" s="65"/>
    </row>
    <row r="34" spans="1:5" ht="15">
      <c r="A34" s="25" t="s">
        <v>100</v>
      </c>
      <c r="B34" s="25"/>
      <c r="C34" s="101"/>
      <c r="D34" s="101"/>
      <c r="E34" s="101"/>
    </row>
    <row r="35" spans="1:5" ht="15">
      <c r="A35" s="21"/>
      <c r="B35" s="21"/>
      <c r="C35" s="93" t="s">
        <v>124</v>
      </c>
      <c r="D35" s="33" t="s">
        <v>262</v>
      </c>
      <c r="E35" s="33" t="s">
        <v>263</v>
      </c>
    </row>
    <row r="36" spans="1:5" ht="15">
      <c r="A36" s="137" t="e">
        <f>inputPrYr!#REF!</f>
        <v>#REF!</v>
      </c>
      <c r="B36" s="137"/>
      <c r="C36" s="146">
        <f>C5</f>
        <v>2010</v>
      </c>
      <c r="D36" s="146">
        <f>D5</f>
        <v>2011</v>
      </c>
      <c r="E36" s="146">
        <f>E5</f>
        <v>2012</v>
      </c>
    </row>
    <row r="37" spans="1:5" ht="15">
      <c r="A37" s="326" t="s">
        <v>234</v>
      </c>
      <c r="B37" s="332"/>
      <c r="C37" s="328"/>
      <c r="D37" s="85">
        <f>C60</f>
        <v>0</v>
      </c>
      <c r="E37" s="85">
        <f>D60</f>
        <v>0</v>
      </c>
    </row>
    <row r="38" spans="1:5" ht="15">
      <c r="A38" s="331" t="s">
        <v>236</v>
      </c>
      <c r="B38" s="332"/>
      <c r="C38" s="320"/>
      <c r="D38" s="40"/>
      <c r="E38" s="40"/>
    </row>
    <row r="39" spans="1:5" ht="15">
      <c r="A39" s="316"/>
      <c r="B39" s="333"/>
      <c r="C39" s="328"/>
      <c r="D39" s="9"/>
      <c r="E39" s="9"/>
    </row>
    <row r="40" spans="1:5" ht="15">
      <c r="A40" s="316"/>
      <c r="B40" s="333"/>
      <c r="C40" s="328"/>
      <c r="D40" s="9"/>
      <c r="E40" s="9"/>
    </row>
    <row r="41" spans="1:5" ht="15">
      <c r="A41" s="316"/>
      <c r="B41" s="333"/>
      <c r="C41" s="328"/>
      <c r="D41" s="9"/>
      <c r="E41" s="9"/>
    </row>
    <row r="42" spans="1:5" ht="15">
      <c r="A42" s="316"/>
      <c r="B42" s="333"/>
      <c r="C42" s="328"/>
      <c r="D42" s="9"/>
      <c r="E42" s="9"/>
    </row>
    <row r="43" spans="1:5" ht="15">
      <c r="A43" s="327" t="s">
        <v>106</v>
      </c>
      <c r="B43" s="333"/>
      <c r="C43" s="328"/>
      <c r="D43" s="9"/>
      <c r="E43" s="9"/>
    </row>
    <row r="44" spans="1:5" ht="15">
      <c r="A44" s="336" t="s">
        <v>397</v>
      </c>
      <c r="B44" s="332"/>
      <c r="C44" s="328"/>
      <c r="D44" s="328"/>
      <c r="E44" s="328"/>
    </row>
    <row r="45" spans="1:5" ht="15">
      <c r="A45" s="326" t="s">
        <v>399</v>
      </c>
      <c r="B45" s="332"/>
      <c r="C45" s="366">
        <f>IF(C46*0.1&lt;C44,"Exceed 10% Rule","")</f>
      </c>
      <c r="D45" s="366">
        <f>IF(D46*0.1&lt;D44,"Exceed 10% Rule","")</f>
      </c>
      <c r="E45" s="366">
        <f>IF(E46*0.1&lt;E44,"Exceed 10% Rule","")</f>
      </c>
    </row>
    <row r="46" spans="1:5" ht="15">
      <c r="A46" s="152" t="s">
        <v>107</v>
      </c>
      <c r="B46" s="332"/>
      <c r="C46" s="329">
        <f>SUM(C39:C44)</f>
        <v>0</v>
      </c>
      <c r="D46" s="268">
        <f>SUM(D39:D44)</f>
        <v>0</v>
      </c>
      <c r="E46" s="268">
        <f>SUM(E39:E44)</f>
        <v>0</v>
      </c>
    </row>
    <row r="47" spans="1:5" ht="15">
      <c r="A47" s="152" t="s">
        <v>108</v>
      </c>
      <c r="B47" s="332"/>
      <c r="C47" s="329">
        <f>C37+C46</f>
        <v>0</v>
      </c>
      <c r="D47" s="268">
        <f>D37+D46</f>
        <v>0</v>
      </c>
      <c r="E47" s="268">
        <f>E37+E46</f>
        <v>0</v>
      </c>
    </row>
    <row r="48" spans="1:5" ht="15">
      <c r="A48" s="37" t="s">
        <v>110</v>
      </c>
      <c r="B48" s="332"/>
      <c r="C48" s="118"/>
      <c r="D48" s="85"/>
      <c r="E48" s="85"/>
    </row>
    <row r="49" spans="1:5" ht="15">
      <c r="A49" s="316"/>
      <c r="B49" s="333"/>
      <c r="C49" s="328"/>
      <c r="D49" s="9"/>
      <c r="E49" s="9"/>
    </row>
    <row r="50" spans="1:5" ht="15">
      <c r="A50" s="316"/>
      <c r="B50" s="333"/>
      <c r="C50" s="328"/>
      <c r="D50" s="9"/>
      <c r="E50" s="9"/>
    </row>
    <row r="51" spans="1:5" ht="15">
      <c r="A51" s="316"/>
      <c r="B51" s="333"/>
      <c r="C51" s="328"/>
      <c r="D51" s="9"/>
      <c r="E51" s="9"/>
    </row>
    <row r="52" spans="1:5" ht="15">
      <c r="A52" s="316"/>
      <c r="B52" s="333"/>
      <c r="C52" s="328"/>
      <c r="D52" s="9"/>
      <c r="E52" s="9"/>
    </row>
    <row r="53" spans="1:5" ht="15">
      <c r="A53" s="316"/>
      <c r="B53" s="333"/>
      <c r="C53" s="328"/>
      <c r="D53" s="9"/>
      <c r="E53" s="9"/>
    </row>
    <row r="54" spans="1:5" ht="15">
      <c r="A54" s="316"/>
      <c r="B54" s="333"/>
      <c r="C54" s="328"/>
      <c r="D54" s="9"/>
      <c r="E54" s="9"/>
    </row>
    <row r="55" spans="1:5" ht="15">
      <c r="A55" s="316"/>
      <c r="B55" s="333"/>
      <c r="C55" s="328"/>
      <c r="D55" s="9"/>
      <c r="E55" s="9"/>
    </row>
    <row r="56" spans="1:5" ht="15">
      <c r="A56" s="316"/>
      <c r="B56" s="333"/>
      <c r="C56" s="328"/>
      <c r="D56" s="9"/>
      <c r="E56" s="9"/>
    </row>
    <row r="57" spans="1:5" ht="15">
      <c r="A57" s="334" t="s">
        <v>397</v>
      </c>
      <c r="B57" s="332"/>
      <c r="C57" s="328"/>
      <c r="D57" s="328"/>
      <c r="E57" s="328"/>
    </row>
    <row r="58" spans="1:5" ht="15">
      <c r="A58" s="334" t="s">
        <v>398</v>
      </c>
      <c r="B58" s="332"/>
      <c r="C58" s="366">
        <f>IF(C59*0.1&lt;C57,"Exceed 10% Rule","")</f>
      </c>
      <c r="D58" s="366">
        <f>IF(D59*0.1&lt;D57,"Exceed 10% Rule","")</f>
      </c>
      <c r="E58" s="366">
        <f>IF(E59*0.1&lt;E57,"Exceed 10% Rule","")</f>
      </c>
    </row>
    <row r="59" spans="1:5" ht="15">
      <c r="A59" s="152" t="s">
        <v>114</v>
      </c>
      <c r="B59" s="332"/>
      <c r="C59" s="329">
        <f>SUM(C49:C57)</f>
        <v>0</v>
      </c>
      <c r="D59" s="268">
        <f>SUM(D49:D57)</f>
        <v>0</v>
      </c>
      <c r="E59" s="268">
        <f>SUM(E49:E57)</f>
        <v>0</v>
      </c>
    </row>
    <row r="60" spans="1:5" ht="15">
      <c r="A60" s="37" t="s">
        <v>235</v>
      </c>
      <c r="B60" s="332"/>
      <c r="C60" s="330">
        <f>C47-C59</f>
        <v>0</v>
      </c>
      <c r="D60" s="267">
        <f>D47-D59</f>
        <v>0</v>
      </c>
      <c r="E60" s="267">
        <f>E47-E59</f>
        <v>0</v>
      </c>
    </row>
    <row r="61" spans="1:5" ht="15">
      <c r="A61" s="23" t="str">
        <f>CONCATENATE("",E1-2," Budget Authority Limited Amount:")</f>
        <v>2010 Budget Authority Limited Amount:</v>
      </c>
      <c r="B61" s="353" t="e">
        <f>inputOth!#REF!</f>
        <v>#REF!</v>
      </c>
      <c r="C61" s="21"/>
      <c r="D61" s="21"/>
      <c r="E61" s="21"/>
    </row>
    <row r="62" spans="1:5" ht="15">
      <c r="A62" s="23" t="str">
        <f>CONCATENATE("Violation of Budget Law for ",E1-2,":")</f>
        <v>Violation of Budget Law for 2010:</v>
      </c>
      <c r="B62" s="354" t="e">
        <f>IF(C59&gt;B61,"Yes","")</f>
        <v>#REF!</v>
      </c>
      <c r="C62" s="21"/>
      <c r="D62" s="21"/>
      <c r="E62" s="21"/>
    </row>
    <row r="63" spans="1:5" ht="15">
      <c r="A63" s="23" t="str">
        <f>CONCATENATE("Possible Cash Violation for ",E1-2,":")</f>
        <v>Possible Cash Violation for 2010:</v>
      </c>
      <c r="B63" s="354">
        <f>IF(C60&lt;0,"Yes","")</f>
      </c>
      <c r="C63" s="21"/>
      <c r="D63" s="21"/>
      <c r="E63" s="21"/>
    </row>
    <row r="64" spans="1:5" ht="15">
      <c r="A64" s="21"/>
      <c r="B64" s="21"/>
      <c r="C64" s="21"/>
      <c r="D64" s="21"/>
      <c r="E64" s="21"/>
    </row>
    <row r="65" spans="1:5" ht="15">
      <c r="A65" s="24"/>
      <c r="B65" s="24" t="s">
        <v>118</v>
      </c>
      <c r="C65" s="16"/>
      <c r="D65" s="21"/>
      <c r="E65" s="21"/>
    </row>
  </sheetData>
  <sheetProtection sheet="1" objects="1" scenarios="1"/>
  <conditionalFormatting sqref="C13">
    <cfRule type="cellIs" priority="1" dxfId="138" operator="greaterThan" stopIfTrue="1">
      <formula>$C$15*0.1</formula>
    </cfRule>
  </conditionalFormatting>
  <conditionalFormatting sqref="D13">
    <cfRule type="cellIs" priority="2" dxfId="138" operator="greaterThan" stopIfTrue="1">
      <formula>$D$15*0.1</formula>
    </cfRule>
  </conditionalFormatting>
  <conditionalFormatting sqref="E13">
    <cfRule type="cellIs" priority="3" dxfId="138" operator="greaterThan" stopIfTrue="1">
      <formula>$E$15*0.1</formula>
    </cfRule>
  </conditionalFormatting>
  <conditionalFormatting sqref="C26">
    <cfRule type="cellIs" priority="4" dxfId="138" operator="greaterThan" stopIfTrue="1">
      <formula>$C$28*0.1</formula>
    </cfRule>
  </conditionalFormatting>
  <conditionalFormatting sqref="D26">
    <cfRule type="cellIs" priority="5" dxfId="138" operator="greaterThan" stopIfTrue="1">
      <formula>$D$28*0.1</formula>
    </cfRule>
  </conditionalFormatting>
  <conditionalFormatting sqref="E26">
    <cfRule type="cellIs" priority="6" dxfId="138" operator="greaterThan" stopIfTrue="1">
      <formula>$E$28*0.1</formula>
    </cfRule>
  </conditionalFormatting>
  <conditionalFormatting sqref="C44">
    <cfRule type="cellIs" priority="7" dxfId="138" operator="greaterThan" stopIfTrue="1">
      <formula>$C$46*0.1</formula>
    </cfRule>
  </conditionalFormatting>
  <conditionalFormatting sqref="D44">
    <cfRule type="cellIs" priority="8" dxfId="138" operator="greaterThan" stopIfTrue="1">
      <formula>$D$46*0.1</formula>
    </cfRule>
  </conditionalFormatting>
  <conditionalFormatting sqref="E44">
    <cfRule type="cellIs" priority="9" dxfId="138" operator="greaterThan" stopIfTrue="1">
      <formula>$E$46*0.1</formula>
    </cfRule>
  </conditionalFormatting>
  <conditionalFormatting sqref="C57">
    <cfRule type="cellIs" priority="10" dxfId="138" operator="greaterThan" stopIfTrue="1">
      <formula>$C$59*0.1</formula>
    </cfRule>
  </conditionalFormatting>
  <conditionalFormatting sqref="D57">
    <cfRule type="cellIs" priority="11" dxfId="138" operator="greaterThan" stopIfTrue="1">
      <formula>$D$59*0.1</formula>
    </cfRule>
  </conditionalFormatting>
  <conditionalFormatting sqref="E57">
    <cfRule type="cellIs" priority="12" dxfId="138" operator="greaterThan" stopIfTrue="1">
      <formula>$E$59*0.1</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oddFooter>&amp;Lrevised 8/06/07</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5" sqref="C5"/>
    </sheetView>
  </sheetViews>
  <sheetFormatPr defaultColWidth="8.8984375" defaultRowHeight="15"/>
  <cols>
    <col min="1" max="1" width="28.69921875" style="7" customWidth="1"/>
    <col min="2" max="2" width="9.59765625" style="7" customWidth="1"/>
    <col min="3" max="5" width="15.69921875" style="7" customWidth="1"/>
    <col min="6" max="16384" width="8.8984375" style="7"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178</v>
      </c>
      <c r="B3" s="90"/>
      <c r="C3" s="96"/>
      <c r="D3" s="96"/>
      <c r="E3" s="96"/>
    </row>
    <row r="4" spans="1:5" ht="15">
      <c r="A4" s="25" t="s">
        <v>100</v>
      </c>
      <c r="B4" s="25"/>
      <c r="C4" s="93" t="s">
        <v>124</v>
      </c>
      <c r="D4" s="33" t="s">
        <v>262</v>
      </c>
      <c r="E4" s="33" t="s">
        <v>263</v>
      </c>
    </row>
    <row r="5" spans="1:5" ht="15">
      <c r="A5" s="137" t="e">
        <f>inputPrYr!#REF!</f>
        <v>#REF!</v>
      </c>
      <c r="B5" s="137"/>
      <c r="C5" s="146">
        <f>E1-2</f>
        <v>2010</v>
      </c>
      <c r="D5" s="146">
        <f>E1-1</f>
        <v>2011</v>
      </c>
      <c r="E5" s="146">
        <f>E1</f>
        <v>2012</v>
      </c>
    </row>
    <row r="6" spans="1:5" ht="15">
      <c r="A6" s="326" t="s">
        <v>234</v>
      </c>
      <c r="B6" s="332"/>
      <c r="C6" s="328"/>
      <c r="D6" s="85">
        <f>C29</f>
        <v>0</v>
      </c>
      <c r="E6" s="85">
        <f>D29</f>
        <v>0</v>
      </c>
    </row>
    <row r="7" spans="1:5" ht="15">
      <c r="A7" s="331" t="s">
        <v>236</v>
      </c>
      <c r="B7" s="332"/>
      <c r="C7" s="320"/>
      <c r="D7" s="40"/>
      <c r="E7" s="40"/>
    </row>
    <row r="8" spans="1:5" ht="15">
      <c r="A8" s="316"/>
      <c r="B8" s="333"/>
      <c r="C8" s="328"/>
      <c r="D8" s="9"/>
      <c r="E8" s="9"/>
    </row>
    <row r="9" spans="1:5" ht="15">
      <c r="A9" s="316"/>
      <c r="B9" s="333"/>
      <c r="C9" s="328"/>
      <c r="D9" s="9"/>
      <c r="E9" s="9"/>
    </row>
    <row r="10" spans="1:5" ht="15">
      <c r="A10" s="316"/>
      <c r="B10" s="333"/>
      <c r="C10" s="328"/>
      <c r="D10" s="9"/>
      <c r="E10" s="9"/>
    </row>
    <row r="11" spans="1:5" ht="15">
      <c r="A11" s="316"/>
      <c r="B11" s="333"/>
      <c r="C11" s="328"/>
      <c r="D11" s="9"/>
      <c r="E11" s="9"/>
    </row>
    <row r="12" spans="1:5" ht="15">
      <c r="A12" s="327" t="s">
        <v>106</v>
      </c>
      <c r="B12" s="333"/>
      <c r="C12" s="328"/>
      <c r="D12" s="9"/>
      <c r="E12" s="9"/>
    </row>
    <row r="13" spans="1:5" ht="15">
      <c r="A13" s="336" t="s">
        <v>397</v>
      </c>
      <c r="B13" s="332"/>
      <c r="C13" s="121"/>
      <c r="D13" s="121"/>
      <c r="E13" s="121"/>
    </row>
    <row r="14" spans="1:5" ht="15">
      <c r="A14" s="326" t="s">
        <v>399</v>
      </c>
      <c r="B14" s="332"/>
      <c r="C14" s="366">
        <f>IF(C15*0.1&lt;C13,"Exceed 10% Rule","")</f>
      </c>
      <c r="D14" s="366">
        <f>IF(D15*0.1&lt;D13,"Exceed 10% Rule","")</f>
      </c>
      <c r="E14" s="366">
        <f>IF(E15*0.1&lt;E13,"Exceed 10% Rule","")</f>
      </c>
    </row>
    <row r="15" spans="1:5" ht="15">
      <c r="A15" s="152" t="s">
        <v>107</v>
      </c>
      <c r="B15" s="332"/>
      <c r="C15" s="329">
        <f>SUM(C8:C13)</f>
        <v>0</v>
      </c>
      <c r="D15" s="268">
        <f>SUM(D8:D13)</f>
        <v>0</v>
      </c>
      <c r="E15" s="268">
        <f>SUM(E8:E13)</f>
        <v>0</v>
      </c>
    </row>
    <row r="16" spans="1:5" ht="15">
      <c r="A16" s="152" t="s">
        <v>108</v>
      </c>
      <c r="B16" s="332"/>
      <c r="C16" s="329">
        <f>C6+C15</f>
        <v>0</v>
      </c>
      <c r="D16" s="268">
        <f>D6+D15</f>
        <v>0</v>
      </c>
      <c r="E16" s="268">
        <f>E6+E15</f>
        <v>0</v>
      </c>
    </row>
    <row r="17" spans="1:5" ht="15">
      <c r="A17" s="37" t="s">
        <v>110</v>
      </c>
      <c r="B17" s="332"/>
      <c r="C17" s="118"/>
      <c r="D17" s="85"/>
      <c r="E17" s="85"/>
    </row>
    <row r="18" spans="1:5" ht="15">
      <c r="A18" s="316"/>
      <c r="B18" s="333"/>
      <c r="C18" s="328"/>
      <c r="D18" s="9"/>
      <c r="E18" s="9"/>
    </row>
    <row r="19" spans="1:5" ht="15">
      <c r="A19" s="316"/>
      <c r="B19" s="333"/>
      <c r="C19" s="328"/>
      <c r="D19" s="9"/>
      <c r="E19" s="9"/>
    </row>
    <row r="20" spans="1:5" ht="15">
      <c r="A20" s="316"/>
      <c r="B20" s="333"/>
      <c r="C20" s="328"/>
      <c r="D20" s="9"/>
      <c r="E20" s="9"/>
    </row>
    <row r="21" spans="1:5" ht="15">
      <c r="A21" s="316"/>
      <c r="B21" s="333"/>
      <c r="C21" s="328"/>
      <c r="D21" s="9"/>
      <c r="E21" s="9"/>
    </row>
    <row r="22" spans="1:5" ht="15">
      <c r="A22" s="316"/>
      <c r="B22" s="333"/>
      <c r="C22" s="328"/>
      <c r="D22" s="9"/>
      <c r="E22" s="9"/>
    </row>
    <row r="23" spans="1:5" ht="15">
      <c r="A23" s="316"/>
      <c r="B23" s="333"/>
      <c r="C23" s="328"/>
      <c r="D23" s="9"/>
      <c r="E23" s="9"/>
    </row>
    <row r="24" spans="1:5" ht="15">
      <c r="A24" s="316"/>
      <c r="B24" s="333"/>
      <c r="C24" s="328"/>
      <c r="D24" s="9"/>
      <c r="E24" s="9"/>
    </row>
    <row r="25" spans="1:5" ht="15">
      <c r="A25" s="316"/>
      <c r="B25" s="333"/>
      <c r="C25" s="328"/>
      <c r="D25" s="9"/>
      <c r="E25" s="9"/>
    </row>
    <row r="26" spans="1:5" ht="15">
      <c r="A26" s="334" t="s">
        <v>397</v>
      </c>
      <c r="B26" s="332"/>
      <c r="C26" s="328"/>
      <c r="D26" s="328"/>
      <c r="E26" s="328"/>
    </row>
    <row r="27" spans="1:5" ht="15">
      <c r="A27" s="334" t="s">
        <v>398</v>
      </c>
      <c r="B27" s="332"/>
      <c r="C27" s="366">
        <f>IF(C28*0.1&lt;C26,"Exceed 10% Rule","")</f>
      </c>
      <c r="D27" s="366">
        <f>IF(D28*0.1&lt;D26,"Exceed 10% Rule","")</f>
      </c>
      <c r="E27" s="366">
        <f>IF(E28*0.1&lt;E26,"Exceed 10% Rule","")</f>
      </c>
    </row>
    <row r="28" spans="1:5" ht="15">
      <c r="A28" s="152" t="s">
        <v>114</v>
      </c>
      <c r="B28" s="332"/>
      <c r="C28" s="329">
        <f>SUM(C18:C26)</f>
        <v>0</v>
      </c>
      <c r="D28" s="268">
        <f>SUM(D18:D26)</f>
        <v>0</v>
      </c>
      <c r="E28" s="268">
        <f>SUM(E18:E26)</f>
        <v>0</v>
      </c>
    </row>
    <row r="29" spans="1:5" ht="15">
      <c r="A29" s="37" t="s">
        <v>235</v>
      </c>
      <c r="B29" s="332"/>
      <c r="C29" s="330">
        <f>C16-C28</f>
        <v>0</v>
      </c>
      <c r="D29" s="267">
        <f>D16-D28</f>
        <v>0</v>
      </c>
      <c r="E29" s="267">
        <f>E16-E28</f>
        <v>0</v>
      </c>
    </row>
    <row r="30" spans="1:5" ht="15">
      <c r="A30" s="23" t="str">
        <f>CONCATENATE("",E1-2," Budget Authority Limited Amount:")</f>
        <v>2010 Budget Authority Limited Amount:</v>
      </c>
      <c r="B30" s="353" t="e">
        <f>inputOth!#REF!</f>
        <v>#REF!</v>
      </c>
      <c r="C30" s="65"/>
      <c r="D30" s="65"/>
      <c r="E30" s="65"/>
    </row>
    <row r="31" spans="1:5" ht="15">
      <c r="A31" s="23" t="str">
        <f>CONCATENATE("Violation of Budget Law for ",E1-2,":")</f>
        <v>Violation of Budget Law for 2010:</v>
      </c>
      <c r="B31" s="354" t="e">
        <f>IF(C28&gt;B30,"Yes","")</f>
        <v>#REF!</v>
      </c>
      <c r="C31" s="65"/>
      <c r="D31" s="65"/>
      <c r="E31" s="65"/>
    </row>
    <row r="32" spans="1:5" ht="15">
      <c r="A32" s="23" t="str">
        <f>CONCATENATE("Possible Cash Violation for ",E1-2,":")</f>
        <v>Possible Cash Violation for 2010:</v>
      </c>
      <c r="B32" s="354">
        <f>IF(C29&lt;0,"Yes","")</f>
      </c>
      <c r="C32" s="65"/>
      <c r="D32" s="65"/>
      <c r="E32" s="65"/>
    </row>
    <row r="33" spans="1:5" ht="15">
      <c r="A33" s="21"/>
      <c r="B33" s="21"/>
      <c r="C33" s="65"/>
      <c r="D33" s="65"/>
      <c r="E33" s="65"/>
    </row>
    <row r="34" spans="1:5" ht="15">
      <c r="A34" s="25" t="s">
        <v>100</v>
      </c>
      <c r="B34" s="25"/>
      <c r="C34" s="101"/>
      <c r="D34" s="101"/>
      <c r="E34" s="101"/>
    </row>
    <row r="35" spans="1:5" ht="15">
      <c r="A35" s="21"/>
      <c r="B35" s="21"/>
      <c r="C35" s="93" t="s">
        <v>124</v>
      </c>
      <c r="D35" s="33" t="s">
        <v>262</v>
      </c>
      <c r="E35" s="33" t="s">
        <v>263</v>
      </c>
    </row>
    <row r="36" spans="1:5" ht="15">
      <c r="A36" s="137" t="e">
        <f>inputPrYr!#REF!</f>
        <v>#REF!</v>
      </c>
      <c r="B36" s="137"/>
      <c r="C36" s="146">
        <f>C5</f>
        <v>2010</v>
      </c>
      <c r="D36" s="146">
        <f>D5</f>
        <v>2011</v>
      </c>
      <c r="E36" s="146">
        <f>E5</f>
        <v>2012</v>
      </c>
    </row>
    <row r="37" spans="1:5" ht="15">
      <c r="A37" s="326" t="s">
        <v>234</v>
      </c>
      <c r="B37" s="332"/>
      <c r="C37" s="328"/>
      <c r="D37" s="85">
        <f>C60</f>
        <v>0</v>
      </c>
      <c r="E37" s="85">
        <f>D60</f>
        <v>0</v>
      </c>
    </row>
    <row r="38" spans="1:5" ht="15">
      <c r="A38" s="331" t="s">
        <v>236</v>
      </c>
      <c r="B38" s="332"/>
      <c r="C38" s="320"/>
      <c r="D38" s="40"/>
      <c r="E38" s="40"/>
    </row>
    <row r="39" spans="1:5" ht="15">
      <c r="A39" s="316"/>
      <c r="B39" s="333"/>
      <c r="C39" s="328"/>
      <c r="D39" s="9"/>
      <c r="E39" s="9"/>
    </row>
    <row r="40" spans="1:5" ht="15">
      <c r="A40" s="316"/>
      <c r="B40" s="333"/>
      <c r="C40" s="328"/>
      <c r="D40" s="9"/>
      <c r="E40" s="9"/>
    </row>
    <row r="41" spans="1:5" ht="15">
      <c r="A41" s="316"/>
      <c r="B41" s="333"/>
      <c r="C41" s="328"/>
      <c r="D41" s="9"/>
      <c r="E41" s="9"/>
    </row>
    <row r="42" spans="1:5" ht="15">
      <c r="A42" s="316"/>
      <c r="B42" s="333"/>
      <c r="C42" s="328"/>
      <c r="D42" s="9"/>
      <c r="E42" s="9"/>
    </row>
    <row r="43" spans="1:5" ht="15">
      <c r="A43" s="327" t="s">
        <v>106</v>
      </c>
      <c r="B43" s="333"/>
      <c r="C43" s="328"/>
      <c r="D43" s="9"/>
      <c r="E43" s="9"/>
    </row>
    <row r="44" spans="1:5" ht="15">
      <c r="A44" s="336" t="s">
        <v>397</v>
      </c>
      <c r="B44" s="332"/>
      <c r="C44" s="328"/>
      <c r="D44" s="328"/>
      <c r="E44" s="328"/>
    </row>
    <row r="45" spans="1:5" ht="15">
      <c r="A45" s="326" t="s">
        <v>399</v>
      </c>
      <c r="B45" s="332"/>
      <c r="C45" s="366">
        <f>IF(C46*0.1&lt;C44,"Exceed 10% Rule","")</f>
      </c>
      <c r="D45" s="366">
        <f>IF(D46*0.1&lt;D44,"Exceed 10% Rule","")</f>
      </c>
      <c r="E45" s="366">
        <f>IF(E46*0.1&lt;E44,"Exceed 10% Rule","")</f>
      </c>
    </row>
    <row r="46" spans="1:5" ht="15">
      <c r="A46" s="152" t="s">
        <v>107</v>
      </c>
      <c r="B46" s="332"/>
      <c r="C46" s="329">
        <f>SUM(C39:C44)</f>
        <v>0</v>
      </c>
      <c r="D46" s="268">
        <f>SUM(D39:D44)</f>
        <v>0</v>
      </c>
      <c r="E46" s="268">
        <f>SUM(E39:E44)</f>
        <v>0</v>
      </c>
    </row>
    <row r="47" spans="1:5" ht="15">
      <c r="A47" s="152" t="s">
        <v>108</v>
      </c>
      <c r="B47" s="332"/>
      <c r="C47" s="329">
        <f>C37+C46</f>
        <v>0</v>
      </c>
      <c r="D47" s="268">
        <f>D37+D46</f>
        <v>0</v>
      </c>
      <c r="E47" s="268">
        <f>E37+E46</f>
        <v>0</v>
      </c>
    </row>
    <row r="48" spans="1:5" ht="15">
      <c r="A48" s="37" t="s">
        <v>110</v>
      </c>
      <c r="B48" s="332"/>
      <c r="C48" s="118"/>
      <c r="D48" s="85"/>
      <c r="E48" s="85"/>
    </row>
    <row r="49" spans="1:5" ht="15">
      <c r="A49" s="316"/>
      <c r="B49" s="333"/>
      <c r="C49" s="328"/>
      <c r="D49" s="9"/>
      <c r="E49" s="9"/>
    </row>
    <row r="50" spans="1:5" ht="15">
      <c r="A50" s="316"/>
      <c r="B50" s="333"/>
      <c r="C50" s="328"/>
      <c r="D50" s="9"/>
      <c r="E50" s="9"/>
    </row>
    <row r="51" spans="1:5" ht="15">
      <c r="A51" s="316"/>
      <c r="B51" s="333"/>
      <c r="C51" s="328"/>
      <c r="D51" s="9"/>
      <c r="E51" s="9"/>
    </row>
    <row r="52" spans="1:5" ht="15">
      <c r="A52" s="316"/>
      <c r="B52" s="333"/>
      <c r="C52" s="328"/>
      <c r="D52" s="9"/>
      <c r="E52" s="9"/>
    </row>
    <row r="53" spans="1:5" ht="15">
      <c r="A53" s="316"/>
      <c r="B53" s="333"/>
      <c r="C53" s="328"/>
      <c r="D53" s="9"/>
      <c r="E53" s="9"/>
    </row>
    <row r="54" spans="1:5" ht="15">
      <c r="A54" s="316"/>
      <c r="B54" s="333"/>
      <c r="C54" s="328"/>
      <c r="D54" s="9"/>
      <c r="E54" s="9"/>
    </row>
    <row r="55" spans="1:5" ht="15">
      <c r="A55" s="316"/>
      <c r="B55" s="333"/>
      <c r="C55" s="328"/>
      <c r="D55" s="9"/>
      <c r="E55" s="9"/>
    </row>
    <row r="56" spans="1:5" ht="15">
      <c r="A56" s="316"/>
      <c r="B56" s="333"/>
      <c r="C56" s="328"/>
      <c r="D56" s="9"/>
      <c r="E56" s="9"/>
    </row>
    <row r="57" spans="1:5" ht="15">
      <c r="A57" s="334" t="s">
        <v>397</v>
      </c>
      <c r="B57" s="332"/>
      <c r="C57" s="328"/>
      <c r="D57" s="328"/>
      <c r="E57" s="328"/>
    </row>
    <row r="58" spans="1:5" ht="15">
      <c r="A58" s="334" t="s">
        <v>398</v>
      </c>
      <c r="B58" s="332"/>
      <c r="C58" s="366">
        <f>IF(C59*0.1&lt;C57,"Exceed 10% Rule","")</f>
      </c>
      <c r="D58" s="366">
        <f>IF(D59*0.1&lt;D57,"Exceed 10% Rule","")</f>
      </c>
      <c r="E58" s="366">
        <f>IF(E59*0.1&lt;E57,"Exceed 10% Rule","")</f>
      </c>
    </row>
    <row r="59" spans="1:5" ht="15">
      <c r="A59" s="152" t="s">
        <v>114</v>
      </c>
      <c r="B59" s="332"/>
      <c r="C59" s="329">
        <f>SUM(C49:C57)</f>
        <v>0</v>
      </c>
      <c r="D59" s="268">
        <f>SUM(D49:D57)</f>
        <v>0</v>
      </c>
      <c r="E59" s="268">
        <f>SUM(E49:E57)</f>
        <v>0</v>
      </c>
    </row>
    <row r="60" spans="1:5" ht="15">
      <c r="A60" s="37" t="s">
        <v>235</v>
      </c>
      <c r="B60" s="332"/>
      <c r="C60" s="330">
        <f>C47-C59</f>
        <v>0</v>
      </c>
      <c r="D60" s="267">
        <f>D47-D59</f>
        <v>0</v>
      </c>
      <c r="E60" s="267">
        <f>E47-E59</f>
        <v>0</v>
      </c>
    </row>
    <row r="61" spans="1:5" ht="15">
      <c r="A61" s="23" t="str">
        <f>CONCATENATE("",E1-2," Budget Authority Limited Amount:")</f>
        <v>2010 Budget Authority Limited Amount:</v>
      </c>
      <c r="B61" s="353" t="e">
        <f>inputOth!#REF!</f>
        <v>#REF!</v>
      </c>
      <c r="C61" s="21"/>
      <c r="D61" s="21"/>
      <c r="E61" s="21"/>
    </row>
    <row r="62" spans="1:5" ht="15">
      <c r="A62" s="23" t="str">
        <f>CONCATENATE("Violation of Budget Law for ",E1-2,":")</f>
        <v>Violation of Budget Law for 2010:</v>
      </c>
      <c r="B62" s="354" t="e">
        <f>IF(C59&gt;B61,"Yes","")</f>
        <v>#REF!</v>
      </c>
      <c r="C62" s="21"/>
      <c r="D62" s="21"/>
      <c r="E62" s="21"/>
    </row>
    <row r="63" spans="1:5" ht="15">
      <c r="A63" s="23" t="str">
        <f>CONCATENATE("Possible Cash Violation for ",E1-2,":")</f>
        <v>Possible Cash Violation for 2010:</v>
      </c>
      <c r="B63" s="354">
        <f>IF(C60&lt;0,"Yes","")</f>
      </c>
      <c r="C63" s="21"/>
      <c r="D63" s="21"/>
      <c r="E63" s="21"/>
    </row>
    <row r="64" spans="1:5" ht="15">
      <c r="A64" s="21"/>
      <c r="B64" s="21"/>
      <c r="C64" s="21"/>
      <c r="D64" s="21"/>
      <c r="E64" s="21"/>
    </row>
    <row r="65" spans="1:5" ht="15">
      <c r="A65" s="24"/>
      <c r="B65" s="24" t="s">
        <v>118</v>
      </c>
      <c r="C65" s="16"/>
      <c r="D65" s="21"/>
      <c r="E65" s="21"/>
    </row>
  </sheetData>
  <sheetProtection sheet="1" objects="1" scenarios="1"/>
  <conditionalFormatting sqref="C13">
    <cfRule type="cellIs" priority="1" dxfId="138" operator="greaterThan" stopIfTrue="1">
      <formula>$C$15*0.1</formula>
    </cfRule>
  </conditionalFormatting>
  <conditionalFormatting sqref="D13">
    <cfRule type="cellIs" priority="2" dxfId="138" operator="greaterThan" stopIfTrue="1">
      <formula>$D$15*0.1</formula>
    </cfRule>
  </conditionalFormatting>
  <conditionalFormatting sqref="E13">
    <cfRule type="cellIs" priority="3" dxfId="138" operator="greaterThan" stopIfTrue="1">
      <formula>$E$15*0.1</formula>
    </cfRule>
  </conditionalFormatting>
  <conditionalFormatting sqref="C26">
    <cfRule type="cellIs" priority="4" dxfId="138" operator="greaterThan" stopIfTrue="1">
      <formula>$C$28*0.1</formula>
    </cfRule>
  </conditionalFormatting>
  <conditionalFormatting sqref="D26">
    <cfRule type="cellIs" priority="5" dxfId="138" operator="greaterThan" stopIfTrue="1">
      <formula>$D$28*0.1</formula>
    </cfRule>
  </conditionalFormatting>
  <conditionalFormatting sqref="E26">
    <cfRule type="cellIs" priority="6" dxfId="138" operator="greaterThan" stopIfTrue="1">
      <formula>$E$28*0.1</formula>
    </cfRule>
  </conditionalFormatting>
  <conditionalFormatting sqref="C44">
    <cfRule type="cellIs" priority="7" dxfId="138" operator="greaterThan" stopIfTrue="1">
      <formula>$C$46*0.1</formula>
    </cfRule>
  </conditionalFormatting>
  <conditionalFormatting sqref="D44">
    <cfRule type="cellIs" priority="8" dxfId="138" operator="greaterThan" stopIfTrue="1">
      <formula>$D$46*0.1</formula>
    </cfRule>
  </conditionalFormatting>
  <conditionalFormatting sqref="E44">
    <cfRule type="cellIs" priority="9" dxfId="138" operator="greaterThan" stopIfTrue="1">
      <formula>$E$46*0.1</formula>
    </cfRule>
  </conditionalFormatting>
  <conditionalFormatting sqref="C57">
    <cfRule type="cellIs" priority="10" dxfId="138" operator="greaterThan" stopIfTrue="1">
      <formula>$C$59*0.1</formula>
    </cfRule>
  </conditionalFormatting>
  <conditionalFormatting sqref="D57">
    <cfRule type="cellIs" priority="11" dxfId="138" operator="greaterThan" stopIfTrue="1">
      <formula>$D$59*0.1</formula>
    </cfRule>
  </conditionalFormatting>
  <conditionalFormatting sqref="E57">
    <cfRule type="cellIs" priority="12" dxfId="138" operator="greaterThan" stopIfTrue="1">
      <formula>$E$59*0.1</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oddFooter>&amp;Lrevised 8/06/07</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6" sqref="C6"/>
    </sheetView>
  </sheetViews>
  <sheetFormatPr defaultColWidth="8.8984375" defaultRowHeight="15"/>
  <cols>
    <col min="1" max="1" width="28.69921875" style="2" customWidth="1"/>
    <col min="2" max="2" width="9.59765625" style="2" customWidth="1"/>
    <col min="3" max="5" width="15.69921875" style="2" customWidth="1"/>
    <col min="6" max="16384" width="8.8984375" style="2" customWidth="1"/>
  </cols>
  <sheetData>
    <row r="1" spans="1:5" ht="15">
      <c r="A1" s="72" t="str">
        <f>(inputPrYr!D2)</f>
        <v>CITY OF BLUE RAPIDS</v>
      </c>
      <c r="B1" s="72"/>
      <c r="C1" s="21"/>
      <c r="D1" s="21"/>
      <c r="E1" s="138">
        <f>inputPrYr!C5</f>
        <v>2012</v>
      </c>
    </row>
    <row r="2" spans="1:5" ht="15">
      <c r="A2" s="21"/>
      <c r="B2" s="21"/>
      <c r="C2" s="21"/>
      <c r="D2" s="21"/>
      <c r="E2" s="24"/>
    </row>
    <row r="3" spans="1:5" ht="15">
      <c r="A3" s="90" t="s">
        <v>178</v>
      </c>
      <c r="B3" s="90"/>
      <c r="C3" s="96"/>
      <c r="D3" s="96"/>
      <c r="E3" s="96"/>
    </row>
    <row r="4" spans="1:5" ht="15">
      <c r="A4" s="25" t="s">
        <v>100</v>
      </c>
      <c r="B4" s="25"/>
      <c r="C4" s="93" t="s">
        <v>124</v>
      </c>
      <c r="D4" s="33" t="s">
        <v>262</v>
      </c>
      <c r="E4" s="33" t="s">
        <v>263</v>
      </c>
    </row>
    <row r="5" spans="1:5" ht="15">
      <c r="A5" s="137" t="e">
        <f>inputPrYr!#REF!</f>
        <v>#REF!</v>
      </c>
      <c r="B5" s="137"/>
      <c r="C5" s="146">
        <f>E1-2</f>
        <v>2010</v>
      </c>
      <c r="D5" s="146">
        <f>E1-1</f>
        <v>2011</v>
      </c>
      <c r="E5" s="146">
        <f>E1</f>
        <v>2012</v>
      </c>
    </row>
    <row r="6" spans="1:5" ht="15">
      <c r="A6" s="326" t="s">
        <v>234</v>
      </c>
      <c r="B6" s="332"/>
      <c r="C6" s="328"/>
      <c r="D6" s="85">
        <f>C29</f>
        <v>0</v>
      </c>
      <c r="E6" s="85">
        <f>D29</f>
        <v>0</v>
      </c>
    </row>
    <row r="7" spans="1:5" s="7" customFormat="1" ht="15">
      <c r="A7" s="331" t="s">
        <v>236</v>
      </c>
      <c r="B7" s="332"/>
      <c r="C7" s="320"/>
      <c r="D7" s="40"/>
      <c r="E7" s="40"/>
    </row>
    <row r="8" spans="1:5" ht="15">
      <c r="A8" s="316"/>
      <c r="B8" s="333"/>
      <c r="C8" s="328"/>
      <c r="D8" s="9"/>
      <c r="E8" s="9"/>
    </row>
    <row r="9" spans="1:5" ht="15">
      <c r="A9" s="316"/>
      <c r="B9" s="333"/>
      <c r="C9" s="328"/>
      <c r="D9" s="9"/>
      <c r="E9" s="9"/>
    </row>
    <row r="10" spans="1:5" ht="15">
      <c r="A10" s="316"/>
      <c r="B10" s="333"/>
      <c r="C10" s="328"/>
      <c r="D10" s="9"/>
      <c r="E10" s="9"/>
    </row>
    <row r="11" spans="1:5" ht="15">
      <c r="A11" s="316"/>
      <c r="B11" s="333"/>
      <c r="C11" s="328"/>
      <c r="D11" s="9"/>
      <c r="E11" s="9"/>
    </row>
    <row r="12" spans="1:5" ht="15">
      <c r="A12" s="327" t="s">
        <v>106</v>
      </c>
      <c r="B12" s="333"/>
      <c r="C12" s="328"/>
      <c r="D12" s="9"/>
      <c r="E12" s="9"/>
    </row>
    <row r="13" spans="1:5" ht="15">
      <c r="A13" s="336" t="s">
        <v>397</v>
      </c>
      <c r="B13" s="332"/>
      <c r="C13" s="328"/>
      <c r="D13" s="328"/>
      <c r="E13" s="328"/>
    </row>
    <row r="14" spans="1:5" ht="15">
      <c r="A14" s="326" t="s">
        <v>399</v>
      </c>
      <c r="B14" s="332"/>
      <c r="C14" s="366">
        <f>IF(C15*0.1&lt;C13,"Exceed 10% Rule","")</f>
      </c>
      <c r="D14" s="366">
        <f>IF(D15*0.1&lt;D13,"Exceed 10% Rule","")</f>
      </c>
      <c r="E14" s="366">
        <f>IF(E15*0.1&lt;E13,"Exceed 10% Rule","")</f>
      </c>
    </row>
    <row r="15" spans="1:5" ht="15">
      <c r="A15" s="152" t="s">
        <v>107</v>
      </c>
      <c r="B15" s="332"/>
      <c r="C15" s="329">
        <f>SUM(C8:C13)</f>
        <v>0</v>
      </c>
      <c r="D15" s="268">
        <f>SUM(D8:D13)</f>
        <v>0</v>
      </c>
      <c r="E15" s="268">
        <f>SUM(E8:E13)</f>
        <v>0</v>
      </c>
    </row>
    <row r="16" spans="1:5" ht="15">
      <c r="A16" s="152" t="s">
        <v>108</v>
      </c>
      <c r="B16" s="332"/>
      <c r="C16" s="329">
        <f>C6+C15</f>
        <v>0</v>
      </c>
      <c r="D16" s="268">
        <f>D6+D15</f>
        <v>0</v>
      </c>
      <c r="E16" s="268">
        <f>E6+E15</f>
        <v>0</v>
      </c>
    </row>
    <row r="17" spans="1:5" ht="15">
      <c r="A17" s="37" t="s">
        <v>110</v>
      </c>
      <c r="B17" s="332"/>
      <c r="C17" s="118"/>
      <c r="D17" s="85"/>
      <c r="E17" s="85"/>
    </row>
    <row r="18" spans="1:5" ht="15">
      <c r="A18" s="316"/>
      <c r="B18" s="333"/>
      <c r="C18" s="328"/>
      <c r="D18" s="9"/>
      <c r="E18" s="9"/>
    </row>
    <row r="19" spans="1:5" ht="15">
      <c r="A19" s="316"/>
      <c r="B19" s="333"/>
      <c r="C19" s="328"/>
      <c r="D19" s="9"/>
      <c r="E19" s="9"/>
    </row>
    <row r="20" spans="1:5" ht="15">
      <c r="A20" s="316"/>
      <c r="B20" s="333"/>
      <c r="C20" s="328"/>
      <c r="D20" s="9"/>
      <c r="E20" s="9"/>
    </row>
    <row r="21" spans="1:5" ht="15">
      <c r="A21" s="316"/>
      <c r="B21" s="333"/>
      <c r="C21" s="328"/>
      <c r="D21" s="9"/>
      <c r="E21" s="9"/>
    </row>
    <row r="22" spans="1:5" ht="15">
      <c r="A22" s="316"/>
      <c r="B22" s="333"/>
      <c r="C22" s="328"/>
      <c r="D22" s="9"/>
      <c r="E22" s="9"/>
    </row>
    <row r="23" spans="1:5" ht="15">
      <c r="A23" s="316"/>
      <c r="B23" s="333"/>
      <c r="C23" s="328"/>
      <c r="D23" s="9"/>
      <c r="E23" s="9"/>
    </row>
    <row r="24" spans="1:5" ht="15">
      <c r="A24" s="316"/>
      <c r="B24" s="333"/>
      <c r="C24" s="328"/>
      <c r="D24" s="9"/>
      <c r="E24" s="9"/>
    </row>
    <row r="25" spans="1:5" ht="15">
      <c r="A25" s="316"/>
      <c r="B25" s="333"/>
      <c r="C25" s="328"/>
      <c r="D25" s="9"/>
      <c r="E25" s="9"/>
    </row>
    <row r="26" spans="1:5" ht="15">
      <c r="A26" s="334" t="s">
        <v>397</v>
      </c>
      <c r="B26" s="332"/>
      <c r="C26" s="328"/>
      <c r="D26" s="328"/>
      <c r="E26" s="328"/>
    </row>
    <row r="27" spans="1:5" ht="15">
      <c r="A27" s="334" t="s">
        <v>398</v>
      </c>
      <c r="B27" s="332"/>
      <c r="C27" s="366">
        <f>IF(C28*0.1&lt;C26,"Exceed 10% Rule","")</f>
      </c>
      <c r="D27" s="366">
        <f>IF(D28*0.1&lt;D26,"Exceed 10% Rule","")</f>
      </c>
      <c r="E27" s="366">
        <f>IF(E28*0.1&lt;E26,"Exceed 10% Rule","")</f>
      </c>
    </row>
    <row r="28" spans="1:5" ht="15">
      <c r="A28" s="152" t="s">
        <v>114</v>
      </c>
      <c r="B28" s="332"/>
      <c r="C28" s="329">
        <f>SUM(C18:C26)</f>
        <v>0</v>
      </c>
      <c r="D28" s="268">
        <f>SUM(D18:D26)</f>
        <v>0</v>
      </c>
      <c r="E28" s="268">
        <f>SUM(E18:E26)</f>
        <v>0</v>
      </c>
    </row>
    <row r="29" spans="1:5" ht="15">
      <c r="A29" s="37" t="s">
        <v>235</v>
      </c>
      <c r="B29" s="332"/>
      <c r="C29" s="330">
        <f>C16-C28</f>
        <v>0</v>
      </c>
      <c r="D29" s="267">
        <f>D16-D28</f>
        <v>0</v>
      </c>
      <c r="E29" s="267">
        <f>E16-E28</f>
        <v>0</v>
      </c>
    </row>
    <row r="30" spans="1:5" ht="15">
      <c r="A30" s="23" t="str">
        <f>CONCATENATE("",E1-2," Budget Authority Limited Amount:")</f>
        <v>2010 Budget Authority Limited Amount:</v>
      </c>
      <c r="B30" s="353" t="e">
        <f>inputOth!#REF!</f>
        <v>#REF!</v>
      </c>
      <c r="C30" s="65"/>
      <c r="D30" s="65"/>
      <c r="E30" s="65"/>
    </row>
    <row r="31" spans="1:5" ht="15">
      <c r="A31" s="23" t="str">
        <f>CONCATENATE("Violation of Budget Law for ",E1-2,":")</f>
        <v>Violation of Budget Law for 2010:</v>
      </c>
      <c r="B31" s="354" t="e">
        <f>IF(C28&gt;B30,"Yes","")</f>
        <v>#REF!</v>
      </c>
      <c r="C31" s="65"/>
      <c r="D31" s="65"/>
      <c r="E31" s="65"/>
    </row>
    <row r="32" spans="1:5" ht="15">
      <c r="A32" s="23" t="str">
        <f>CONCATENATE("Possible Cash Violation for ",E1-2,":")</f>
        <v>Possible Cash Violation for 2010:</v>
      </c>
      <c r="B32" s="354">
        <f>IF(C29&lt;0,"Yes","")</f>
      </c>
      <c r="C32" s="65"/>
      <c r="D32" s="65"/>
      <c r="E32" s="65"/>
    </row>
    <row r="33" spans="1:5" ht="15">
      <c r="A33" s="21"/>
      <c r="B33" s="21"/>
      <c r="C33" s="65"/>
      <c r="D33" s="65"/>
      <c r="E33" s="65"/>
    </row>
    <row r="34" spans="1:5" ht="15">
      <c r="A34" s="25" t="s">
        <v>100</v>
      </c>
      <c r="B34" s="25"/>
      <c r="C34" s="101"/>
      <c r="D34" s="101"/>
      <c r="E34" s="101"/>
    </row>
    <row r="35" spans="1:5" ht="15">
      <c r="A35" s="21"/>
      <c r="B35" s="21"/>
      <c r="C35" s="93" t="s">
        <v>124</v>
      </c>
      <c r="D35" s="33" t="s">
        <v>262</v>
      </c>
      <c r="E35" s="33" t="s">
        <v>263</v>
      </c>
    </row>
    <row r="36" spans="1:5" ht="15">
      <c r="A36" s="137">
        <f>inputPrYr!B28</f>
        <v>0</v>
      </c>
      <c r="B36" s="137"/>
      <c r="C36" s="146">
        <f>C5</f>
        <v>2010</v>
      </c>
      <c r="D36" s="146">
        <f>D5</f>
        <v>2011</v>
      </c>
      <c r="E36" s="146">
        <f>E5</f>
        <v>2012</v>
      </c>
    </row>
    <row r="37" spans="1:5" ht="15">
      <c r="A37" s="326" t="s">
        <v>234</v>
      </c>
      <c r="B37" s="332"/>
      <c r="C37" s="328"/>
      <c r="D37" s="85">
        <f>C60</f>
        <v>0</v>
      </c>
      <c r="E37" s="85">
        <f>D60</f>
        <v>0</v>
      </c>
    </row>
    <row r="38" spans="1:5" s="7" customFormat="1" ht="15">
      <c r="A38" s="331" t="s">
        <v>236</v>
      </c>
      <c r="B38" s="332"/>
      <c r="C38" s="320"/>
      <c r="D38" s="40"/>
      <c r="E38" s="40"/>
    </row>
    <row r="39" spans="1:5" ht="15">
      <c r="A39" s="316"/>
      <c r="B39" s="333"/>
      <c r="C39" s="328"/>
      <c r="D39" s="9"/>
      <c r="E39" s="9"/>
    </row>
    <row r="40" spans="1:5" ht="15">
      <c r="A40" s="316"/>
      <c r="B40" s="333"/>
      <c r="C40" s="328"/>
      <c r="D40" s="9"/>
      <c r="E40" s="9"/>
    </row>
    <row r="41" spans="1:5" ht="15">
      <c r="A41" s="316"/>
      <c r="B41" s="333"/>
      <c r="C41" s="328"/>
      <c r="D41" s="9"/>
      <c r="E41" s="9"/>
    </row>
    <row r="42" spans="1:5" ht="15">
      <c r="A42" s="316"/>
      <c r="B42" s="333"/>
      <c r="C42" s="328"/>
      <c r="D42" s="9"/>
      <c r="E42" s="9"/>
    </row>
    <row r="43" spans="1:5" ht="15">
      <c r="A43" s="327" t="s">
        <v>106</v>
      </c>
      <c r="B43" s="333"/>
      <c r="C43" s="328"/>
      <c r="D43" s="9"/>
      <c r="E43" s="9"/>
    </row>
    <row r="44" spans="1:5" ht="15">
      <c r="A44" s="336" t="s">
        <v>397</v>
      </c>
      <c r="B44" s="332"/>
      <c r="C44" s="328"/>
      <c r="D44" s="328"/>
      <c r="E44" s="328"/>
    </row>
    <row r="45" spans="1:5" ht="15">
      <c r="A45" s="326" t="s">
        <v>399</v>
      </c>
      <c r="B45" s="332"/>
      <c r="C45" s="366">
        <f>IF(C46*0.1&lt;C44,"Exceed 10% Rule","")</f>
      </c>
      <c r="D45" s="366">
        <f>IF(D46*0.1&lt;D44,"Exceed 10% Rule","")</f>
      </c>
      <c r="E45" s="366">
        <f>IF(E46*0.1&lt;E44,"Exceed 10% Rule","")</f>
      </c>
    </row>
    <row r="46" spans="1:5" ht="15">
      <c r="A46" s="152" t="s">
        <v>107</v>
      </c>
      <c r="B46" s="332"/>
      <c r="C46" s="329">
        <f>SUM(C39:C44)</f>
        <v>0</v>
      </c>
      <c r="D46" s="268">
        <f>SUM(D39:D44)</f>
        <v>0</v>
      </c>
      <c r="E46" s="268">
        <f>SUM(E39:E44)</f>
        <v>0</v>
      </c>
    </row>
    <row r="47" spans="1:5" ht="15">
      <c r="A47" s="152" t="s">
        <v>108</v>
      </c>
      <c r="B47" s="332"/>
      <c r="C47" s="329">
        <f>C37+C46</f>
        <v>0</v>
      </c>
      <c r="D47" s="268">
        <f>D37+D46</f>
        <v>0</v>
      </c>
      <c r="E47" s="268">
        <f>E37+E46</f>
        <v>0</v>
      </c>
    </row>
    <row r="48" spans="1:5" ht="15">
      <c r="A48" s="37" t="s">
        <v>110</v>
      </c>
      <c r="B48" s="332"/>
      <c r="C48" s="118"/>
      <c r="D48" s="85"/>
      <c r="E48" s="85"/>
    </row>
    <row r="49" spans="1:5" ht="15">
      <c r="A49" s="316"/>
      <c r="B49" s="333"/>
      <c r="C49" s="328"/>
      <c r="D49" s="9"/>
      <c r="E49" s="9"/>
    </row>
    <row r="50" spans="1:5" ht="15">
      <c r="A50" s="316"/>
      <c r="B50" s="333"/>
      <c r="C50" s="328"/>
      <c r="D50" s="9"/>
      <c r="E50" s="9"/>
    </row>
    <row r="51" spans="1:5" ht="15">
      <c r="A51" s="316"/>
      <c r="B51" s="333"/>
      <c r="C51" s="328"/>
      <c r="D51" s="9"/>
      <c r="E51" s="9"/>
    </row>
    <row r="52" spans="1:5" ht="15">
      <c r="A52" s="316"/>
      <c r="B52" s="333"/>
      <c r="C52" s="328"/>
      <c r="D52" s="9"/>
      <c r="E52" s="9"/>
    </row>
    <row r="53" spans="1:5" ht="15">
      <c r="A53" s="316"/>
      <c r="B53" s="333"/>
      <c r="C53" s="328"/>
      <c r="D53" s="9"/>
      <c r="E53" s="9"/>
    </row>
    <row r="54" spans="1:5" ht="15">
      <c r="A54" s="316"/>
      <c r="B54" s="333"/>
      <c r="C54" s="328"/>
      <c r="D54" s="9"/>
      <c r="E54" s="9"/>
    </row>
    <row r="55" spans="1:5" ht="15">
      <c r="A55" s="316"/>
      <c r="B55" s="333"/>
      <c r="C55" s="328"/>
      <c r="D55" s="9"/>
      <c r="E55" s="9"/>
    </row>
    <row r="56" spans="1:5" ht="15">
      <c r="A56" s="316"/>
      <c r="B56" s="333"/>
      <c r="C56" s="328"/>
      <c r="D56" s="9"/>
      <c r="E56" s="9"/>
    </row>
    <row r="57" spans="1:5" ht="15">
      <c r="A57" s="334" t="s">
        <v>397</v>
      </c>
      <c r="B57" s="332"/>
      <c r="C57" s="328"/>
      <c r="D57" s="328"/>
      <c r="E57" s="328"/>
    </row>
    <row r="58" spans="1:5" ht="15">
      <c r="A58" s="334" t="s">
        <v>398</v>
      </c>
      <c r="B58" s="332"/>
      <c r="C58" s="366">
        <f>IF(C59*0.1&lt;C57,"Exceed 10% Rule","")</f>
      </c>
      <c r="D58" s="366">
        <f>IF(D59*0.1&lt;D57,"Exceed 10% Rule","")</f>
      </c>
      <c r="E58" s="366">
        <f>IF(E59*0.1&lt;E57,"Exceed 10% Rule","")</f>
      </c>
    </row>
    <row r="59" spans="1:5" ht="15">
      <c r="A59" s="152" t="s">
        <v>114</v>
      </c>
      <c r="B59" s="332"/>
      <c r="C59" s="329">
        <f>SUM(C49:C57)</f>
        <v>0</v>
      </c>
      <c r="D59" s="268">
        <f>SUM(D49:D57)</f>
        <v>0</v>
      </c>
      <c r="E59" s="268">
        <f>SUM(E49:E57)</f>
        <v>0</v>
      </c>
    </row>
    <row r="60" spans="1:5" ht="15">
      <c r="A60" s="37" t="s">
        <v>235</v>
      </c>
      <c r="B60" s="332"/>
      <c r="C60" s="330">
        <f>C47-C59</f>
        <v>0</v>
      </c>
      <c r="D60" s="267">
        <f>D47-D59</f>
        <v>0</v>
      </c>
      <c r="E60" s="267">
        <f>E47-E59</f>
        <v>0</v>
      </c>
    </row>
    <row r="61" spans="1:5" ht="15">
      <c r="A61" s="23" t="str">
        <f>CONCATENATE("",E1-2," Budget Authority Limited Amount:")</f>
        <v>2010 Budget Authority Limited Amount:</v>
      </c>
      <c r="B61" s="353" t="e">
        <f>inputOth!#REF!</f>
        <v>#REF!</v>
      </c>
      <c r="C61" s="21"/>
      <c r="D61" s="21"/>
      <c r="E61" s="21"/>
    </row>
    <row r="62" spans="1:5" ht="15">
      <c r="A62" s="23" t="str">
        <f>CONCATENATE("Violation of Budget Law for ",E1-2,":")</f>
        <v>Violation of Budget Law for 2010:</v>
      </c>
      <c r="B62" s="354" t="e">
        <f>IF(C59&gt;B61,"Yes","")</f>
        <v>#REF!</v>
      </c>
      <c r="C62" s="21"/>
      <c r="D62" s="21"/>
      <c r="E62" s="21"/>
    </row>
    <row r="63" spans="1:5" ht="15">
      <c r="A63" s="23" t="str">
        <f>CONCATENATE("Possible Cash Violation for ",E1-2,":")</f>
        <v>Possible Cash Violation for 2010:</v>
      </c>
      <c r="B63" s="354">
        <f>IF(C60&lt;0,"Yes","")</f>
      </c>
      <c r="C63" s="21"/>
      <c r="D63" s="21"/>
      <c r="E63" s="21"/>
    </row>
    <row r="64" spans="1:5" ht="15">
      <c r="A64" s="21"/>
      <c r="B64" s="21"/>
      <c r="C64" s="21"/>
      <c r="D64" s="21"/>
      <c r="E64" s="21"/>
    </row>
    <row r="65" spans="1:5" ht="15">
      <c r="A65" s="24"/>
      <c r="B65" s="24" t="s">
        <v>118</v>
      </c>
      <c r="C65" s="16"/>
      <c r="D65" s="21"/>
      <c r="E65" s="21"/>
    </row>
  </sheetData>
  <sheetProtection sheet="1" objects="1" scenarios="1"/>
  <conditionalFormatting sqref="C13">
    <cfRule type="cellIs" priority="1" dxfId="138" operator="greaterThan" stopIfTrue="1">
      <formula>$C$15*0.1</formula>
    </cfRule>
  </conditionalFormatting>
  <conditionalFormatting sqref="D13">
    <cfRule type="cellIs" priority="2" dxfId="138" operator="greaterThan" stopIfTrue="1">
      <formula>$D$15*0.1</formula>
    </cfRule>
  </conditionalFormatting>
  <conditionalFormatting sqref="E13">
    <cfRule type="cellIs" priority="3" dxfId="138" operator="greaterThan" stopIfTrue="1">
      <formula>$E$15*0.1</formula>
    </cfRule>
  </conditionalFormatting>
  <conditionalFormatting sqref="C26">
    <cfRule type="cellIs" priority="4" dxfId="138" operator="greaterThan" stopIfTrue="1">
      <formula>$C$28*0.1</formula>
    </cfRule>
  </conditionalFormatting>
  <conditionalFormatting sqref="D26">
    <cfRule type="cellIs" priority="5" dxfId="138" operator="greaterThan" stopIfTrue="1">
      <formula>$D$28*0.1</formula>
    </cfRule>
  </conditionalFormatting>
  <conditionalFormatting sqref="E26">
    <cfRule type="cellIs" priority="6" dxfId="138" operator="greaterThan" stopIfTrue="1">
      <formula>$E$28*0.1</formula>
    </cfRule>
  </conditionalFormatting>
  <conditionalFormatting sqref="C44">
    <cfRule type="cellIs" priority="7" dxfId="138" operator="greaterThan" stopIfTrue="1">
      <formula>$C$46*0.1</formula>
    </cfRule>
  </conditionalFormatting>
  <conditionalFormatting sqref="D44">
    <cfRule type="cellIs" priority="8" dxfId="138" operator="greaterThan" stopIfTrue="1">
      <formula>$D$46*0.1</formula>
    </cfRule>
  </conditionalFormatting>
  <conditionalFormatting sqref="E44">
    <cfRule type="cellIs" priority="9" dxfId="138" operator="greaterThan" stopIfTrue="1">
      <formula>$E$46*0.1</formula>
    </cfRule>
  </conditionalFormatting>
  <conditionalFormatting sqref="C57">
    <cfRule type="cellIs" priority="10" dxfId="138" operator="greaterThan" stopIfTrue="1">
      <formula>$C$59*0.1</formula>
    </cfRule>
  </conditionalFormatting>
  <conditionalFormatting sqref="D57">
    <cfRule type="cellIs" priority="11" dxfId="138" operator="greaterThan" stopIfTrue="1">
      <formula>$D$59*0.1</formula>
    </cfRule>
  </conditionalFormatting>
  <conditionalFormatting sqref="E57">
    <cfRule type="cellIs" priority="12" dxfId="138" operator="greaterThan" stopIfTrue="1">
      <formula>$E$59*0.1</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oddFooter>&amp;Lrevised 8/06/07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9">
      <selection activeCell="A24" sqref="A24"/>
    </sheetView>
  </sheetViews>
  <sheetFormatPr defaultColWidth="8.796875" defaultRowHeight="15"/>
  <cols>
    <col min="1" max="1" width="27.69921875" style="0" customWidth="1"/>
    <col min="2" max="2" width="9.59765625" style="0" customWidth="1"/>
    <col min="3" max="5" width="15.69921875" style="0" customWidth="1"/>
  </cols>
  <sheetData>
    <row r="1" spans="1:5" ht="15">
      <c r="A1" s="72" t="str">
        <f>(inputPrYr!D2)</f>
        <v>CITY OF BLUE RAPIDS</v>
      </c>
      <c r="B1" s="72"/>
      <c r="C1" s="21"/>
      <c r="D1" s="21"/>
      <c r="E1" s="143">
        <f>inputPrYr!$C$5</f>
        <v>2012</v>
      </c>
    </row>
    <row r="2" spans="1:5" ht="15">
      <c r="A2" s="21"/>
      <c r="B2" s="21"/>
      <c r="C2" s="21"/>
      <c r="D2" s="21"/>
      <c r="E2" s="24"/>
    </row>
    <row r="3" spans="1:5" ht="15">
      <c r="A3" s="90" t="s">
        <v>178</v>
      </c>
      <c r="B3" s="90"/>
      <c r="C3" s="197"/>
      <c r="D3" s="197"/>
      <c r="E3" s="198"/>
    </row>
    <row r="4" spans="1:5" ht="15">
      <c r="A4" s="25" t="s">
        <v>100</v>
      </c>
      <c r="B4" s="25"/>
      <c r="C4" s="93" t="s">
        <v>124</v>
      </c>
      <c r="D4" s="33" t="s">
        <v>262</v>
      </c>
      <c r="E4" s="33" t="s">
        <v>263</v>
      </c>
    </row>
    <row r="5" spans="1:5" ht="15">
      <c r="A5" s="137" t="str">
        <f>(inputPrYr!B30)</f>
        <v>Housing Grant Fund</v>
      </c>
      <c r="B5" s="137"/>
      <c r="C5" s="147">
        <f>E1-2</f>
        <v>2010</v>
      </c>
      <c r="D5" s="147">
        <f>E1-1</f>
        <v>2011</v>
      </c>
      <c r="E5" s="147">
        <f>inputPrYr!$C$5</f>
        <v>2012</v>
      </c>
    </row>
    <row r="6" spans="1:5" ht="15">
      <c r="A6" s="37" t="s">
        <v>234</v>
      </c>
      <c r="B6" s="324"/>
      <c r="C6" s="328"/>
      <c r="D6" s="85">
        <f>C48</f>
        <v>0</v>
      </c>
      <c r="E6" s="85">
        <f>D48</f>
        <v>0</v>
      </c>
    </row>
    <row r="7" spans="1:5" ht="15">
      <c r="A7" s="323" t="s">
        <v>236</v>
      </c>
      <c r="B7" s="324"/>
      <c r="C7" s="320"/>
      <c r="D7" s="40"/>
      <c r="E7" s="40"/>
    </row>
    <row r="8" spans="1:5" ht="15">
      <c r="A8" s="316"/>
      <c r="B8" s="325"/>
      <c r="C8" s="319"/>
      <c r="D8" s="14"/>
      <c r="E8" s="14"/>
    </row>
    <row r="9" spans="1:5" ht="15">
      <c r="A9" s="316"/>
      <c r="B9" s="325"/>
      <c r="C9" s="319"/>
      <c r="D9" s="14"/>
      <c r="E9" s="14"/>
    </row>
    <row r="10" spans="1:5" ht="15">
      <c r="A10" s="316"/>
      <c r="B10" s="325"/>
      <c r="C10" s="319"/>
      <c r="D10" s="14"/>
      <c r="E10" s="14"/>
    </row>
    <row r="11" spans="1:5" ht="15">
      <c r="A11" s="316"/>
      <c r="B11" s="325"/>
      <c r="C11" s="319"/>
      <c r="D11" s="14"/>
      <c r="E11" s="14"/>
    </row>
    <row r="12" spans="1:5" ht="15">
      <c r="A12" s="316"/>
      <c r="B12" s="325"/>
      <c r="C12" s="319"/>
      <c r="D12" s="14"/>
      <c r="E12" s="14"/>
    </row>
    <row r="13" spans="1:5" ht="15">
      <c r="A13" s="316"/>
      <c r="B13" s="325"/>
      <c r="C13" s="319"/>
      <c r="D13" s="14"/>
      <c r="E13" s="14"/>
    </row>
    <row r="14" spans="1:5" ht="15">
      <c r="A14" s="317"/>
      <c r="B14" s="325"/>
      <c r="C14" s="321"/>
      <c r="D14" s="18"/>
      <c r="E14" s="18"/>
    </row>
    <row r="15" spans="1:5" ht="15">
      <c r="A15" s="316"/>
      <c r="B15" s="325"/>
      <c r="C15" s="319"/>
      <c r="D15" s="14"/>
      <c r="E15" s="14"/>
    </row>
    <row r="16" spans="1:5" ht="15">
      <c r="A16" s="318" t="s">
        <v>106</v>
      </c>
      <c r="B16" s="325"/>
      <c r="C16" s="319"/>
      <c r="D16" s="14"/>
      <c r="E16" s="14"/>
    </row>
    <row r="17" spans="1:5" ht="15">
      <c r="A17" s="336" t="s">
        <v>397</v>
      </c>
      <c r="B17" s="332"/>
      <c r="C17" s="319"/>
      <c r="D17" s="319"/>
      <c r="E17" s="319"/>
    </row>
    <row r="18" spans="1:5" ht="15">
      <c r="A18" s="326" t="s">
        <v>399</v>
      </c>
      <c r="B18" s="332"/>
      <c r="C18" s="366">
        <f>IF(C19*0.1&lt;C17,"Exceed 10% Rule","")</f>
      </c>
      <c r="D18" s="366">
        <f>IF(D19*0.1&lt;D17,"Exceed 10% Rule","")</f>
      </c>
      <c r="E18" s="366">
        <f>IF(E19*0.1&lt;E17,"Exceed 10% Rule","")</f>
      </c>
    </row>
    <row r="19" spans="1:5" ht="15">
      <c r="A19" s="152" t="s">
        <v>107</v>
      </c>
      <c r="B19" s="324"/>
      <c r="C19" s="322">
        <f>SUM(C8:C17)</f>
        <v>0</v>
      </c>
      <c r="D19" s="265">
        <f>SUM(D8:D17)</f>
        <v>0</v>
      </c>
      <c r="E19" s="265">
        <f>SUM(E8:E17)</f>
        <v>0</v>
      </c>
    </row>
    <row r="20" spans="1:5" ht="15">
      <c r="A20" s="152" t="s">
        <v>108</v>
      </c>
      <c r="B20" s="324"/>
      <c r="C20" s="329">
        <f>C6+C19</f>
        <v>0</v>
      </c>
      <c r="D20" s="268">
        <f>D6+D19</f>
        <v>0</v>
      </c>
      <c r="E20" s="268">
        <f>E6+E19</f>
        <v>0</v>
      </c>
    </row>
    <row r="21" spans="1:5" ht="15">
      <c r="A21" s="37" t="s">
        <v>110</v>
      </c>
      <c r="B21" s="324"/>
      <c r="C21" s="320"/>
      <c r="D21" s="40"/>
      <c r="E21" s="40"/>
    </row>
    <row r="22" spans="1:5" ht="15">
      <c r="A22" s="316" t="s">
        <v>292</v>
      </c>
      <c r="B22" s="325"/>
      <c r="C22" s="319"/>
      <c r="D22" s="14"/>
      <c r="E22" s="14"/>
    </row>
    <row r="23" spans="1:5" ht="15">
      <c r="A23" s="316" t="s">
        <v>430</v>
      </c>
      <c r="B23" s="325"/>
      <c r="C23" s="319"/>
      <c r="D23" s="14"/>
      <c r="E23" s="14"/>
    </row>
    <row r="24" spans="1:5" ht="15">
      <c r="A24" s="316"/>
      <c r="B24" s="325"/>
      <c r="C24" s="321"/>
      <c r="D24" s="18"/>
      <c r="E24" s="18"/>
    </row>
    <row r="25" spans="1:5" ht="15">
      <c r="A25" s="316"/>
      <c r="B25" s="325"/>
      <c r="C25" s="321"/>
      <c r="D25" s="18"/>
      <c r="E25" s="18"/>
    </row>
    <row r="26" spans="1:5" ht="15">
      <c r="A26" s="316"/>
      <c r="B26" s="325"/>
      <c r="C26" s="321"/>
      <c r="D26" s="18"/>
      <c r="E26" s="18"/>
    </row>
    <row r="27" spans="1:5" ht="15">
      <c r="A27" s="316"/>
      <c r="B27" s="325"/>
      <c r="C27" s="321"/>
      <c r="D27" s="18"/>
      <c r="E27" s="18"/>
    </row>
    <row r="28" spans="1:5" ht="15">
      <c r="A28" s="316"/>
      <c r="B28" s="325"/>
      <c r="C28" s="321"/>
      <c r="D28" s="18"/>
      <c r="E28" s="18"/>
    </row>
    <row r="29" spans="1:5" ht="15">
      <c r="A29" s="316"/>
      <c r="B29" s="325"/>
      <c r="C29" s="321"/>
      <c r="D29" s="18"/>
      <c r="E29" s="18"/>
    </row>
    <row r="30" spans="1:5" ht="15">
      <c r="A30" s="316"/>
      <c r="B30" s="325"/>
      <c r="C30" s="321"/>
      <c r="D30" s="18"/>
      <c r="E30" s="18"/>
    </row>
    <row r="31" spans="1:5" ht="15">
      <c r="A31" s="316"/>
      <c r="B31" s="325"/>
      <c r="C31" s="321"/>
      <c r="D31" s="18"/>
      <c r="E31" s="18"/>
    </row>
    <row r="32" spans="1:5" ht="15">
      <c r="A32" s="316"/>
      <c r="B32" s="325"/>
      <c r="C32" s="321"/>
      <c r="D32" s="18"/>
      <c r="E32" s="18"/>
    </row>
    <row r="33" spans="1:5" ht="15">
      <c r="A33" s="316"/>
      <c r="B33" s="325"/>
      <c r="C33" s="321"/>
      <c r="D33" s="18"/>
      <c r="E33" s="18"/>
    </row>
    <row r="34" spans="1:5" ht="15">
      <c r="A34" s="316"/>
      <c r="B34" s="325"/>
      <c r="C34" s="321"/>
      <c r="D34" s="18"/>
      <c r="E34" s="18"/>
    </row>
    <row r="35" spans="1:5" ht="15">
      <c r="A35" s="316"/>
      <c r="B35" s="325"/>
      <c r="C35" s="319"/>
      <c r="D35" s="14"/>
      <c r="E35" s="14"/>
    </row>
    <row r="36" spans="1:5" ht="15">
      <c r="A36" s="316"/>
      <c r="B36" s="325"/>
      <c r="C36" s="319"/>
      <c r="D36" s="14"/>
      <c r="E36" s="14"/>
    </row>
    <row r="37" spans="1:5" ht="15">
      <c r="A37" s="316"/>
      <c r="B37" s="325"/>
      <c r="C37" s="319"/>
      <c r="D37" s="14"/>
      <c r="E37" s="14"/>
    </row>
    <row r="38" spans="1:5" ht="15">
      <c r="A38" s="316"/>
      <c r="B38" s="325"/>
      <c r="C38" s="319"/>
      <c r="D38" s="14"/>
      <c r="E38" s="14"/>
    </row>
    <row r="39" spans="1:5" ht="15">
      <c r="A39" s="316"/>
      <c r="B39" s="325"/>
      <c r="C39" s="319"/>
      <c r="D39" s="14"/>
      <c r="E39" s="14"/>
    </row>
    <row r="40" spans="1:5" ht="15">
      <c r="A40" s="316"/>
      <c r="B40" s="325"/>
      <c r="C40" s="319"/>
      <c r="D40" s="14"/>
      <c r="E40" s="14"/>
    </row>
    <row r="41" spans="1:5" ht="15">
      <c r="A41" s="316"/>
      <c r="B41" s="325"/>
      <c r="C41" s="319"/>
      <c r="D41" s="14"/>
      <c r="E41" s="14"/>
    </row>
    <row r="42" spans="1:5" ht="15">
      <c r="A42" s="316"/>
      <c r="B42" s="325"/>
      <c r="C42" s="319"/>
      <c r="D42" s="14"/>
      <c r="E42" s="14"/>
    </row>
    <row r="43" spans="1:5" ht="15">
      <c r="A43" s="316"/>
      <c r="B43" s="325"/>
      <c r="C43" s="319"/>
      <c r="D43" s="14"/>
      <c r="E43" s="14"/>
    </row>
    <row r="44" spans="1:5" ht="15">
      <c r="A44" s="316"/>
      <c r="B44" s="333"/>
      <c r="C44" s="319"/>
      <c r="D44" s="14"/>
      <c r="E44" s="14"/>
    </row>
    <row r="45" spans="1:5" ht="15">
      <c r="A45" s="334" t="s">
        <v>397</v>
      </c>
      <c r="B45" s="332"/>
      <c r="C45" s="319"/>
      <c r="D45" s="319"/>
      <c r="E45" s="319"/>
    </row>
    <row r="46" spans="1:5" ht="15">
      <c r="A46" s="334" t="s">
        <v>398</v>
      </c>
      <c r="B46" s="332"/>
      <c r="C46" s="366">
        <f>IF(C47*0.1&lt;C45,"Exceed 10% Rule","")</f>
      </c>
      <c r="D46" s="366">
        <f>IF(D47*0.1&lt;D45,"Exceed 10% Rule","")</f>
      </c>
      <c r="E46" s="366">
        <f>IF(E47*0.1&lt;E45,"Exceed 10% Rule","")</f>
      </c>
    </row>
    <row r="47" spans="1:5" ht="15">
      <c r="A47" s="152" t="s">
        <v>114</v>
      </c>
      <c r="B47" s="324"/>
      <c r="C47" s="322">
        <f>SUM(C22:C45)</f>
        <v>0</v>
      </c>
      <c r="D47" s="265">
        <f>SUM(D22:D45)</f>
        <v>0</v>
      </c>
      <c r="E47" s="265">
        <f>SUM(E22:E45)</f>
        <v>0</v>
      </c>
    </row>
    <row r="48" spans="1:5" ht="15">
      <c r="A48" s="37" t="s">
        <v>235</v>
      </c>
      <c r="B48" s="324"/>
      <c r="C48" s="330">
        <f>C20-C47</f>
        <v>0</v>
      </c>
      <c r="D48" s="267">
        <f>D20-D47</f>
        <v>0</v>
      </c>
      <c r="E48" s="267">
        <f>E20-E47</f>
        <v>0</v>
      </c>
    </row>
    <row r="49" spans="1:5" ht="15">
      <c r="A49" s="23" t="str">
        <f>CONCATENATE("",E1-2," Budget Authority Limited Amount:")</f>
        <v>2010 Budget Authority Limited Amount:</v>
      </c>
      <c r="B49" s="353" t="e">
        <f>inputOth!#REF!</f>
        <v>#REF!</v>
      </c>
      <c r="C49" s="169"/>
      <c r="D49" s="169"/>
      <c r="E49" s="169"/>
    </row>
    <row r="50" spans="1:5" ht="15">
      <c r="A50" s="23" t="str">
        <f>CONCATENATE("Violation of Budget Law for ",E1-2,":")</f>
        <v>Violation of Budget Law for 2010:</v>
      </c>
      <c r="B50" s="354" t="e">
        <f>IF(C47&gt;B49,"Yes","")</f>
        <v>#REF!</v>
      </c>
      <c r="C50" s="169"/>
      <c r="D50" s="169"/>
      <c r="E50" s="169"/>
    </row>
    <row r="51" spans="1:5" ht="15">
      <c r="A51" s="23" t="str">
        <f>CONCATENATE("Possible Cash Violation for ",E1-2,":")</f>
        <v>Possible Cash Violation for 2010:</v>
      </c>
      <c r="B51" s="354">
        <f>IF(C48&lt;0,"Yes","")</f>
      </c>
      <c r="C51" s="169"/>
      <c r="D51" s="169"/>
      <c r="E51" s="169"/>
    </row>
    <row r="52" spans="1:5" ht="15">
      <c r="A52" s="169"/>
      <c r="B52" s="169"/>
      <c r="C52" s="169"/>
      <c r="D52" s="169"/>
      <c r="E52" s="169"/>
    </row>
    <row r="53" spans="1:5" ht="15">
      <c r="A53" s="24"/>
      <c r="B53" s="24" t="s">
        <v>118</v>
      </c>
      <c r="C53" s="314"/>
      <c r="D53" s="169"/>
      <c r="E53" s="169"/>
    </row>
  </sheetData>
  <sheetProtection sheet="1" objects="1" scenarios="1"/>
  <conditionalFormatting sqref="C17">
    <cfRule type="cellIs" priority="1" dxfId="138" operator="greaterThan" stopIfTrue="1">
      <formula>$C$19*0.1</formula>
    </cfRule>
  </conditionalFormatting>
  <conditionalFormatting sqref="D17">
    <cfRule type="cellIs" priority="2" dxfId="138" operator="greaterThan" stopIfTrue="1">
      <formula>$D$19*0.1</formula>
    </cfRule>
  </conditionalFormatting>
  <conditionalFormatting sqref="E17">
    <cfRule type="cellIs" priority="3" dxfId="138" operator="greaterThan" stopIfTrue="1">
      <formula>$E$19*0.1</formula>
    </cfRule>
  </conditionalFormatting>
  <conditionalFormatting sqref="C45">
    <cfRule type="cellIs" priority="4" dxfId="138" operator="greaterThan" stopIfTrue="1">
      <formula>$C$47*0.1</formula>
    </cfRule>
  </conditionalFormatting>
  <conditionalFormatting sqref="D45">
    <cfRule type="cellIs" priority="5" dxfId="138" operator="greaterThan" stopIfTrue="1">
      <formula>$D$47*0.1</formula>
    </cfRule>
  </conditionalFormatting>
  <conditionalFormatting sqref="E45">
    <cfRule type="cellIs" priority="6" dxfId="138" operator="greaterThan" stopIfTrue="1">
      <formula>$E$47*0.1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oddFooter>&amp;Lrevised 8/06/07</oddFooter>
  </headerFooter>
</worksheet>
</file>

<file path=xl/worksheets/sheet25.xml><?xml version="1.0" encoding="utf-8"?>
<worksheet xmlns="http://schemas.openxmlformats.org/spreadsheetml/2006/main" xmlns:r="http://schemas.openxmlformats.org/officeDocument/2006/relationships">
  <dimension ref="A1:N40"/>
  <sheetViews>
    <sheetView zoomScalePageLayoutView="0" workbookViewId="0" topLeftCell="A16">
      <selection activeCell="A4" sqref="A4:G5"/>
    </sheetView>
  </sheetViews>
  <sheetFormatPr defaultColWidth="8.8984375" defaultRowHeight="15"/>
  <cols>
    <col min="1" max="16384" width="8.8984375" style="2" customWidth="1"/>
  </cols>
  <sheetData>
    <row r="1" spans="1:7" ht="16.5" customHeight="1">
      <c r="A1" s="475" t="s">
        <v>245</v>
      </c>
      <c r="B1" s="475"/>
      <c r="C1" s="475"/>
      <c r="D1" s="475"/>
      <c r="E1" s="475"/>
      <c r="F1" s="475"/>
      <c r="G1" s="475"/>
    </row>
    <row r="2" spans="1:7" ht="16.5" customHeight="1">
      <c r="A2" s="475"/>
      <c r="B2" s="475"/>
      <c r="C2" s="475"/>
      <c r="D2" s="475"/>
      <c r="E2" s="475"/>
      <c r="F2" s="475"/>
      <c r="G2" s="475"/>
    </row>
    <row r="3" spans="1:7" ht="16.5" customHeight="1">
      <c r="A3" s="476"/>
      <c r="B3" s="476"/>
      <c r="C3" s="476"/>
      <c r="D3" s="476"/>
      <c r="E3" s="476"/>
      <c r="F3" s="476"/>
      <c r="G3" s="476"/>
    </row>
    <row r="4" spans="1:7" ht="16.5" customHeight="1">
      <c r="A4" s="477" t="str">
        <f>CONCATENATE("AN ORDINANCE ATTESTING TO AN INCREASE IN TAX REVENUES FOR BUDGET YEAR ",inputPrYr!C5," FOR THE ",(inputPrYr!$D$2))</f>
        <v>AN ORDINANCE ATTESTING TO AN INCREASE IN TAX REVENUES FOR BUDGET YEAR 2012 FOR THE CITY OF BLUE RAPIDS</v>
      </c>
      <c r="B4" s="477"/>
      <c r="C4" s="477"/>
      <c r="D4" s="477"/>
      <c r="E4" s="477"/>
      <c r="F4" s="477"/>
      <c r="G4" s="477"/>
    </row>
    <row r="5" spans="1:7" ht="16.5" customHeight="1">
      <c r="A5" s="477"/>
      <c r="B5" s="477"/>
      <c r="C5" s="477"/>
      <c r="D5" s="477"/>
      <c r="E5" s="477"/>
      <c r="F5" s="477"/>
      <c r="G5" s="477"/>
    </row>
    <row r="6" spans="1:7" ht="16.5" customHeight="1">
      <c r="A6" s="475"/>
      <c r="B6" s="475"/>
      <c r="C6" s="475"/>
      <c r="D6" s="475"/>
      <c r="E6" s="475"/>
      <c r="F6" s="475"/>
      <c r="G6" s="475"/>
    </row>
    <row r="7" spans="1:14" ht="16.5" customHeight="1">
      <c r="A7" s="477" t="str">
        <f>CONCATENATE("WHEREAS, the ",(inputPrYr!$D$2)," must continue to provide services to protect the health, safety, and welfare of the citizens of this community; and")</f>
        <v>WHEREAS, the CITY OF BLUE RAPIDS must continue to provide services to protect the health, safety, and welfare of the citizens of this community; and</v>
      </c>
      <c r="B7" s="477"/>
      <c r="C7" s="477"/>
      <c r="D7" s="477"/>
      <c r="E7" s="477"/>
      <c r="F7" s="477"/>
      <c r="G7" s="477"/>
      <c r="H7" s="235"/>
      <c r="I7" s="235"/>
      <c r="J7" s="235"/>
      <c r="K7" s="235"/>
      <c r="L7" s="235"/>
      <c r="M7" s="235"/>
      <c r="N7" s="235"/>
    </row>
    <row r="8" spans="1:14" ht="16.5" customHeight="1">
      <c r="A8" s="477"/>
      <c r="B8" s="477"/>
      <c r="C8" s="477"/>
      <c r="D8" s="477"/>
      <c r="E8" s="477"/>
      <c r="F8" s="477"/>
      <c r="G8" s="477"/>
      <c r="H8" s="235"/>
      <c r="I8" s="235"/>
      <c r="J8" s="235"/>
      <c r="K8" s="235"/>
      <c r="L8" s="235"/>
      <c r="M8" s="235"/>
      <c r="N8" s="235"/>
    </row>
    <row r="9" spans="1:7" ht="16.5" customHeight="1">
      <c r="A9" s="236"/>
      <c r="B9" s="236"/>
      <c r="C9" s="236"/>
      <c r="D9" s="236"/>
      <c r="E9" s="236"/>
      <c r="F9" s="236"/>
      <c r="G9" s="236"/>
    </row>
    <row r="10" spans="1:7" ht="16.5" customHeight="1">
      <c r="A10" s="477" t="s">
        <v>246</v>
      </c>
      <c r="B10" s="477"/>
      <c r="C10" s="477"/>
      <c r="D10" s="477"/>
      <c r="E10" s="477"/>
      <c r="F10" s="477"/>
      <c r="G10" s="477"/>
    </row>
    <row r="11" spans="1:7" ht="16.5" customHeight="1">
      <c r="A11" s="477"/>
      <c r="B11" s="477"/>
      <c r="C11" s="477"/>
      <c r="D11" s="477"/>
      <c r="E11" s="477"/>
      <c r="F11" s="477"/>
      <c r="G11" s="477"/>
    </row>
    <row r="12" spans="1:7" ht="16.5" customHeight="1">
      <c r="A12" s="236"/>
      <c r="B12" s="236"/>
      <c r="C12" s="236"/>
      <c r="D12" s="236"/>
      <c r="E12" s="236"/>
      <c r="F12" s="236"/>
      <c r="G12" s="236"/>
    </row>
    <row r="13" spans="1:14" ht="16.5" customHeight="1">
      <c r="A13" s="477" t="str">
        <f>CONCATENATE("NOW THEREFORE, be it ordained by the Governing Body of the ",(inputPrYr!$D$2),":")</f>
        <v>NOW THEREFORE, be it ordained by the Governing Body of the CITY OF BLUE RAPIDS:</v>
      </c>
      <c r="B13" s="477"/>
      <c r="C13" s="477"/>
      <c r="D13" s="477"/>
      <c r="E13" s="477"/>
      <c r="F13" s="477"/>
      <c r="G13" s="477"/>
      <c r="H13" s="235"/>
      <c r="I13" s="235"/>
      <c r="J13" s="235"/>
      <c r="K13" s="235"/>
      <c r="L13" s="235"/>
      <c r="M13" s="235"/>
      <c r="N13" s="235"/>
    </row>
    <row r="14" spans="1:14" ht="16.5" customHeight="1">
      <c r="A14" s="477"/>
      <c r="B14" s="477"/>
      <c r="C14" s="477"/>
      <c r="D14" s="477"/>
      <c r="E14" s="477"/>
      <c r="F14" s="477"/>
      <c r="G14" s="477"/>
      <c r="H14" s="235"/>
      <c r="I14" s="235"/>
      <c r="J14" s="235"/>
      <c r="K14" s="235"/>
      <c r="L14" s="235"/>
      <c r="M14" s="235"/>
      <c r="N14" s="235"/>
    </row>
    <row r="15" spans="1:14" ht="16.5" customHeight="1">
      <c r="A15" s="47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BLUE RAPIDS  has scheduled a public hearing and has prepared the proposed budget necessary to fund city services from January 1, 2012 until December 31, 2012.</v>
      </c>
      <c r="B15" s="477"/>
      <c r="C15" s="477"/>
      <c r="D15" s="477"/>
      <c r="E15" s="477"/>
      <c r="F15" s="477"/>
      <c r="G15" s="477"/>
      <c r="H15" s="235"/>
      <c r="I15" s="235"/>
      <c r="J15" s="235"/>
      <c r="K15" s="235"/>
      <c r="L15" s="235"/>
      <c r="M15" s="235"/>
      <c r="N15" s="235"/>
    </row>
    <row r="16" spans="1:14" ht="16.5" customHeight="1">
      <c r="A16" s="477"/>
      <c r="B16" s="477"/>
      <c r="C16" s="477"/>
      <c r="D16" s="477"/>
      <c r="E16" s="477"/>
      <c r="F16" s="477"/>
      <c r="G16" s="477"/>
      <c r="H16" s="235"/>
      <c r="I16" s="235"/>
      <c r="J16" s="235"/>
      <c r="K16" s="235"/>
      <c r="L16" s="235"/>
      <c r="M16" s="235"/>
      <c r="N16" s="235"/>
    </row>
    <row r="17" spans="1:14" ht="16.5" customHeight="1">
      <c r="A17" s="477"/>
      <c r="B17" s="477"/>
      <c r="C17" s="477"/>
      <c r="D17" s="477"/>
      <c r="E17" s="477"/>
      <c r="F17" s="477"/>
      <c r="G17" s="477"/>
      <c r="H17" s="235"/>
      <c r="I17" s="235"/>
      <c r="J17" s="235"/>
      <c r="K17" s="235"/>
      <c r="L17" s="235"/>
      <c r="M17" s="235"/>
      <c r="N17" s="235"/>
    </row>
    <row r="18" spans="1:7" ht="16.5" customHeight="1">
      <c r="A18" s="235"/>
      <c r="B18" s="235"/>
      <c r="C18" s="235"/>
      <c r="D18" s="235"/>
      <c r="E18" s="235"/>
      <c r="F18" s="235"/>
      <c r="G18" s="235"/>
    </row>
    <row r="19" spans="1:7" ht="16.5" customHeight="1">
      <c r="A19" s="479" t="s">
        <v>322</v>
      </c>
      <c r="B19" s="479"/>
      <c r="C19" s="479"/>
      <c r="D19" s="479"/>
      <c r="E19" s="479"/>
      <c r="F19" s="479"/>
      <c r="G19" s="479"/>
    </row>
    <row r="20" spans="1:7" ht="16.5" customHeight="1">
      <c r="A20" s="479" t="s">
        <v>323</v>
      </c>
      <c r="B20" s="479"/>
      <c r="C20" s="479"/>
      <c r="D20" s="479"/>
      <c r="E20" s="479"/>
      <c r="F20" s="479"/>
      <c r="G20" s="479"/>
    </row>
    <row r="21" spans="1:7" ht="16.5" customHeight="1">
      <c r="A21" s="479" t="str">
        <f>CONCATENATE("necessary to budget property tax revenues in an amount exceeding the levy in the ",inputPrYr!C5-1,"")</f>
        <v>necessary to budget property tax revenues in an amount exceeding the levy in the 2011</v>
      </c>
      <c r="B21" s="479"/>
      <c r="C21" s="479"/>
      <c r="D21" s="479"/>
      <c r="E21" s="479"/>
      <c r="F21" s="479"/>
      <c r="G21" s="479"/>
    </row>
    <row r="22" spans="1:7" ht="16.5" customHeight="1">
      <c r="A22" s="237" t="s">
        <v>324</v>
      </c>
      <c r="B22" s="237"/>
      <c r="C22" s="237"/>
      <c r="D22" s="237"/>
      <c r="E22" s="237"/>
      <c r="F22" s="237"/>
      <c r="G22" s="237"/>
    </row>
    <row r="23" spans="1:7" ht="16.5" customHeight="1">
      <c r="A23" s="235"/>
      <c r="B23" s="235"/>
      <c r="C23" s="235"/>
      <c r="D23" s="235"/>
      <c r="E23" s="235"/>
      <c r="F23" s="235"/>
      <c r="G23" s="235"/>
    </row>
    <row r="24" spans="1:7" ht="16.5" customHeight="1">
      <c r="A24" s="477" t="s">
        <v>247</v>
      </c>
      <c r="B24" s="477"/>
      <c r="C24" s="477"/>
      <c r="D24" s="477"/>
      <c r="E24" s="477"/>
      <c r="F24" s="477"/>
      <c r="G24" s="477"/>
    </row>
    <row r="25" spans="1:7" ht="16.5" customHeight="1">
      <c r="A25" s="477"/>
      <c r="B25" s="477"/>
      <c r="C25" s="477"/>
      <c r="D25" s="477"/>
      <c r="E25" s="477"/>
      <c r="F25" s="477"/>
      <c r="G25" s="477"/>
    </row>
    <row r="26" spans="1:7" ht="16.5" customHeight="1">
      <c r="A26" s="235"/>
      <c r="B26" s="235"/>
      <c r="C26" s="235"/>
      <c r="D26" s="235"/>
      <c r="E26" s="235"/>
      <c r="F26" s="235"/>
      <c r="G26" s="235"/>
    </row>
    <row r="27" spans="1:7" ht="16.5" customHeight="1">
      <c r="A27" s="477" t="str">
        <f>CONCATENATE("Passed and approved by the Governing Body on this ______ day of __________, ",inputPrYr!C5-1,".")</f>
        <v>Passed and approved by the Governing Body on this ______ day of __________, 2011.</v>
      </c>
      <c r="B27" s="477"/>
      <c r="C27" s="477"/>
      <c r="D27" s="477"/>
      <c r="E27" s="477"/>
      <c r="F27" s="477"/>
      <c r="G27" s="477"/>
    </row>
    <row r="28" spans="1:7" ht="16.5" customHeight="1">
      <c r="A28" s="477"/>
      <c r="B28" s="477"/>
      <c r="C28" s="477"/>
      <c r="D28" s="477"/>
      <c r="E28" s="477"/>
      <c r="F28" s="477"/>
      <c r="G28" s="477"/>
    </row>
    <row r="29" ht="16.5" customHeight="1"/>
    <row r="30" spans="1:7" ht="16.5" customHeight="1">
      <c r="A30" s="478" t="s">
        <v>248</v>
      </c>
      <c r="B30" s="478"/>
      <c r="C30" s="478"/>
      <c r="D30" s="478"/>
      <c r="E30" s="478"/>
      <c r="F30" s="478"/>
      <c r="G30" s="478"/>
    </row>
    <row r="31" spans="1:7" ht="16.5" customHeight="1">
      <c r="A31" s="478" t="s">
        <v>253</v>
      </c>
      <c r="B31" s="478"/>
      <c r="C31" s="478"/>
      <c r="D31" s="478"/>
      <c r="E31" s="478"/>
      <c r="F31" s="478"/>
      <c r="G31" s="478"/>
    </row>
    <row r="32" ht="16.5" customHeight="1">
      <c r="A32" s="2" t="s">
        <v>249</v>
      </c>
    </row>
    <row r="33" ht="16.5" customHeight="1">
      <c r="B33" s="2" t="s">
        <v>250</v>
      </c>
    </row>
    <row r="34" ht="16.5" customHeight="1"/>
    <row r="35" ht="16.5" customHeight="1"/>
    <row r="36" ht="16.5" customHeight="1">
      <c r="A36" s="2" t="s">
        <v>251</v>
      </c>
    </row>
    <row r="37" ht="16.5" customHeight="1"/>
    <row r="38" ht="16.5" customHeight="1"/>
    <row r="39" ht="16.5" customHeight="1"/>
    <row r="40" ht="16.5" customHeight="1">
      <c r="A40" s="2" t="s">
        <v>252</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dimension ref="A1:A42"/>
  <sheetViews>
    <sheetView zoomScalePageLayoutView="0" workbookViewId="0" topLeftCell="A1">
      <selection activeCell="A8" sqref="A8"/>
    </sheetView>
  </sheetViews>
  <sheetFormatPr defaultColWidth="8.8984375" defaultRowHeight="15"/>
  <cols>
    <col min="1" max="1" width="80.09765625" style="2" customWidth="1"/>
    <col min="2" max="16384" width="8.8984375" style="2" customWidth="1"/>
  </cols>
  <sheetData>
    <row r="1" ht="15">
      <c r="A1" s="379" t="s">
        <v>446</v>
      </c>
    </row>
    <row r="2" ht="15">
      <c r="A2" s="2" t="s">
        <v>447</v>
      </c>
    </row>
    <row r="3" ht="15">
      <c r="A3" s="2" t="s">
        <v>448</v>
      </c>
    </row>
    <row r="4" ht="30.75">
      <c r="A4" s="5" t="s">
        <v>449</v>
      </c>
    </row>
    <row r="5" ht="15">
      <c r="A5" s="2" t="s">
        <v>450</v>
      </c>
    </row>
    <row r="6" ht="15">
      <c r="A6" s="2" t="s">
        <v>451</v>
      </c>
    </row>
    <row r="7" ht="15">
      <c r="A7" s="2" t="s">
        <v>452</v>
      </c>
    </row>
    <row r="9" ht="18" customHeight="1">
      <c r="A9" s="379" t="s">
        <v>327</v>
      </c>
    </row>
    <row r="10" ht="48.75" customHeight="1">
      <c r="A10" s="5" t="s">
        <v>366</v>
      </c>
    </row>
    <row r="11" ht="15">
      <c r="A11" s="2" t="s">
        <v>328</v>
      </c>
    </row>
    <row r="12" ht="15">
      <c r="A12" s="2" t="s">
        <v>329</v>
      </c>
    </row>
    <row r="13" ht="15">
      <c r="A13" s="2" t="s">
        <v>367</v>
      </c>
    </row>
    <row r="14" ht="15">
      <c r="A14" s="2" t="s">
        <v>330</v>
      </c>
    </row>
    <row r="15" ht="15">
      <c r="A15" s="2" t="s">
        <v>331</v>
      </c>
    </row>
    <row r="16" ht="15">
      <c r="A16" s="2" t="s">
        <v>379</v>
      </c>
    </row>
    <row r="17" ht="15">
      <c r="A17" s="2" t="s">
        <v>332</v>
      </c>
    </row>
    <row r="18" ht="15">
      <c r="A18" s="2" t="s">
        <v>333</v>
      </c>
    </row>
    <row r="19" ht="30.75">
      <c r="A19" s="5" t="s">
        <v>334</v>
      </c>
    </row>
    <row r="20" ht="30.75">
      <c r="A20" s="5" t="s">
        <v>408</v>
      </c>
    </row>
    <row r="21" ht="15">
      <c r="A21" s="2" t="s">
        <v>335</v>
      </c>
    </row>
    <row r="22" ht="15">
      <c r="A22" s="2" t="s">
        <v>336</v>
      </c>
    </row>
    <row r="23" ht="15">
      <c r="A23" s="2" t="s">
        <v>368</v>
      </c>
    </row>
    <row r="24" ht="15">
      <c r="A24" s="2" t="s">
        <v>337</v>
      </c>
    </row>
    <row r="25" ht="15">
      <c r="A25" s="2" t="s">
        <v>369</v>
      </c>
    </row>
    <row r="26" ht="30.75">
      <c r="A26" s="5" t="s">
        <v>370</v>
      </c>
    </row>
    <row r="27" ht="15">
      <c r="A27" s="2" t="s">
        <v>351</v>
      </c>
    </row>
    <row r="28" ht="15">
      <c r="A28" s="2" t="s">
        <v>352</v>
      </c>
    </row>
    <row r="29" ht="30.75">
      <c r="A29" s="5" t="s">
        <v>353</v>
      </c>
    </row>
    <row r="30" ht="15">
      <c r="A30" s="2" t="s">
        <v>432</v>
      </c>
    </row>
    <row r="31" ht="15">
      <c r="A31" s="2" t="s">
        <v>433</v>
      </c>
    </row>
    <row r="32" ht="15">
      <c r="A32" s="2" t="s">
        <v>434</v>
      </c>
    </row>
    <row r="33" ht="15">
      <c r="A33" s="2" t="s">
        <v>435</v>
      </c>
    </row>
    <row r="34" ht="15">
      <c r="A34" s="2" t="s">
        <v>436</v>
      </c>
    </row>
    <row r="35" ht="15">
      <c r="A35" s="2" t="s">
        <v>437</v>
      </c>
    </row>
    <row r="36" ht="15">
      <c r="A36" s="2" t="s">
        <v>438</v>
      </c>
    </row>
    <row r="37" ht="15">
      <c r="A37" s="2" t="s">
        <v>439</v>
      </c>
    </row>
    <row r="38" ht="15">
      <c r="A38" s="2" t="s">
        <v>440</v>
      </c>
    </row>
    <row r="39" ht="15">
      <c r="A39" s="2" t="s">
        <v>442</v>
      </c>
    </row>
    <row r="40" ht="15">
      <c r="A40" s="2" t="s">
        <v>443</v>
      </c>
    </row>
    <row r="41" ht="15">
      <c r="A41" s="2" t="s">
        <v>445</v>
      </c>
    </row>
    <row r="42" ht="15">
      <c r="A42" s="2" t="s">
        <v>441</v>
      </c>
    </row>
  </sheetData>
  <sheetProtection sheet="1" objects="1" scenarios="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7">
      <selection activeCell="A24" sqref="A24"/>
    </sheetView>
  </sheetViews>
  <sheetFormatPr defaultColWidth="8.796875" defaultRowHeight="15"/>
  <cols>
    <col min="1" max="1" width="27.59765625" style="0" customWidth="1"/>
    <col min="2" max="2" width="9.59765625" style="0" customWidth="1"/>
    <col min="3" max="5" width="15.69921875" style="0" customWidth="1"/>
  </cols>
  <sheetData>
    <row r="1" spans="1:5" ht="15">
      <c r="A1" s="72" t="str">
        <f>(inputPrYr!D2)</f>
        <v>CITY OF BLUE RAPIDS</v>
      </c>
      <c r="B1" s="72"/>
      <c r="C1" s="21"/>
      <c r="D1" s="21"/>
      <c r="E1" s="143">
        <f>inputPrYr!$C$5</f>
        <v>2012</v>
      </c>
    </row>
    <row r="2" spans="1:5" ht="15">
      <c r="A2" s="21"/>
      <c r="B2" s="21"/>
      <c r="C2" s="21"/>
      <c r="D2" s="21"/>
      <c r="E2" s="24"/>
    </row>
    <row r="3" spans="1:5" ht="15">
      <c r="A3" s="90" t="s">
        <v>178</v>
      </c>
      <c r="B3" s="90"/>
      <c r="C3" s="197"/>
      <c r="D3" s="197"/>
      <c r="E3" s="198"/>
    </row>
    <row r="4" spans="1:5" ht="15">
      <c r="A4" s="25" t="s">
        <v>100</v>
      </c>
      <c r="B4" s="25"/>
      <c r="C4" s="93" t="s">
        <v>124</v>
      </c>
      <c r="D4" s="33" t="s">
        <v>262</v>
      </c>
      <c r="E4" s="33" t="s">
        <v>263</v>
      </c>
    </row>
    <row r="5" spans="1:5" ht="15">
      <c r="A5" s="137" t="e">
        <f>(inputPrYr!#REF!)</f>
        <v>#REF!</v>
      </c>
      <c r="B5" s="137"/>
      <c r="C5" s="147">
        <f>E1-2</f>
        <v>2010</v>
      </c>
      <c r="D5" s="147">
        <f>E1-1</f>
        <v>2011</v>
      </c>
      <c r="E5" s="147">
        <f>inputPrYr!$C$5</f>
        <v>2012</v>
      </c>
    </row>
    <row r="6" spans="1:5" ht="15">
      <c r="A6" s="37" t="s">
        <v>234</v>
      </c>
      <c r="B6" s="324"/>
      <c r="C6" s="328"/>
      <c r="D6" s="85">
        <f>C48</f>
        <v>0</v>
      </c>
      <c r="E6" s="85">
        <f>D48</f>
        <v>0</v>
      </c>
    </row>
    <row r="7" spans="1:5" ht="15">
      <c r="A7" s="323" t="s">
        <v>236</v>
      </c>
      <c r="B7" s="324"/>
      <c r="C7" s="320"/>
      <c r="D7" s="40"/>
      <c r="E7" s="40"/>
    </row>
    <row r="8" spans="1:5" ht="15">
      <c r="A8" s="316"/>
      <c r="B8" s="325"/>
      <c r="C8" s="319"/>
      <c r="D8" s="14"/>
      <c r="E8" s="14"/>
    </row>
    <row r="9" spans="1:5" ht="15">
      <c r="A9" s="316"/>
      <c r="B9" s="325"/>
      <c r="C9" s="319"/>
      <c r="D9" s="14"/>
      <c r="E9" s="14"/>
    </row>
    <row r="10" spans="1:5" ht="15">
      <c r="A10" s="316"/>
      <c r="B10" s="325"/>
      <c r="C10" s="319"/>
      <c r="D10" s="14"/>
      <c r="E10" s="14"/>
    </row>
    <row r="11" spans="1:5" ht="15">
      <c r="A11" s="316"/>
      <c r="B11" s="325"/>
      <c r="C11" s="319"/>
      <c r="D11" s="14"/>
      <c r="E11" s="14"/>
    </row>
    <row r="12" spans="1:5" ht="15">
      <c r="A12" s="316"/>
      <c r="B12" s="325"/>
      <c r="C12" s="319"/>
      <c r="D12" s="14"/>
      <c r="E12" s="14"/>
    </row>
    <row r="13" spans="1:5" ht="15">
      <c r="A13" s="316"/>
      <c r="B13" s="325"/>
      <c r="C13" s="319"/>
      <c r="D13" s="14"/>
      <c r="E13" s="14"/>
    </row>
    <row r="14" spans="1:5" ht="15">
      <c r="A14" s="317"/>
      <c r="B14" s="325"/>
      <c r="C14" s="321"/>
      <c r="D14" s="18"/>
      <c r="E14" s="18"/>
    </row>
    <row r="15" spans="1:5" ht="15">
      <c r="A15" s="316"/>
      <c r="B15" s="325"/>
      <c r="C15" s="319"/>
      <c r="D15" s="14"/>
      <c r="E15" s="14"/>
    </row>
    <row r="16" spans="1:5" ht="15">
      <c r="A16" s="318" t="s">
        <v>106</v>
      </c>
      <c r="B16" s="325"/>
      <c r="C16" s="319"/>
      <c r="D16" s="14"/>
      <c r="E16" s="14"/>
    </row>
    <row r="17" spans="1:5" ht="15">
      <c r="A17" s="336" t="s">
        <v>397</v>
      </c>
      <c r="B17" s="332"/>
      <c r="C17" s="319"/>
      <c r="D17" s="319"/>
      <c r="E17" s="319"/>
    </row>
    <row r="18" spans="1:5" ht="15">
      <c r="A18" s="326" t="s">
        <v>399</v>
      </c>
      <c r="B18" s="332"/>
      <c r="C18" s="366">
        <f>IF(C19*0.1&lt;C17,"Exceed 10% Rule","")</f>
      </c>
      <c r="D18" s="366">
        <f>IF(D19*0.1&lt;D17,"Exceed 10% Rule","")</f>
      </c>
      <c r="E18" s="366">
        <f>IF(E19*0.1&lt;E17,"Exceed 10% Rule","")</f>
      </c>
    </row>
    <row r="19" spans="1:5" ht="15">
      <c r="A19" s="152" t="s">
        <v>107</v>
      </c>
      <c r="B19" s="324"/>
      <c r="C19" s="322">
        <f>SUM(C8:C17)</f>
        <v>0</v>
      </c>
      <c r="D19" s="265">
        <f>SUM(D8:D17)</f>
        <v>0</v>
      </c>
      <c r="E19" s="265">
        <f>SUM(E8:E17)</f>
        <v>0</v>
      </c>
    </row>
    <row r="20" spans="1:5" ht="15">
      <c r="A20" s="152" t="s">
        <v>108</v>
      </c>
      <c r="B20" s="324"/>
      <c r="C20" s="329">
        <f>C6+C19</f>
        <v>0</v>
      </c>
      <c r="D20" s="268">
        <f>D6+D19</f>
        <v>0</v>
      </c>
      <c r="E20" s="268">
        <f>E6+E19</f>
        <v>0</v>
      </c>
    </row>
    <row r="21" spans="1:5" ht="15">
      <c r="A21" s="37" t="s">
        <v>110</v>
      </c>
      <c r="B21" s="324"/>
      <c r="C21" s="320"/>
      <c r="D21" s="40"/>
      <c r="E21" s="40"/>
    </row>
    <row r="22" spans="1:5" ht="15">
      <c r="A22" s="316" t="s">
        <v>292</v>
      </c>
      <c r="B22" s="325"/>
      <c r="C22" s="319"/>
      <c r="D22" s="14"/>
      <c r="E22" s="14"/>
    </row>
    <row r="23" spans="1:5" ht="15">
      <c r="A23" s="316" t="s">
        <v>430</v>
      </c>
      <c r="B23" s="325"/>
      <c r="C23" s="319"/>
      <c r="D23" s="14"/>
      <c r="E23" s="14"/>
    </row>
    <row r="24" spans="1:5" ht="15">
      <c r="A24" s="316"/>
      <c r="B24" s="325"/>
      <c r="C24" s="321"/>
      <c r="D24" s="18"/>
      <c r="E24" s="18"/>
    </row>
    <row r="25" spans="1:5" ht="15">
      <c r="A25" s="316"/>
      <c r="B25" s="325"/>
      <c r="C25" s="321"/>
      <c r="D25" s="18"/>
      <c r="E25" s="18"/>
    </row>
    <row r="26" spans="1:5" ht="15">
      <c r="A26" s="316"/>
      <c r="B26" s="325"/>
      <c r="C26" s="321"/>
      <c r="D26" s="18"/>
      <c r="E26" s="18"/>
    </row>
    <row r="27" spans="1:5" ht="15">
      <c r="A27" s="316"/>
      <c r="B27" s="325"/>
      <c r="C27" s="321"/>
      <c r="D27" s="18"/>
      <c r="E27" s="18"/>
    </row>
    <row r="28" spans="1:5" ht="15">
      <c r="A28" s="316"/>
      <c r="B28" s="325"/>
      <c r="C28" s="321"/>
      <c r="D28" s="18"/>
      <c r="E28" s="18"/>
    </row>
    <row r="29" spans="1:5" ht="15">
      <c r="A29" s="316"/>
      <c r="B29" s="325"/>
      <c r="C29" s="321"/>
      <c r="D29" s="18"/>
      <c r="E29" s="18"/>
    </row>
    <row r="30" spans="1:5" ht="15">
      <c r="A30" s="316"/>
      <c r="B30" s="325"/>
      <c r="C30" s="321"/>
      <c r="D30" s="18"/>
      <c r="E30" s="18"/>
    </row>
    <row r="31" spans="1:5" ht="15">
      <c r="A31" s="316"/>
      <c r="B31" s="325"/>
      <c r="C31" s="321"/>
      <c r="D31" s="18"/>
      <c r="E31" s="18"/>
    </row>
    <row r="32" spans="1:5" ht="15">
      <c r="A32" s="316"/>
      <c r="B32" s="325"/>
      <c r="C32" s="321"/>
      <c r="D32" s="18"/>
      <c r="E32" s="18"/>
    </row>
    <row r="33" spans="1:5" ht="15">
      <c r="A33" s="316"/>
      <c r="B33" s="325"/>
      <c r="C33" s="321"/>
      <c r="D33" s="18"/>
      <c r="E33" s="18"/>
    </row>
    <row r="34" spans="1:5" ht="15">
      <c r="A34" s="316"/>
      <c r="B34" s="325"/>
      <c r="C34" s="321"/>
      <c r="D34" s="18"/>
      <c r="E34" s="18"/>
    </row>
    <row r="35" spans="1:5" ht="15">
      <c r="A35" s="316"/>
      <c r="B35" s="325"/>
      <c r="C35" s="319"/>
      <c r="D35" s="14"/>
      <c r="E35" s="14"/>
    </row>
    <row r="36" spans="1:5" ht="15">
      <c r="A36" s="316"/>
      <c r="B36" s="325"/>
      <c r="C36" s="319"/>
      <c r="D36" s="14"/>
      <c r="E36" s="14"/>
    </row>
    <row r="37" spans="1:5" ht="15">
      <c r="A37" s="316"/>
      <c r="B37" s="325"/>
      <c r="C37" s="319"/>
      <c r="D37" s="14"/>
      <c r="E37" s="14"/>
    </row>
    <row r="38" spans="1:5" ht="15">
      <c r="A38" s="316"/>
      <c r="B38" s="325"/>
      <c r="C38" s="319"/>
      <c r="D38" s="14"/>
      <c r="E38" s="14"/>
    </row>
    <row r="39" spans="1:5" ht="15">
      <c r="A39" s="316"/>
      <c r="B39" s="325"/>
      <c r="C39" s="319"/>
      <c r="D39" s="14"/>
      <c r="E39" s="14"/>
    </row>
    <row r="40" spans="1:5" ht="15">
      <c r="A40" s="316"/>
      <c r="B40" s="325"/>
      <c r="C40" s="319"/>
      <c r="D40" s="14"/>
      <c r="E40" s="14"/>
    </row>
    <row r="41" spans="1:5" ht="15">
      <c r="A41" s="316"/>
      <c r="B41" s="325"/>
      <c r="C41" s="319"/>
      <c r="D41" s="14"/>
      <c r="E41" s="14"/>
    </row>
    <row r="42" spans="1:5" ht="15">
      <c r="A42" s="316"/>
      <c r="B42" s="325"/>
      <c r="C42" s="319"/>
      <c r="D42" s="14"/>
      <c r="E42" s="14"/>
    </row>
    <row r="43" spans="1:5" ht="15">
      <c r="A43" s="316"/>
      <c r="B43" s="325"/>
      <c r="C43" s="319"/>
      <c r="D43" s="14"/>
      <c r="E43" s="14"/>
    </row>
    <row r="44" spans="1:5" ht="15">
      <c r="A44" s="316"/>
      <c r="B44" s="333"/>
      <c r="C44" s="319"/>
      <c r="D44" s="14"/>
      <c r="E44" s="14"/>
    </row>
    <row r="45" spans="1:5" ht="15">
      <c r="A45" s="334" t="s">
        <v>397</v>
      </c>
      <c r="B45" s="332"/>
      <c r="C45" s="319"/>
      <c r="D45" s="319"/>
      <c r="E45" s="319"/>
    </row>
    <row r="46" spans="1:5" ht="15">
      <c r="A46" s="334" t="s">
        <v>398</v>
      </c>
      <c r="B46" s="332"/>
      <c r="C46" s="366">
        <f>IF(C47*0.1&lt;C45,"Exceed 10% Rule","")</f>
      </c>
      <c r="D46" s="366">
        <f>IF(D47*0.1&lt;D45,"Exceed 10% Rule","")</f>
      </c>
      <c r="E46" s="366">
        <f>IF(E47*0.1&lt;E45,"Exceed 10% Rule","")</f>
      </c>
    </row>
    <row r="47" spans="1:5" ht="15">
      <c r="A47" s="152" t="s">
        <v>114</v>
      </c>
      <c r="B47" s="324"/>
      <c r="C47" s="322">
        <f>SUM(C22:C45)</f>
        <v>0</v>
      </c>
      <c r="D47" s="265">
        <f>SUM(D22:D45)</f>
        <v>0</v>
      </c>
      <c r="E47" s="265">
        <f>SUM(E22:E45)</f>
        <v>0</v>
      </c>
    </row>
    <row r="48" spans="1:5" ht="15">
      <c r="A48" s="37" t="s">
        <v>235</v>
      </c>
      <c r="B48" s="324"/>
      <c r="C48" s="330">
        <f>C20-C47</f>
        <v>0</v>
      </c>
      <c r="D48" s="267">
        <f>D20-D47</f>
        <v>0</v>
      </c>
      <c r="E48" s="267">
        <f>E20-E47</f>
        <v>0</v>
      </c>
    </row>
    <row r="49" spans="1:5" ht="15">
      <c r="A49" s="23" t="str">
        <f>CONCATENATE("",E1-2," Budget Authority Limited Amount:")</f>
        <v>2010 Budget Authority Limited Amount:</v>
      </c>
      <c r="B49" s="353">
        <f>inputOth!B66</f>
        <v>2865</v>
      </c>
      <c r="C49" s="169"/>
      <c r="D49" s="169"/>
      <c r="E49" s="169"/>
    </row>
    <row r="50" spans="1:5" ht="15">
      <c r="A50" s="23" t="str">
        <f>CONCATENATE("Violation of Budget Law for ",E1-2,":")</f>
        <v>Violation of Budget Law for 2010:</v>
      </c>
      <c r="B50" s="354">
        <f>IF(C47&gt;B49,"Yes","")</f>
      </c>
      <c r="C50" s="169"/>
      <c r="D50" s="169"/>
      <c r="E50" s="169"/>
    </row>
    <row r="51" spans="1:5" ht="15">
      <c r="A51" s="23" t="str">
        <f>CONCATENATE("Possible Cash Violation for ",E1-2,":")</f>
        <v>Possible Cash Violation for 2010:</v>
      </c>
      <c r="B51" s="354">
        <f>IF(C48&lt;0,"Yes","")</f>
      </c>
      <c r="C51" s="169"/>
      <c r="D51" s="169"/>
      <c r="E51" s="169"/>
    </row>
    <row r="52" spans="1:5" ht="15">
      <c r="A52" s="169"/>
      <c r="B52" s="169"/>
      <c r="C52" s="169"/>
      <c r="D52" s="169"/>
      <c r="E52" s="169"/>
    </row>
    <row r="53" spans="1:5" ht="15">
      <c r="A53" s="24"/>
      <c r="B53" s="24" t="s">
        <v>118</v>
      </c>
      <c r="C53" s="314"/>
      <c r="D53" s="169"/>
      <c r="E53" s="169"/>
    </row>
  </sheetData>
  <sheetProtection sheet="1" objects="1" scenarios="1"/>
  <conditionalFormatting sqref="C17">
    <cfRule type="cellIs" priority="1" dxfId="138" operator="greaterThan" stopIfTrue="1">
      <formula>$C$19*0.1</formula>
    </cfRule>
  </conditionalFormatting>
  <conditionalFormatting sqref="D17">
    <cfRule type="cellIs" priority="2" dxfId="138" operator="greaterThan" stopIfTrue="1">
      <formula>$D$19*0.1</formula>
    </cfRule>
  </conditionalFormatting>
  <conditionalFormatting sqref="E17">
    <cfRule type="cellIs" priority="3" dxfId="138" operator="greaterThan" stopIfTrue="1">
      <formula>$E$19*0.1</formula>
    </cfRule>
  </conditionalFormatting>
  <conditionalFormatting sqref="C45">
    <cfRule type="cellIs" priority="4" dxfId="138" operator="greaterThan" stopIfTrue="1">
      <formula>$C$47*0.1</formula>
    </cfRule>
  </conditionalFormatting>
  <conditionalFormatting sqref="D45">
    <cfRule type="cellIs" priority="5" dxfId="138" operator="greaterThan" stopIfTrue="1">
      <formula>$D$47*0.1</formula>
    </cfRule>
  </conditionalFormatting>
  <conditionalFormatting sqref="E45">
    <cfRule type="cellIs" priority="6" dxfId="138" operator="greaterThan" stopIfTrue="1">
      <formula>$E$47*0.1</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oddFooter>&amp;Lrevised 8/06/07</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C5" sqref="C5"/>
    </sheetView>
  </sheetViews>
  <sheetFormatPr defaultColWidth="8.796875" defaultRowHeight="15"/>
  <cols>
    <col min="1" max="1" width="27.8984375" style="0" customWidth="1"/>
    <col min="2" max="2" width="9.59765625" style="0" customWidth="1"/>
    <col min="3" max="5" width="15.69921875" style="0" customWidth="1"/>
  </cols>
  <sheetData>
    <row r="1" spans="1:5" ht="15">
      <c r="A1" s="72" t="str">
        <f>(inputPrYr!D2)</f>
        <v>CITY OF BLUE RAPIDS</v>
      </c>
      <c r="B1" s="72"/>
      <c r="C1" s="21"/>
      <c r="D1" s="21"/>
      <c r="E1" s="143">
        <f>inputPrYr!$C$5</f>
        <v>2012</v>
      </c>
    </row>
    <row r="2" spans="1:5" ht="15">
      <c r="A2" s="21"/>
      <c r="B2" s="21"/>
      <c r="C2" s="21"/>
      <c r="D2" s="21"/>
      <c r="E2" s="24"/>
    </row>
    <row r="3" spans="1:5" ht="15">
      <c r="A3" s="90" t="s">
        <v>178</v>
      </c>
      <c r="B3" s="90"/>
      <c r="C3" s="197"/>
      <c r="D3" s="197"/>
      <c r="E3" s="198"/>
    </row>
    <row r="4" spans="1:5" ht="15">
      <c r="A4" s="25" t="s">
        <v>100</v>
      </c>
      <c r="B4" s="25"/>
      <c r="C4" s="93" t="s">
        <v>124</v>
      </c>
      <c r="D4" s="33" t="s">
        <v>262</v>
      </c>
      <c r="E4" s="33" t="s">
        <v>263</v>
      </c>
    </row>
    <row r="5" spans="1:5" ht="15">
      <c r="A5" s="137" t="e">
        <f>(inputPrYr!#REF!)</f>
        <v>#REF!</v>
      </c>
      <c r="B5" s="137"/>
      <c r="C5" s="147">
        <f>E1-2</f>
        <v>2010</v>
      </c>
      <c r="D5" s="147">
        <f>E1-1</f>
        <v>2011</v>
      </c>
      <c r="E5" s="147">
        <f>inputPrYr!$C$5</f>
        <v>2012</v>
      </c>
    </row>
    <row r="6" spans="1:5" ht="15">
      <c r="A6" s="37" t="s">
        <v>234</v>
      </c>
      <c r="B6" s="324"/>
      <c r="C6" s="328"/>
      <c r="D6" s="85">
        <f>C48</f>
        <v>0</v>
      </c>
      <c r="E6" s="85">
        <f>D48</f>
        <v>0</v>
      </c>
    </row>
    <row r="7" spans="1:5" ht="15">
      <c r="A7" s="323" t="s">
        <v>236</v>
      </c>
      <c r="B7" s="324"/>
      <c r="C7" s="320"/>
      <c r="D7" s="40"/>
      <c r="E7" s="40"/>
    </row>
    <row r="8" spans="1:5" ht="15">
      <c r="A8" s="316"/>
      <c r="B8" s="325"/>
      <c r="C8" s="319"/>
      <c r="D8" s="14"/>
      <c r="E8" s="14"/>
    </row>
    <row r="9" spans="1:5" ht="15">
      <c r="A9" s="316"/>
      <c r="B9" s="325"/>
      <c r="C9" s="319"/>
      <c r="D9" s="14"/>
      <c r="E9" s="14"/>
    </row>
    <row r="10" spans="1:5" ht="15">
      <c r="A10" s="316"/>
      <c r="B10" s="325"/>
      <c r="C10" s="319"/>
      <c r="D10" s="14"/>
      <c r="E10" s="14"/>
    </row>
    <row r="11" spans="1:5" ht="15">
      <c r="A11" s="316"/>
      <c r="B11" s="325"/>
      <c r="C11" s="319"/>
      <c r="D11" s="14"/>
      <c r="E11" s="14"/>
    </row>
    <row r="12" spans="1:5" ht="15">
      <c r="A12" s="316"/>
      <c r="B12" s="325"/>
      <c r="C12" s="319"/>
      <c r="D12" s="14"/>
      <c r="E12" s="14"/>
    </row>
    <row r="13" spans="1:5" ht="15">
      <c r="A13" s="316"/>
      <c r="B13" s="325"/>
      <c r="C13" s="319"/>
      <c r="D13" s="14"/>
      <c r="E13" s="14"/>
    </row>
    <row r="14" spans="1:5" ht="15">
      <c r="A14" s="317"/>
      <c r="B14" s="325"/>
      <c r="C14" s="321"/>
      <c r="D14" s="18"/>
      <c r="E14" s="18"/>
    </row>
    <row r="15" spans="1:5" ht="15">
      <c r="A15" s="316"/>
      <c r="B15" s="325"/>
      <c r="C15" s="319"/>
      <c r="D15" s="14"/>
      <c r="E15" s="14"/>
    </row>
    <row r="16" spans="1:5" ht="15">
      <c r="A16" s="318" t="s">
        <v>106</v>
      </c>
      <c r="B16" s="325"/>
      <c r="C16" s="319"/>
      <c r="D16" s="14"/>
      <c r="E16" s="14"/>
    </row>
    <row r="17" spans="1:5" ht="15">
      <c r="A17" s="336" t="s">
        <v>397</v>
      </c>
      <c r="B17" s="332"/>
      <c r="C17" s="319"/>
      <c r="D17" s="319"/>
      <c r="E17" s="319"/>
    </row>
    <row r="18" spans="1:5" ht="15">
      <c r="A18" s="326" t="s">
        <v>399</v>
      </c>
      <c r="B18" s="332"/>
      <c r="C18" s="366">
        <f>IF(C19*0.1&lt;C17,"Exceed 10% Rule","")</f>
      </c>
      <c r="D18" s="366">
        <f>IF(D19*0.1&lt;D17,"Exceed 10% Rule","")</f>
      </c>
      <c r="E18" s="366">
        <f>IF(E19*0.1&lt;E17,"Exceed 10% Rule","")</f>
      </c>
    </row>
    <row r="19" spans="1:5" ht="15">
      <c r="A19" s="152" t="s">
        <v>107</v>
      </c>
      <c r="B19" s="324"/>
      <c r="C19" s="322">
        <f>SUM(C8:C17)</f>
        <v>0</v>
      </c>
      <c r="D19" s="265">
        <f>SUM(D8:D17)</f>
        <v>0</v>
      </c>
      <c r="E19" s="265">
        <f>SUM(E8:E17)</f>
        <v>0</v>
      </c>
    </row>
    <row r="20" spans="1:5" ht="15">
      <c r="A20" s="152" t="s">
        <v>108</v>
      </c>
      <c r="B20" s="324"/>
      <c r="C20" s="329">
        <f>C6+C19</f>
        <v>0</v>
      </c>
      <c r="D20" s="268">
        <f>D6+D19</f>
        <v>0</v>
      </c>
      <c r="E20" s="268">
        <f>E6+E19</f>
        <v>0</v>
      </c>
    </row>
    <row r="21" spans="1:5" ht="15">
      <c r="A21" s="37" t="s">
        <v>110</v>
      </c>
      <c r="B21" s="324"/>
      <c r="C21" s="320"/>
      <c r="D21" s="40"/>
      <c r="E21" s="40"/>
    </row>
    <row r="22" spans="1:5" ht="15">
      <c r="A22" s="316" t="s">
        <v>292</v>
      </c>
      <c r="B22" s="325"/>
      <c r="C22" s="319"/>
      <c r="D22" s="14"/>
      <c r="E22" s="14"/>
    </row>
    <row r="23" spans="1:5" ht="15">
      <c r="A23" s="316" t="s">
        <v>431</v>
      </c>
      <c r="B23" s="325"/>
      <c r="C23" s="319"/>
      <c r="D23" s="14"/>
      <c r="E23" s="14"/>
    </row>
    <row r="24" spans="1:5" ht="15">
      <c r="A24" s="316"/>
      <c r="B24" s="325"/>
      <c r="C24" s="321"/>
      <c r="D24" s="18"/>
      <c r="E24" s="18"/>
    </row>
    <row r="25" spans="1:5" ht="15">
      <c r="A25" s="316"/>
      <c r="B25" s="325"/>
      <c r="C25" s="321"/>
      <c r="D25" s="18"/>
      <c r="E25" s="18"/>
    </row>
    <row r="26" spans="1:5" ht="15">
      <c r="A26" s="316"/>
      <c r="B26" s="325"/>
      <c r="C26" s="321"/>
      <c r="D26" s="18"/>
      <c r="E26" s="18"/>
    </row>
    <row r="27" spans="1:5" ht="15">
      <c r="A27" s="316"/>
      <c r="B27" s="325"/>
      <c r="C27" s="321"/>
      <c r="D27" s="18"/>
      <c r="E27" s="18"/>
    </row>
    <row r="28" spans="1:5" ht="15">
      <c r="A28" s="316"/>
      <c r="B28" s="325"/>
      <c r="C28" s="321"/>
      <c r="D28" s="18"/>
      <c r="E28" s="18"/>
    </row>
    <row r="29" spans="1:5" ht="15">
      <c r="A29" s="316"/>
      <c r="B29" s="325"/>
      <c r="C29" s="321"/>
      <c r="D29" s="18"/>
      <c r="E29" s="18"/>
    </row>
    <row r="30" spans="1:5" ht="15">
      <c r="A30" s="316"/>
      <c r="B30" s="325"/>
      <c r="C30" s="321"/>
      <c r="D30" s="18"/>
      <c r="E30" s="18"/>
    </row>
    <row r="31" spans="1:5" ht="15">
      <c r="A31" s="316"/>
      <c r="B31" s="325"/>
      <c r="C31" s="321"/>
      <c r="D31" s="18"/>
      <c r="E31" s="18"/>
    </row>
    <row r="32" spans="1:5" ht="15">
      <c r="A32" s="316"/>
      <c r="B32" s="325"/>
      <c r="C32" s="321"/>
      <c r="D32" s="18"/>
      <c r="E32" s="18"/>
    </row>
    <row r="33" spans="1:5" ht="15">
      <c r="A33" s="316"/>
      <c r="B33" s="325"/>
      <c r="C33" s="321"/>
      <c r="D33" s="18"/>
      <c r="E33" s="18"/>
    </row>
    <row r="34" spans="1:5" ht="15">
      <c r="A34" s="316"/>
      <c r="B34" s="325"/>
      <c r="C34" s="321"/>
      <c r="D34" s="18"/>
      <c r="E34" s="18"/>
    </row>
    <row r="35" spans="1:5" ht="15">
      <c r="A35" s="316"/>
      <c r="B35" s="325"/>
      <c r="C35" s="319"/>
      <c r="D35" s="14"/>
      <c r="E35" s="14"/>
    </row>
    <row r="36" spans="1:5" ht="15">
      <c r="A36" s="316"/>
      <c r="B36" s="325"/>
      <c r="C36" s="319"/>
      <c r="D36" s="14"/>
      <c r="E36" s="14"/>
    </row>
    <row r="37" spans="1:5" ht="15">
      <c r="A37" s="316"/>
      <c r="B37" s="325"/>
      <c r="C37" s="319"/>
      <c r="D37" s="14"/>
      <c r="E37" s="14"/>
    </row>
    <row r="38" spans="1:5" ht="15">
      <c r="A38" s="316"/>
      <c r="B38" s="325"/>
      <c r="C38" s="319"/>
      <c r="D38" s="14"/>
      <c r="E38" s="14"/>
    </row>
    <row r="39" spans="1:5" ht="15">
      <c r="A39" s="316"/>
      <c r="B39" s="325"/>
      <c r="C39" s="319"/>
      <c r="D39" s="14"/>
      <c r="E39" s="14"/>
    </row>
    <row r="40" spans="1:5" ht="15">
      <c r="A40" s="316"/>
      <c r="B40" s="325"/>
      <c r="C40" s="319"/>
      <c r="D40" s="14"/>
      <c r="E40" s="14"/>
    </row>
    <row r="41" spans="1:5" ht="15">
      <c r="A41" s="316"/>
      <c r="B41" s="325"/>
      <c r="C41" s="319"/>
      <c r="D41" s="14"/>
      <c r="E41" s="14"/>
    </row>
    <row r="42" spans="1:5" ht="15">
      <c r="A42" s="316"/>
      <c r="B42" s="325"/>
      <c r="C42" s="319"/>
      <c r="D42" s="14"/>
      <c r="E42" s="14"/>
    </row>
    <row r="43" spans="1:5" ht="15">
      <c r="A43" s="316"/>
      <c r="B43" s="325"/>
      <c r="C43" s="319"/>
      <c r="D43" s="14"/>
      <c r="E43" s="14"/>
    </row>
    <row r="44" spans="1:5" ht="15">
      <c r="A44" s="316"/>
      <c r="B44" s="333"/>
      <c r="C44" s="319"/>
      <c r="D44" s="14"/>
      <c r="E44" s="14"/>
    </row>
    <row r="45" spans="1:5" ht="15">
      <c r="A45" s="334" t="s">
        <v>397</v>
      </c>
      <c r="B45" s="332"/>
      <c r="C45" s="319"/>
      <c r="D45" s="319"/>
      <c r="E45" s="319"/>
    </row>
    <row r="46" spans="1:5" ht="15">
      <c r="A46" s="334" t="s">
        <v>398</v>
      </c>
      <c r="B46" s="332"/>
      <c r="C46" s="366">
        <f>IF(C47*0.1&lt;C45,"Exceed 10% Rule","")</f>
      </c>
      <c r="D46" s="366">
        <f>IF(D47*0.1&lt;D45,"Exceed 10% Rule","")</f>
      </c>
      <c r="E46" s="366">
        <f>IF(E47*0.1&lt;E45,"Exceed 10% Rule","")</f>
      </c>
    </row>
    <row r="47" spans="1:5" ht="15">
      <c r="A47" s="152" t="s">
        <v>114</v>
      </c>
      <c r="B47" s="324"/>
      <c r="C47" s="322">
        <f>SUM(C22:C45)</f>
        <v>0</v>
      </c>
      <c r="D47" s="265">
        <f>SUM(D22:D45)</f>
        <v>0</v>
      </c>
      <c r="E47" s="265">
        <f>SUM(E22:E45)</f>
        <v>0</v>
      </c>
    </row>
    <row r="48" spans="1:5" ht="15">
      <c r="A48" s="37" t="s">
        <v>235</v>
      </c>
      <c r="B48" s="324"/>
      <c r="C48" s="330">
        <f>C20-C47</f>
        <v>0</v>
      </c>
      <c r="D48" s="267">
        <f>D20-D47</f>
        <v>0</v>
      </c>
      <c r="E48" s="267">
        <f>E20-E47</f>
        <v>0</v>
      </c>
    </row>
    <row r="49" spans="1:5" ht="15">
      <c r="A49" s="23" t="str">
        <f>CONCATENATE("",E1-2," Budget Authority Limited Amount:")</f>
        <v>2010 Budget Authority Limited Amount:</v>
      </c>
      <c r="B49" s="353">
        <f>inputOth!B69</f>
        <v>0</v>
      </c>
      <c r="C49" s="169"/>
      <c r="D49" s="169"/>
      <c r="E49" s="169"/>
    </row>
    <row r="50" spans="1:5" ht="15">
      <c r="A50" s="23" t="str">
        <f>CONCATENATE("Violation of Budget Law for ",E1-2,":")</f>
        <v>Violation of Budget Law for 2010:</v>
      </c>
      <c r="B50" s="354">
        <f>IF(C47&gt;B49,"Yes","")</f>
      </c>
      <c r="C50" s="169"/>
      <c r="D50" s="169"/>
      <c r="E50" s="169"/>
    </row>
    <row r="51" spans="1:5" ht="15">
      <c r="A51" s="23" t="str">
        <f>CONCATENATE("Possible Cash Violation for ",E1-2,":")</f>
        <v>Possible Cash Violation for 2010:</v>
      </c>
      <c r="B51" s="354">
        <f>IF(C48&lt;0,"Yes","")</f>
      </c>
      <c r="C51" s="169"/>
      <c r="D51" s="169"/>
      <c r="E51" s="169"/>
    </row>
    <row r="52" spans="1:5" ht="15">
      <c r="A52" s="169"/>
      <c r="B52" s="169"/>
      <c r="C52" s="169"/>
      <c r="D52" s="169"/>
      <c r="E52" s="169"/>
    </row>
    <row r="53" spans="1:5" ht="15">
      <c r="A53" s="24"/>
      <c r="B53" s="24" t="s">
        <v>118</v>
      </c>
      <c r="C53" s="314"/>
      <c r="D53" s="169"/>
      <c r="E53" s="169"/>
    </row>
  </sheetData>
  <sheetProtection sheet="1" objects="1" scenarios="1"/>
  <conditionalFormatting sqref="C17">
    <cfRule type="cellIs" priority="1" dxfId="138" operator="greaterThan" stopIfTrue="1">
      <formula>$C$19*0.1</formula>
    </cfRule>
  </conditionalFormatting>
  <conditionalFormatting sqref="D17">
    <cfRule type="cellIs" priority="2" dxfId="138" operator="greaterThan" stopIfTrue="1">
      <formula>$D$19*0.1</formula>
    </cfRule>
  </conditionalFormatting>
  <conditionalFormatting sqref="E17">
    <cfRule type="cellIs" priority="3" dxfId="138" operator="greaterThan" stopIfTrue="1">
      <formula>$E$19*0.1</formula>
    </cfRule>
  </conditionalFormatting>
  <conditionalFormatting sqref="C45">
    <cfRule type="cellIs" priority="4" dxfId="138" operator="greaterThan" stopIfTrue="1">
      <formula>$C$47*0.1</formula>
    </cfRule>
  </conditionalFormatting>
  <conditionalFormatting sqref="D45">
    <cfRule type="cellIs" priority="5" dxfId="138" operator="greaterThan" stopIfTrue="1">
      <formula>$D$47*0.1</formula>
    </cfRule>
  </conditionalFormatting>
  <conditionalFormatting sqref="E45">
    <cfRule type="cellIs" priority="6" dxfId="138" operator="greaterThan" stopIfTrue="1">
      <formula>$E$47*0.1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oddFooter>&amp;Lrevised 8/06/07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1">
      <selection activeCell="I3" sqref="I3"/>
    </sheetView>
  </sheetViews>
  <sheetFormatPr defaultColWidth="8.89843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
      <c r="A1" s="51" t="str">
        <f>inputPrYr!$D$2</f>
        <v>CITY OF BLUE RAPIDS</v>
      </c>
      <c r="B1" s="153"/>
      <c r="C1" s="50"/>
      <c r="D1" s="50"/>
      <c r="E1" s="50"/>
      <c r="F1" s="52" t="s">
        <v>265</v>
      </c>
      <c r="G1" s="50"/>
      <c r="H1" s="50"/>
      <c r="I1" s="50"/>
      <c r="J1" s="50"/>
      <c r="K1" s="50">
        <f>inputPrYr!$C$5</f>
        <v>2012</v>
      </c>
    </row>
    <row r="2" spans="1:11" ht="15">
      <c r="A2" s="50"/>
      <c r="B2" s="50"/>
      <c r="C2" s="50"/>
      <c r="D2" s="50"/>
      <c r="E2" s="50"/>
      <c r="F2" s="378" t="str">
        <f>CONCATENATE("(Only the actual budget year for ",K1-2," is to be shown)")</f>
        <v>(Only the actual budget year for 2010 is to be shown)</v>
      </c>
      <c r="G2" s="50"/>
      <c r="H2" s="50"/>
      <c r="I2" s="50"/>
      <c r="J2" s="50"/>
      <c r="K2" s="50"/>
    </row>
    <row r="3" spans="1:11" ht="15">
      <c r="A3" s="50" t="s">
        <v>318</v>
      </c>
      <c r="B3" s="50"/>
      <c r="C3" s="50"/>
      <c r="D3" s="50"/>
      <c r="E3" s="50"/>
      <c r="F3" s="377"/>
      <c r="G3" s="50"/>
      <c r="H3" s="50"/>
      <c r="I3" s="50"/>
      <c r="J3" s="50"/>
      <c r="K3" s="50"/>
    </row>
    <row r="4" spans="1:11" ht="15">
      <c r="A4" s="50" t="s">
        <v>266</v>
      </c>
      <c r="B4" s="50"/>
      <c r="C4" s="50" t="s">
        <v>267</v>
      </c>
      <c r="D4" s="50"/>
      <c r="E4" s="50" t="s">
        <v>268</v>
      </c>
      <c r="F4" s="153"/>
      <c r="G4" s="50" t="s">
        <v>269</v>
      </c>
      <c r="H4" s="50"/>
      <c r="I4" s="50" t="s">
        <v>270</v>
      </c>
      <c r="J4" s="50"/>
      <c r="K4" s="50"/>
    </row>
    <row r="5" spans="1:11" ht="15">
      <c r="A5" s="480" t="str">
        <f>IF(inputPrYr!B33&gt;" ",(inputPrYr!B33)," ")</f>
        <v>Water Storage Grant Fund</v>
      </c>
      <c r="B5" s="481"/>
      <c r="C5" s="480" t="str">
        <f>IF(inputPrYr!B34&gt;" ",(inputPrYr!B34)," ")</f>
        <v>Storm Sewer Capital Project Fund</v>
      </c>
      <c r="D5" s="481"/>
      <c r="E5" s="480" t="e">
        <f>IF(inputPrYr!#REF!&gt;" ",(inputPrYr!#REF!)," ")</f>
        <v>#REF!</v>
      </c>
      <c r="F5" s="481"/>
      <c r="G5" s="480" t="e">
        <f>IF(inputPrYr!#REF!&gt;" ",(inputPrYr!#REF!)," ")</f>
        <v>#REF!</v>
      </c>
      <c r="H5" s="481"/>
      <c r="I5" s="480" t="e">
        <f>IF(inputPrYr!#REF!&gt;" ",(inputPrYr!#REF!)," ")</f>
        <v>#REF!</v>
      </c>
      <c r="J5" s="481"/>
      <c r="K5" s="154"/>
    </row>
    <row r="6" spans="1:11" ht="15">
      <c r="A6" s="155" t="s">
        <v>271</v>
      </c>
      <c r="B6" s="156"/>
      <c r="C6" s="157" t="s">
        <v>271</v>
      </c>
      <c r="D6" s="158"/>
      <c r="E6" s="157" t="s">
        <v>271</v>
      </c>
      <c r="F6" s="159"/>
      <c r="G6" s="157" t="s">
        <v>271</v>
      </c>
      <c r="H6" s="160"/>
      <c r="I6" s="157" t="s">
        <v>271</v>
      </c>
      <c r="J6" s="50"/>
      <c r="K6" s="161" t="s">
        <v>71</v>
      </c>
    </row>
    <row r="7" spans="1:11" ht="15">
      <c r="A7" s="162" t="s">
        <v>428</v>
      </c>
      <c r="B7" s="287"/>
      <c r="C7" s="163" t="s">
        <v>428</v>
      </c>
      <c r="D7" s="288"/>
      <c r="E7" s="163" t="s">
        <v>428</v>
      </c>
      <c r="F7" s="288"/>
      <c r="G7" s="163" t="s">
        <v>428</v>
      </c>
      <c r="H7" s="288"/>
      <c r="I7" s="163" t="s">
        <v>428</v>
      </c>
      <c r="J7" s="288"/>
      <c r="K7" s="270">
        <f>SUM(B7+D7+F7+H7+J7)</f>
        <v>0</v>
      </c>
    </row>
    <row r="8" spans="1:11" ht="15">
      <c r="A8" s="164" t="s">
        <v>236</v>
      </c>
      <c r="B8" s="165"/>
      <c r="C8" s="164" t="s">
        <v>236</v>
      </c>
      <c r="D8" s="166"/>
      <c r="E8" s="164" t="s">
        <v>236</v>
      </c>
      <c r="F8" s="153"/>
      <c r="G8" s="164" t="s">
        <v>236</v>
      </c>
      <c r="H8" s="50"/>
      <c r="I8" s="164" t="s">
        <v>236</v>
      </c>
      <c r="J8" s="50"/>
      <c r="K8" s="153"/>
    </row>
    <row r="9" spans="1:11" ht="15">
      <c r="A9" s="286"/>
      <c r="B9" s="287"/>
      <c r="C9" s="286"/>
      <c r="D9" s="288"/>
      <c r="E9" s="286"/>
      <c r="F9" s="288"/>
      <c r="G9" s="286"/>
      <c r="H9" s="288"/>
      <c r="I9" s="286"/>
      <c r="J9" s="288"/>
      <c r="K9" s="153"/>
    </row>
    <row r="10" spans="1:11" ht="15">
      <c r="A10" s="286"/>
      <c r="B10" s="287"/>
      <c r="C10" s="286"/>
      <c r="D10" s="288"/>
      <c r="E10" s="286"/>
      <c r="F10" s="288"/>
      <c r="G10" s="286"/>
      <c r="H10" s="288"/>
      <c r="I10" s="286"/>
      <c r="J10" s="288"/>
      <c r="K10" s="153"/>
    </row>
    <row r="11" spans="1:11" ht="15">
      <c r="A11" s="286"/>
      <c r="B11" s="287"/>
      <c r="C11" s="289"/>
      <c r="D11" s="290"/>
      <c r="E11" s="289"/>
      <c r="F11" s="290"/>
      <c r="G11" s="289"/>
      <c r="H11" s="290"/>
      <c r="I11" s="291"/>
      <c r="J11" s="288"/>
      <c r="K11" s="153"/>
    </row>
    <row r="12" spans="1:11" ht="15">
      <c r="A12" s="286"/>
      <c r="B12" s="292"/>
      <c r="C12" s="286"/>
      <c r="D12" s="293"/>
      <c r="E12" s="294"/>
      <c r="F12" s="293"/>
      <c r="G12" s="294"/>
      <c r="H12" s="293"/>
      <c r="I12" s="294"/>
      <c r="J12" s="288"/>
      <c r="K12" s="153"/>
    </row>
    <row r="13" spans="1:11" ht="15">
      <c r="A13" s="295"/>
      <c r="B13" s="296"/>
      <c r="C13" s="297"/>
      <c r="D13" s="298"/>
      <c r="E13" s="297"/>
      <c r="F13" s="298"/>
      <c r="G13" s="297"/>
      <c r="H13" s="298"/>
      <c r="I13" s="291"/>
      <c r="J13" s="288"/>
      <c r="K13" s="153"/>
    </row>
    <row r="14" spans="1:11" ht="15">
      <c r="A14" s="286"/>
      <c r="B14" s="287"/>
      <c r="C14" s="294"/>
      <c r="D14" s="293"/>
      <c r="E14" s="294"/>
      <c r="F14" s="293"/>
      <c r="G14" s="294"/>
      <c r="H14" s="293"/>
      <c r="I14" s="294"/>
      <c r="J14" s="288"/>
      <c r="K14" s="153"/>
    </row>
    <row r="15" spans="1:11" ht="15">
      <c r="A15" s="286"/>
      <c r="B15" s="287"/>
      <c r="C15" s="294"/>
      <c r="D15" s="293"/>
      <c r="E15" s="294"/>
      <c r="F15" s="293"/>
      <c r="G15" s="294"/>
      <c r="H15" s="293"/>
      <c r="I15" s="294"/>
      <c r="J15" s="288"/>
      <c r="K15" s="153"/>
    </row>
    <row r="16" spans="1:11" ht="15">
      <c r="A16" s="286"/>
      <c r="B16" s="296"/>
      <c r="C16" s="286"/>
      <c r="D16" s="298"/>
      <c r="E16" s="286"/>
      <c r="F16" s="288"/>
      <c r="G16" s="294"/>
      <c r="H16" s="298"/>
      <c r="I16" s="286"/>
      <c r="J16" s="293"/>
      <c r="K16" s="153"/>
    </row>
    <row r="17" spans="1:11" ht="15">
      <c r="A17" s="164" t="s">
        <v>107</v>
      </c>
      <c r="B17" s="270">
        <f>SUM(B9:B16)</f>
        <v>0</v>
      </c>
      <c r="C17" s="164" t="s">
        <v>107</v>
      </c>
      <c r="D17" s="271">
        <f>SUM(D9:D16)</f>
        <v>0</v>
      </c>
      <c r="E17" s="164" t="s">
        <v>107</v>
      </c>
      <c r="F17" s="272">
        <f>SUM(F9:F16)</f>
        <v>0</v>
      </c>
      <c r="G17" s="164" t="s">
        <v>107</v>
      </c>
      <c r="H17" s="271">
        <f>SUM(H9:H16)</f>
        <v>0</v>
      </c>
      <c r="I17" s="164" t="s">
        <v>107</v>
      </c>
      <c r="J17" s="271">
        <f>SUM(J9:J16)</f>
        <v>0</v>
      </c>
      <c r="K17" s="270">
        <f>SUM(B17+D17+F17+H17+J17)</f>
        <v>0</v>
      </c>
    </row>
    <row r="18" spans="1:11" ht="15">
      <c r="A18" s="164" t="s">
        <v>108</v>
      </c>
      <c r="B18" s="270">
        <f>SUM(B7+B17)</f>
        <v>0</v>
      </c>
      <c r="C18" s="164" t="s">
        <v>108</v>
      </c>
      <c r="D18" s="270">
        <f>SUM(D7+D17)</f>
        <v>0</v>
      </c>
      <c r="E18" s="164" t="s">
        <v>108</v>
      </c>
      <c r="F18" s="270">
        <f>SUM(F7+F17)</f>
        <v>0</v>
      </c>
      <c r="G18" s="164" t="s">
        <v>108</v>
      </c>
      <c r="H18" s="270">
        <f>SUM(H7+H17)</f>
        <v>0</v>
      </c>
      <c r="I18" s="164" t="s">
        <v>108</v>
      </c>
      <c r="J18" s="270">
        <f>SUM(J7+J17)</f>
        <v>0</v>
      </c>
      <c r="K18" s="270">
        <f>SUM(B18+D18+F18+H18+J18)</f>
        <v>0</v>
      </c>
    </row>
    <row r="19" spans="1:11" ht="15">
      <c r="A19" s="164" t="s">
        <v>110</v>
      </c>
      <c r="B19" s="165"/>
      <c r="C19" s="164" t="s">
        <v>110</v>
      </c>
      <c r="D19" s="166"/>
      <c r="E19" s="164" t="s">
        <v>110</v>
      </c>
      <c r="F19" s="153"/>
      <c r="G19" s="164" t="s">
        <v>110</v>
      </c>
      <c r="H19" s="50"/>
      <c r="I19" s="164" t="s">
        <v>110</v>
      </c>
      <c r="J19" s="50"/>
      <c r="K19" s="153"/>
    </row>
    <row r="20" spans="1:11" ht="15">
      <c r="A20" s="286"/>
      <c r="B20" s="287"/>
      <c r="C20" s="294"/>
      <c r="D20" s="293"/>
      <c r="E20" s="294"/>
      <c r="F20" s="293"/>
      <c r="G20" s="294"/>
      <c r="H20" s="293"/>
      <c r="I20" s="294"/>
      <c r="J20" s="288"/>
      <c r="K20" s="153"/>
    </row>
    <row r="21" spans="1:11" ht="15">
      <c r="A21" s="286"/>
      <c r="B21" s="287"/>
      <c r="C21" s="294"/>
      <c r="D21" s="293"/>
      <c r="E21" s="294"/>
      <c r="F21" s="293"/>
      <c r="G21" s="294"/>
      <c r="H21" s="293"/>
      <c r="I21" s="294"/>
      <c r="J21" s="299"/>
      <c r="K21" s="153"/>
    </row>
    <row r="22" spans="1:11" ht="15">
      <c r="A22" s="286"/>
      <c r="B22" s="300"/>
      <c r="C22" s="297"/>
      <c r="D22" s="298"/>
      <c r="E22" s="297"/>
      <c r="F22" s="298"/>
      <c r="G22" s="297"/>
      <c r="H22" s="298"/>
      <c r="I22" s="291"/>
      <c r="J22" s="288"/>
      <c r="K22" s="153"/>
    </row>
    <row r="23" spans="1:11" ht="15">
      <c r="A23" s="286"/>
      <c r="B23" s="287"/>
      <c r="C23" s="294"/>
      <c r="D23" s="293"/>
      <c r="E23" s="294"/>
      <c r="F23" s="293"/>
      <c r="G23" s="294"/>
      <c r="H23" s="293"/>
      <c r="I23" s="294"/>
      <c r="J23" s="288"/>
      <c r="K23" s="153"/>
    </row>
    <row r="24" spans="1:11" ht="15">
      <c r="A24" s="286"/>
      <c r="B24" s="300"/>
      <c r="C24" s="297"/>
      <c r="D24" s="298"/>
      <c r="E24" s="297"/>
      <c r="F24" s="298"/>
      <c r="G24" s="297"/>
      <c r="H24" s="298"/>
      <c r="I24" s="291"/>
      <c r="J24" s="288"/>
      <c r="K24" s="153"/>
    </row>
    <row r="25" spans="1:11" ht="15">
      <c r="A25" s="286"/>
      <c r="B25" s="287"/>
      <c r="C25" s="294"/>
      <c r="D25" s="293"/>
      <c r="E25" s="294"/>
      <c r="F25" s="293"/>
      <c r="G25" s="294"/>
      <c r="H25" s="293"/>
      <c r="I25" s="294"/>
      <c r="J25" s="288"/>
      <c r="K25" s="153"/>
    </row>
    <row r="26" spans="1:11" ht="15">
      <c r="A26" s="286"/>
      <c r="B26" s="287"/>
      <c r="C26" s="294"/>
      <c r="D26" s="293"/>
      <c r="E26" s="294"/>
      <c r="F26" s="293"/>
      <c r="G26" s="294"/>
      <c r="H26" s="293"/>
      <c r="I26" s="294"/>
      <c r="J26" s="288"/>
      <c r="K26" s="153"/>
    </row>
    <row r="27" spans="1:11" ht="15">
      <c r="A27" s="286"/>
      <c r="B27" s="301"/>
      <c r="C27" s="286"/>
      <c r="D27" s="302"/>
      <c r="E27" s="286"/>
      <c r="F27" s="293"/>
      <c r="G27" s="294"/>
      <c r="H27" s="293"/>
      <c r="I27" s="294"/>
      <c r="J27" s="288"/>
      <c r="K27" s="153"/>
    </row>
    <row r="28" spans="1:11" ht="15">
      <c r="A28" s="164" t="s">
        <v>114</v>
      </c>
      <c r="B28" s="270">
        <f>SUM(B20:B27)</f>
        <v>0</v>
      </c>
      <c r="C28" s="164" t="s">
        <v>114</v>
      </c>
      <c r="D28" s="271">
        <f>SUM(D20:D27)</f>
        <v>0</v>
      </c>
      <c r="E28" s="164" t="s">
        <v>114</v>
      </c>
      <c r="F28" s="272">
        <f>SUM(F20:F27)</f>
        <v>0</v>
      </c>
      <c r="G28" s="164" t="s">
        <v>114</v>
      </c>
      <c r="H28" s="272">
        <f>SUM(H20:H27)</f>
        <v>0</v>
      </c>
      <c r="I28" s="164" t="s">
        <v>114</v>
      </c>
      <c r="J28" s="271">
        <f>SUM(J20:J27)</f>
        <v>0</v>
      </c>
      <c r="K28" s="270">
        <f>SUM(B28+D28+F28+H28+J28)</f>
        <v>0</v>
      </c>
    </row>
    <row r="29" spans="1:12" ht="15">
      <c r="A29" s="164" t="s">
        <v>272</v>
      </c>
      <c r="B29" s="270">
        <f>IF(B18-B28&gt;0,B18-B28,0)</f>
        <v>0</v>
      </c>
      <c r="C29" s="164" t="s">
        <v>272</v>
      </c>
      <c r="D29" s="270">
        <f>IF(D18-D28&gt;0,D18-D28,0)</f>
        <v>0</v>
      </c>
      <c r="E29" s="164" t="s">
        <v>272</v>
      </c>
      <c r="F29" s="270">
        <f>IF(F18-F28&gt;0,F18-F28,0)</f>
        <v>0</v>
      </c>
      <c r="G29" s="164" t="s">
        <v>272</v>
      </c>
      <c r="H29" s="270">
        <f>IF(H18-H28&gt;0,H18-H28,0)</f>
        <v>0</v>
      </c>
      <c r="I29" s="164" t="s">
        <v>272</v>
      </c>
      <c r="J29" s="270">
        <f>IF(J18-J28&gt;0,J18-J28,0)</f>
        <v>0</v>
      </c>
      <c r="K29" s="273">
        <f>SUM(B29+D29+F29+H29+J29)</f>
        <v>0</v>
      </c>
      <c r="L29" s="2" t="s">
        <v>363</v>
      </c>
    </row>
    <row r="30" spans="1:12" ht="15">
      <c r="A30" s="164"/>
      <c r="B30" s="165"/>
      <c r="C30" s="164"/>
      <c r="D30" s="166"/>
      <c r="E30" s="164"/>
      <c r="F30" s="153"/>
      <c r="G30" s="50"/>
      <c r="H30" s="50"/>
      <c r="I30" s="50"/>
      <c r="J30" s="50"/>
      <c r="K30" s="273">
        <f>SUM(K7+K17-K28)</f>
        <v>0</v>
      </c>
      <c r="L30" s="2" t="s">
        <v>363</v>
      </c>
    </row>
    <row r="31" spans="1:11" ht="15">
      <c r="A31" s="50"/>
      <c r="B31" s="55"/>
      <c r="C31" s="50"/>
      <c r="D31" s="153"/>
      <c r="E31" s="50"/>
      <c r="F31" s="50"/>
      <c r="G31" s="371" t="s">
        <v>365</v>
      </c>
      <c r="H31" s="371"/>
      <c r="I31" s="371"/>
      <c r="J31" s="371"/>
      <c r="K31" s="50"/>
    </row>
    <row r="32" spans="1:11" ht="15">
      <c r="A32" s="50"/>
      <c r="B32" s="55"/>
      <c r="C32" s="50"/>
      <c r="D32" s="50"/>
      <c r="E32" s="50"/>
      <c r="F32" s="50"/>
      <c r="G32" s="50"/>
      <c r="H32" s="50"/>
      <c r="I32" s="50"/>
      <c r="J32" s="50"/>
      <c r="K32" s="50"/>
    </row>
    <row r="33" spans="1:11" ht="15">
      <c r="A33" s="50"/>
      <c r="B33" s="55"/>
      <c r="C33" s="50"/>
      <c r="D33" s="50"/>
      <c r="E33" s="63" t="s">
        <v>118</v>
      </c>
      <c r="F33" s="16"/>
      <c r="G33" s="50"/>
      <c r="H33" s="50"/>
      <c r="I33" s="50"/>
      <c r="J33" s="50"/>
      <c r="K33" s="50"/>
    </row>
    <row r="34" ht="15">
      <c r="B34" s="167"/>
    </row>
    <row r="35" ht="15">
      <c r="B35" s="167"/>
    </row>
    <row r="36" ht="15">
      <c r="B36" s="167"/>
    </row>
    <row r="37" ht="15">
      <c r="B37" s="167"/>
    </row>
    <row r="38" ht="15">
      <c r="B38" s="167"/>
    </row>
    <row r="39" ht="15">
      <c r="B39" s="167"/>
    </row>
    <row r="40" ht="15">
      <c r="B40" s="167"/>
    </row>
    <row r="41" ht="15">
      <c r="B41" s="16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5/08/08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40">
      <selection activeCell="J20" sqref="J20"/>
    </sheetView>
  </sheetViews>
  <sheetFormatPr defaultColWidth="8.796875" defaultRowHeight="15"/>
  <cols>
    <col min="1" max="1" width="15.69921875" style="0" customWidth="1"/>
    <col min="2" max="2" width="20.69921875" style="0" customWidth="1"/>
    <col min="3" max="3" width="9.69921875" style="0" customWidth="1"/>
    <col min="4" max="4" width="15.09765625" style="0" customWidth="1"/>
    <col min="5" max="5" width="15.69921875" style="0" customWidth="1"/>
  </cols>
  <sheetData>
    <row r="1" spans="1:5" ht="15">
      <c r="A1" s="168" t="str">
        <f>inputPrYr!$D$2</f>
        <v>CITY OF BLUE RAPIDS</v>
      </c>
      <c r="B1" s="169"/>
      <c r="C1" s="169"/>
      <c r="D1" s="169"/>
      <c r="E1" s="169">
        <f>inputPrYr!C5</f>
        <v>2012</v>
      </c>
    </row>
    <row r="2" spans="1:5" ht="15">
      <c r="A2" s="169"/>
      <c r="B2" s="169"/>
      <c r="C2" s="169"/>
      <c r="D2" s="169"/>
      <c r="E2" s="169"/>
    </row>
    <row r="3" spans="1:5" ht="15">
      <c r="A3" s="428" t="s">
        <v>354</v>
      </c>
      <c r="B3" s="429"/>
      <c r="C3" s="429"/>
      <c r="D3" s="429"/>
      <c r="E3" s="429"/>
    </row>
    <row r="4" spans="1:5" ht="15">
      <c r="A4" s="169"/>
      <c r="B4" s="169"/>
      <c r="C4" s="169"/>
      <c r="D4" s="169"/>
      <c r="E4" s="169"/>
    </row>
    <row r="5" spans="1:5" ht="15">
      <c r="A5" s="122" t="str">
        <f>CONCATENATE("From the County Clerks ",E1," Budget Information:")</f>
        <v>From the County Clerks 2012 Budget Information:</v>
      </c>
      <c r="B5" s="123"/>
      <c r="C5" s="21"/>
      <c r="D5" s="21"/>
      <c r="E5" s="65"/>
    </row>
    <row r="6" spans="1:8" ht="15">
      <c r="A6" s="111" t="str">
        <f>CONCATENATE("Total Assessed Valuation for ",E1-1,"")</f>
        <v>Total Assessed Valuation for 2011</v>
      </c>
      <c r="B6" s="114"/>
      <c r="C6" s="114"/>
      <c r="D6" s="114"/>
      <c r="E6" s="9">
        <v>3036027</v>
      </c>
      <c r="F6" s="409" t="s">
        <v>480</v>
      </c>
      <c r="H6" s="392"/>
    </row>
    <row r="7" spans="1:8" ht="15">
      <c r="A7" s="111" t="str">
        <f>CONCATENATE("New Improvements for ",E1-1,"")</f>
        <v>New Improvements for 2011</v>
      </c>
      <c r="B7" s="114"/>
      <c r="C7" s="114"/>
      <c r="D7" s="114"/>
      <c r="E7" s="18">
        <v>9190</v>
      </c>
      <c r="F7" s="409" t="s">
        <v>480</v>
      </c>
      <c r="H7" s="392"/>
    </row>
    <row r="8" spans="1:8" ht="15">
      <c r="A8" s="111" t="str">
        <f>CONCATENATE("Personal Property excluding oil, gas, mobile homes - ",E1-1,"")</f>
        <v>Personal Property excluding oil, gas, mobile homes - 2011</v>
      </c>
      <c r="B8" s="114"/>
      <c r="C8" s="114"/>
      <c r="D8" s="114"/>
      <c r="E8" s="18">
        <v>146651</v>
      </c>
      <c r="F8" s="409" t="s">
        <v>480</v>
      </c>
      <c r="H8" s="392"/>
    </row>
    <row r="9" spans="1:5" ht="15">
      <c r="A9" s="112" t="s">
        <v>276</v>
      </c>
      <c r="B9" s="114"/>
      <c r="C9" s="114"/>
      <c r="D9" s="114"/>
      <c r="E9" s="40"/>
    </row>
    <row r="10" spans="1:5" ht="15">
      <c r="A10" s="111" t="s">
        <v>227</v>
      </c>
      <c r="B10" s="114"/>
      <c r="C10" s="114"/>
      <c r="D10" s="114"/>
      <c r="E10" s="18"/>
    </row>
    <row r="11" spans="1:5" ht="15">
      <c r="A11" s="111" t="s">
        <v>228</v>
      </c>
      <c r="B11" s="114"/>
      <c r="C11" s="114"/>
      <c r="D11" s="114"/>
      <c r="E11" s="18"/>
    </row>
    <row r="12" spans="1:5" ht="15">
      <c r="A12" s="111" t="s">
        <v>229</v>
      </c>
      <c r="B12" s="114"/>
      <c r="C12" s="114"/>
      <c r="D12" s="114"/>
      <c r="E12" s="18"/>
    </row>
    <row r="13" spans="1:8" ht="15">
      <c r="A13" s="111" t="str">
        <f>CONCATENATE("Property that has changed in use for ",E1-1,"")</f>
        <v>Property that has changed in use for 2011</v>
      </c>
      <c r="B13" s="114"/>
      <c r="C13" s="114"/>
      <c r="D13" s="114"/>
      <c r="E13" s="18">
        <v>4197</v>
      </c>
      <c r="F13" s="409" t="s">
        <v>480</v>
      </c>
      <c r="H13" s="392"/>
    </row>
    <row r="14" spans="1:8" ht="15">
      <c r="A14" s="111" t="str">
        <f>CONCATENATE("Personal Property  excluding oil, gas, mobile homes- ",E1-2,"")</f>
        <v>Personal Property  excluding oil, gas, mobile homes- 2010</v>
      </c>
      <c r="B14" s="114"/>
      <c r="C14" s="114"/>
      <c r="D14" s="114"/>
      <c r="E14" s="18">
        <v>160513</v>
      </c>
      <c r="F14" s="409" t="s">
        <v>480</v>
      </c>
      <c r="H14" s="392"/>
    </row>
    <row r="15" spans="1:8" ht="15">
      <c r="A15" s="111" t="str">
        <f>CONCATENATE("Gross earnings (intangible) tax estimate for ",E1,"")</f>
        <v>Gross earnings (intangible) tax estimate for 2012</v>
      </c>
      <c r="B15" s="114"/>
      <c r="C15" s="114"/>
      <c r="D15" s="38"/>
      <c r="E15" s="9">
        <v>6341</v>
      </c>
      <c r="F15" s="409" t="s">
        <v>480</v>
      </c>
      <c r="H15" s="392"/>
    </row>
    <row r="16" spans="1:8" ht="15">
      <c r="A16" s="111" t="s">
        <v>277</v>
      </c>
      <c r="B16" s="114"/>
      <c r="C16" s="114"/>
      <c r="D16" s="114"/>
      <c r="E16" s="17">
        <v>35100</v>
      </c>
      <c r="F16" s="409" t="s">
        <v>480</v>
      </c>
      <c r="H16" s="392"/>
    </row>
    <row r="17" spans="1:5" ht="15">
      <c r="A17" s="129"/>
      <c r="B17" s="105"/>
      <c r="C17" s="105"/>
      <c r="D17" s="105"/>
      <c r="E17" s="170"/>
    </row>
    <row r="18" spans="1:5" ht="15">
      <c r="A18" s="129" t="str">
        <f>CONCATENATE("Actual Tax Rates for the ",E1-1," Budget:")</f>
        <v>Actual Tax Rates for the 2011 Budget:</v>
      </c>
      <c r="B18" s="105"/>
      <c r="C18" s="105"/>
      <c r="D18" s="105"/>
      <c r="E18" s="170"/>
    </row>
    <row r="19" spans="1:5" ht="15">
      <c r="A19" s="434" t="s">
        <v>85</v>
      </c>
      <c r="B19" s="435"/>
      <c r="C19" s="169"/>
      <c r="D19" s="171" t="s">
        <v>144</v>
      </c>
      <c r="E19" s="170"/>
    </row>
    <row r="20" spans="1:6" ht="15">
      <c r="A20" s="110" t="s">
        <v>69</v>
      </c>
      <c r="B20" s="20"/>
      <c r="C20" s="105"/>
      <c r="D20" s="307">
        <v>71.563</v>
      </c>
      <c r="E20" s="170"/>
      <c r="F20" s="409" t="s">
        <v>480</v>
      </c>
    </row>
    <row r="21" spans="1:6" ht="15">
      <c r="A21" s="111" t="s">
        <v>278</v>
      </c>
      <c r="B21" s="114"/>
      <c r="C21" s="105"/>
      <c r="D21" s="308">
        <v>0</v>
      </c>
      <c r="E21" s="170"/>
      <c r="F21" s="409" t="s">
        <v>480</v>
      </c>
    </row>
    <row r="22" spans="1:6" ht="15">
      <c r="A22" s="111" t="str">
        <f>IF(inputPrYr!B19&gt;" ",(inputPrYr!B19)," ")</f>
        <v>Library</v>
      </c>
      <c r="B22" s="114"/>
      <c r="C22" s="105"/>
      <c r="D22" s="308">
        <v>3.006</v>
      </c>
      <c r="E22" s="170"/>
      <c r="F22" s="409" t="s">
        <v>480</v>
      </c>
    </row>
    <row r="23" spans="1:5" ht="15">
      <c r="A23" s="111"/>
      <c r="B23" s="114"/>
      <c r="C23" s="105"/>
      <c r="D23" s="308"/>
      <c r="E23" s="170"/>
    </row>
    <row r="24" spans="1:5" ht="15">
      <c r="A24" s="111"/>
      <c r="B24" s="114"/>
      <c r="C24" s="105"/>
      <c r="D24" s="308"/>
      <c r="E24" s="170"/>
    </row>
    <row r="25" spans="1:5" ht="15">
      <c r="A25" s="111"/>
      <c r="B25" s="209"/>
      <c r="C25" s="105"/>
      <c r="D25" s="309"/>
      <c r="E25" s="170"/>
    </row>
    <row r="26" spans="1:5" ht="15">
      <c r="A26" s="111"/>
      <c r="B26" s="209"/>
      <c r="C26" s="105"/>
      <c r="D26" s="309"/>
      <c r="E26" s="170"/>
    </row>
    <row r="27" spans="1:5" ht="15">
      <c r="A27" s="111"/>
      <c r="B27" s="209"/>
      <c r="C27" s="105"/>
      <c r="D27" s="309"/>
      <c r="E27" s="170"/>
    </row>
    <row r="28" spans="1:5" ht="15">
      <c r="A28" s="111"/>
      <c r="B28" s="209"/>
      <c r="C28" s="105"/>
      <c r="D28" s="309"/>
      <c r="E28" s="170"/>
    </row>
    <row r="29" spans="1:5" ht="15">
      <c r="A29" s="111"/>
      <c r="B29" s="209"/>
      <c r="C29" s="105"/>
      <c r="D29" s="309"/>
      <c r="E29" s="170"/>
    </row>
    <row r="30" spans="1:5" ht="15">
      <c r="A30" s="111"/>
      <c r="B30" s="209"/>
      <c r="C30" s="105"/>
      <c r="D30" s="309"/>
      <c r="E30" s="170"/>
    </row>
    <row r="31" spans="1:5" ht="15">
      <c r="A31" s="111" t="str">
        <f>IF(inputPrYr!B20&gt;" ",(inputPrYr!B20)," ")</f>
        <v> </v>
      </c>
      <c r="B31" s="209"/>
      <c r="C31" s="105"/>
      <c r="D31" s="309"/>
      <c r="E31" s="170"/>
    </row>
    <row r="32" spans="1:5" ht="15">
      <c r="A32" s="113"/>
      <c r="B32" s="42" t="s">
        <v>71</v>
      </c>
      <c r="C32" s="172"/>
      <c r="D32" s="130">
        <f>SUM(D20:D31)</f>
        <v>74.569</v>
      </c>
      <c r="E32" s="113"/>
    </row>
    <row r="33" spans="1:5" ht="15">
      <c r="A33" s="113"/>
      <c r="B33" s="113"/>
      <c r="C33" s="113"/>
      <c r="D33" s="113"/>
      <c r="E33" s="113"/>
    </row>
    <row r="34" spans="1:8" ht="15">
      <c r="A34" s="20" t="str">
        <f>CONCATENATE("Final Assessed Valuation from the November 1, ",E1-2," Abstract")</f>
        <v>Final Assessed Valuation from the November 1, 2010 Abstract</v>
      </c>
      <c r="B34" s="173"/>
      <c r="C34" s="173"/>
      <c r="D34" s="173"/>
      <c r="E34" s="17">
        <v>2968131</v>
      </c>
      <c r="F34" s="409" t="s">
        <v>480</v>
      </c>
      <c r="H34" s="392"/>
    </row>
    <row r="35" spans="1:5" ht="15">
      <c r="A35" s="113"/>
      <c r="B35" s="113"/>
      <c r="C35" s="113"/>
      <c r="D35" s="113"/>
      <c r="E35" s="113"/>
    </row>
    <row r="36" spans="1:5" ht="15">
      <c r="A36" s="124" t="str">
        <f>CONCATENATE("From the County Treasurer's Budget Information - ",E1," Budget Year Estimates:")</f>
        <v>From the County Treasurer's Budget Information - 2012 Budget Year Estimates:</v>
      </c>
      <c r="B36" s="125"/>
      <c r="C36" s="125"/>
      <c r="D36" s="126"/>
      <c r="E36" s="65"/>
    </row>
    <row r="37" spans="1:8" ht="15">
      <c r="A37" s="110" t="s">
        <v>72</v>
      </c>
      <c r="B37" s="20"/>
      <c r="C37" s="20"/>
      <c r="D37" s="117"/>
      <c r="E37" s="9">
        <v>40964</v>
      </c>
      <c r="F37" s="392" t="s">
        <v>480</v>
      </c>
      <c r="H37" s="392"/>
    </row>
    <row r="38" spans="1:8" ht="15">
      <c r="A38" s="111" t="s">
        <v>73</v>
      </c>
      <c r="B38" s="114"/>
      <c r="C38" s="114"/>
      <c r="D38" s="118"/>
      <c r="E38" s="9">
        <v>1287</v>
      </c>
      <c r="F38" s="392" t="s">
        <v>480</v>
      </c>
      <c r="H38" s="392"/>
    </row>
    <row r="39" spans="1:8" ht="15">
      <c r="A39" s="111" t="s">
        <v>279</v>
      </c>
      <c r="B39" s="114"/>
      <c r="C39" s="114"/>
      <c r="D39" s="118"/>
      <c r="E39" s="9">
        <v>677</v>
      </c>
      <c r="F39" s="392" t="s">
        <v>480</v>
      </c>
      <c r="H39" s="392"/>
    </row>
    <row r="40" spans="1:5" ht="15">
      <c r="A40" s="111" t="s">
        <v>280</v>
      </c>
      <c r="B40" s="114"/>
      <c r="C40" s="114"/>
      <c r="D40" s="118"/>
      <c r="E40" s="9"/>
    </row>
    <row r="41" spans="1:5" ht="15">
      <c r="A41" s="111" t="s">
        <v>281</v>
      </c>
      <c r="B41" s="114"/>
      <c r="C41" s="114"/>
      <c r="D41" s="118"/>
      <c r="E41" s="9"/>
    </row>
    <row r="42" spans="1:5" ht="15">
      <c r="A42" s="110" t="s">
        <v>282</v>
      </c>
      <c r="B42" s="20"/>
      <c r="C42" s="20"/>
      <c r="D42" s="117"/>
      <c r="E42" s="9"/>
    </row>
    <row r="43" spans="1:5" ht="15">
      <c r="A43" s="21" t="s">
        <v>283</v>
      </c>
      <c r="B43" s="21"/>
      <c r="C43" s="21"/>
      <c r="D43" s="21"/>
      <c r="E43" s="21"/>
    </row>
    <row r="44" spans="1:5" ht="15">
      <c r="A44" s="22" t="s">
        <v>94</v>
      </c>
      <c r="B44" s="27"/>
      <c r="C44" s="27"/>
      <c r="D44" s="21"/>
      <c r="E44" s="21"/>
    </row>
    <row r="45" spans="1:5" ht="15">
      <c r="A45" s="129" t="str">
        <f>CONCATENATE("Actual Delinquency for ",E1-2," Tax")</f>
        <v>Actual Delinquency for 2010 Tax</v>
      </c>
      <c r="B45" s="105"/>
      <c r="C45" s="21"/>
      <c r="D45" s="21"/>
      <c r="E45" s="303"/>
    </row>
    <row r="46" spans="1:5" ht="15">
      <c r="A46" s="110" t="s">
        <v>284</v>
      </c>
      <c r="B46" s="110"/>
      <c r="C46" s="20"/>
      <c r="D46" s="20"/>
      <c r="E46" s="233"/>
    </row>
    <row r="47" spans="1:5" ht="15">
      <c r="A47" s="21"/>
      <c r="B47" s="21"/>
      <c r="C47" s="21"/>
      <c r="D47" s="21"/>
      <c r="E47" s="21"/>
    </row>
    <row r="48" spans="1:5" ht="15">
      <c r="A48" s="174" t="s">
        <v>377</v>
      </c>
      <c r="B48" s="175"/>
      <c r="C48" s="176"/>
      <c r="D48" s="176"/>
      <c r="E48" s="176"/>
    </row>
    <row r="49" spans="1:6" ht="15">
      <c r="A49" s="154" t="str">
        <f>CONCATENATE("",E1," State Distribution for Kansas Gas Tax")</f>
        <v>2012 State Distribution for Kansas Gas Tax</v>
      </c>
      <c r="B49" s="177"/>
      <c r="C49" s="177"/>
      <c r="D49" s="178"/>
      <c r="E49" s="17">
        <v>27690</v>
      </c>
      <c r="F49" s="392" t="s">
        <v>480</v>
      </c>
    </row>
    <row r="50" spans="1:5" ht="15">
      <c r="A50" s="179" t="str">
        <f>CONCATENATE("",E1," County Transfers for Gas**")</f>
        <v>2012 County Transfers for Gas**</v>
      </c>
      <c r="B50" s="180"/>
      <c r="C50" s="180"/>
      <c r="D50" s="181"/>
      <c r="E50" s="17"/>
    </row>
    <row r="51" spans="1:6" ht="15">
      <c r="A51" s="179" t="str">
        <f>CONCATENATE("Adjusted ",E1-1," State Distribution for Kansas Gas Tax")</f>
        <v>Adjusted 2011 State Distribution for Kansas Gas Tax</v>
      </c>
      <c r="B51" s="180"/>
      <c r="C51" s="180"/>
      <c r="D51" s="181"/>
      <c r="E51" s="17">
        <v>27150</v>
      </c>
      <c r="F51" s="392" t="s">
        <v>480</v>
      </c>
    </row>
    <row r="52" spans="1:5" ht="15">
      <c r="A52" s="179" t="str">
        <f>CONCATENATE("Adjusted ",E1-1," County Transfers for Gas**")</f>
        <v>Adjusted 2011 County Transfers for Gas**</v>
      </c>
      <c r="B52" s="180"/>
      <c r="C52" s="180"/>
      <c r="D52" s="181"/>
      <c r="E52" s="17"/>
    </row>
    <row r="53" spans="1:5" ht="15">
      <c r="A53" s="436" t="s">
        <v>349</v>
      </c>
      <c r="B53" s="437"/>
      <c r="C53" s="437"/>
      <c r="D53" s="437"/>
      <c r="E53" s="437"/>
    </row>
    <row r="54" spans="1:5" ht="15">
      <c r="A54" s="182" t="s">
        <v>350</v>
      </c>
      <c r="B54" s="182"/>
      <c r="C54" s="182"/>
      <c r="D54" s="182"/>
      <c r="E54" s="182"/>
    </row>
    <row r="55" spans="1:5" ht="15">
      <c r="A55" s="169"/>
      <c r="B55" s="169"/>
      <c r="C55" s="169"/>
      <c r="D55" s="169"/>
      <c r="E55" s="169"/>
    </row>
    <row r="56" spans="1:5" ht="15">
      <c r="A56" s="438" t="str">
        <f>CONCATENATE("From the ",E1-2," Budget Summary Page")</f>
        <v>From the 2010 Budget Summary Page</v>
      </c>
      <c r="B56" s="439"/>
      <c r="C56" s="169"/>
      <c r="D56" s="169"/>
      <c r="E56" s="169"/>
    </row>
    <row r="57" spans="1:5" ht="15">
      <c r="A57" s="347"/>
      <c r="B57" s="347" t="str">
        <f>CONCATENATE("",E1-2," Expenditure Amounts")</f>
        <v>2010 Expenditure Amounts</v>
      </c>
      <c r="C57" s="432" t="str">
        <f>CONCATENATE("Note: If the ",E1-2," budget was amended, then the")</f>
        <v>Note: If the 2010 budget was amended, then the</v>
      </c>
      <c r="D57" s="433"/>
      <c r="E57" s="433"/>
    </row>
    <row r="58" spans="1:11" ht="15">
      <c r="A58" s="348" t="s">
        <v>386</v>
      </c>
      <c r="B58" s="348" t="s">
        <v>387</v>
      </c>
      <c r="C58" s="349" t="s">
        <v>388</v>
      </c>
      <c r="D58" s="350"/>
      <c r="E58" s="350"/>
      <c r="F58" s="415" t="s">
        <v>524</v>
      </c>
      <c r="G58" s="415"/>
      <c r="H58" s="415"/>
      <c r="I58" s="415"/>
      <c r="J58" s="415"/>
      <c r="K58" s="415"/>
    </row>
    <row r="59" spans="1:11" ht="15">
      <c r="A59" s="351" t="str">
        <f>inputPrYr!B16</f>
        <v>General</v>
      </c>
      <c r="B59" s="17">
        <v>725655</v>
      </c>
      <c r="C59" s="349" t="s">
        <v>389</v>
      </c>
      <c r="D59" s="352"/>
      <c r="E59" s="352"/>
      <c r="F59" s="415" t="s">
        <v>525</v>
      </c>
      <c r="G59" s="415"/>
      <c r="H59" s="415"/>
      <c r="I59" s="415"/>
      <c r="J59" s="415"/>
      <c r="K59" s="415"/>
    </row>
    <row r="60" spans="1:11" ht="15">
      <c r="A60" s="351" t="str">
        <f>inputPrYr!B17</f>
        <v>Bond &amp; Interest</v>
      </c>
      <c r="B60" s="17">
        <v>0</v>
      </c>
      <c r="C60" s="349"/>
      <c r="D60" s="352"/>
      <c r="E60" s="352"/>
      <c r="F60" s="415" t="s">
        <v>526</v>
      </c>
      <c r="G60" s="415"/>
      <c r="H60" s="415"/>
      <c r="I60" s="415"/>
      <c r="J60" s="415"/>
      <c r="K60" s="415"/>
    </row>
    <row r="61" spans="1:11" ht="15">
      <c r="A61" s="351" t="str">
        <f>inputPrYr!B19</f>
        <v>Library</v>
      </c>
      <c r="B61" s="17">
        <v>10900</v>
      </c>
      <c r="C61" s="169"/>
      <c r="D61" s="169"/>
      <c r="E61" s="169"/>
      <c r="F61" s="415" t="s">
        <v>527</v>
      </c>
      <c r="G61" s="415"/>
      <c r="H61" s="415"/>
      <c r="I61" s="415"/>
      <c r="J61" s="415"/>
      <c r="K61" s="415"/>
    </row>
    <row r="62" spans="1:11" ht="15">
      <c r="A62" s="351" t="str">
        <f>inputPrYr!B24</f>
        <v>Special Highway</v>
      </c>
      <c r="B62" s="17">
        <v>32390</v>
      </c>
      <c r="C62" s="169"/>
      <c r="D62" s="169"/>
      <c r="E62" s="169"/>
      <c r="F62" s="415" t="s">
        <v>528</v>
      </c>
      <c r="G62" s="415"/>
      <c r="H62" s="415"/>
      <c r="I62" s="415"/>
      <c r="J62" s="415"/>
      <c r="K62" s="415"/>
    </row>
    <row r="63" spans="1:11" ht="15">
      <c r="A63" s="351" t="str">
        <f>inputPrYr!B25</f>
        <v>Water/Sewer/Refuse</v>
      </c>
      <c r="B63" s="17">
        <v>300532</v>
      </c>
      <c r="C63" s="169"/>
      <c r="D63" s="169"/>
      <c r="E63" s="169"/>
      <c r="F63" s="415" t="s">
        <v>529</v>
      </c>
      <c r="G63" s="415"/>
      <c r="H63" s="415"/>
      <c r="I63" s="415"/>
      <c r="J63" s="415"/>
      <c r="K63" s="415"/>
    </row>
    <row r="64" spans="1:11" ht="15">
      <c r="A64" s="351" t="str">
        <f>inputPrYr!B26</f>
        <v>Capital Improvement</v>
      </c>
      <c r="B64" s="17">
        <v>163010</v>
      </c>
      <c r="C64" s="169"/>
      <c r="D64" s="169"/>
      <c r="E64" s="169"/>
      <c r="F64" s="415"/>
      <c r="G64" s="415"/>
      <c r="H64" s="415"/>
      <c r="I64" s="415"/>
      <c r="J64" s="415"/>
      <c r="K64" s="415"/>
    </row>
    <row r="65" spans="1:5" ht="15">
      <c r="A65" s="351" t="str">
        <f>inputPrYr!B27</f>
        <v>Utility System Reserve</v>
      </c>
      <c r="B65" s="17">
        <v>162482</v>
      </c>
      <c r="C65" s="169"/>
      <c r="D65" s="169"/>
      <c r="E65" s="169"/>
    </row>
    <row r="66" spans="1:5" ht="15">
      <c r="A66" s="351" t="s">
        <v>48</v>
      </c>
      <c r="B66" s="17">
        <v>2865</v>
      </c>
      <c r="C66" s="169"/>
      <c r="D66" s="169"/>
      <c r="E66" s="169"/>
    </row>
    <row r="67" spans="1:5" ht="15">
      <c r="A67" s="351" t="s">
        <v>55</v>
      </c>
      <c r="B67" s="17">
        <v>0</v>
      </c>
      <c r="C67" s="169"/>
      <c r="D67" s="169"/>
      <c r="E67" s="169"/>
    </row>
    <row r="68" spans="1:5" ht="15">
      <c r="A68" s="351" t="s">
        <v>488</v>
      </c>
      <c r="B68" s="17">
        <v>0</v>
      </c>
      <c r="C68" s="169"/>
      <c r="D68" s="169"/>
      <c r="E68" s="169"/>
    </row>
    <row r="69" spans="1:5" ht="15">
      <c r="A69" s="351" t="s">
        <v>504</v>
      </c>
      <c r="B69" s="17">
        <v>0</v>
      </c>
      <c r="C69" s="169"/>
      <c r="D69" s="169"/>
      <c r="E69" s="169"/>
    </row>
  </sheetData>
  <sheetProtection/>
  <mergeCells count="5">
    <mergeCell ref="C57:E57"/>
    <mergeCell ref="A19:B19"/>
    <mergeCell ref="A53:E53"/>
    <mergeCell ref="A3:E3"/>
    <mergeCell ref="A56:B56"/>
  </mergeCells>
  <printOptions/>
  <pageMargins left="0.75" right="0.75" top="1" bottom="1" header="0.5" footer="0.5"/>
  <pageSetup blackAndWhite="1" fitToHeight="1" fitToWidth="1" horizontalDpi="600" verticalDpi="600" orientation="portrait" scale="50" r:id="rId2"/>
  <headerFooter alignWithMargins="0">
    <oddFooter>&amp;Lrevised 8/06/07</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1">
      <selection activeCell="F3" sqref="F3"/>
    </sheetView>
  </sheetViews>
  <sheetFormatPr defaultColWidth="8.89843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
      <c r="A1" s="51" t="str">
        <f>inputPrYr!$D$2</f>
        <v>CITY OF BLUE RAPIDS</v>
      </c>
      <c r="B1" s="153"/>
      <c r="C1" s="50"/>
      <c r="D1" s="50"/>
      <c r="E1" s="50"/>
      <c r="F1" s="52" t="s">
        <v>273</v>
      </c>
      <c r="G1" s="50"/>
      <c r="H1" s="50"/>
      <c r="I1" s="50"/>
      <c r="J1" s="50"/>
      <c r="K1" s="50">
        <f>inputPrYr!$C$5</f>
        <v>2012</v>
      </c>
    </row>
    <row r="2" spans="1:11" ht="15">
      <c r="A2" s="50"/>
      <c r="B2" s="50"/>
      <c r="C2" s="50"/>
      <c r="D2" s="50"/>
      <c r="E2" s="50"/>
      <c r="F2" s="378" t="str">
        <f>CONCATENATE("(Only the actual budget year for ",K1-2," is to be shown)")</f>
        <v>(Only the actual budget year for 2010 is to be shown)</v>
      </c>
      <c r="G2" s="50"/>
      <c r="H2" s="50"/>
      <c r="I2" s="50"/>
      <c r="J2" s="50"/>
      <c r="K2" s="50"/>
    </row>
    <row r="3" spans="1:11" ht="15">
      <c r="A3" s="50" t="s">
        <v>317</v>
      </c>
      <c r="B3" s="50"/>
      <c r="C3" s="50"/>
      <c r="D3" s="50"/>
      <c r="E3" s="50"/>
      <c r="F3" s="153"/>
      <c r="G3" s="50"/>
      <c r="H3" s="50"/>
      <c r="I3" s="50"/>
      <c r="J3" s="50"/>
      <c r="K3" s="50"/>
    </row>
    <row r="4" spans="1:11" ht="15">
      <c r="A4" s="50" t="s">
        <v>266</v>
      </c>
      <c r="B4" s="50"/>
      <c r="C4" s="50" t="s">
        <v>267</v>
      </c>
      <c r="D4" s="50"/>
      <c r="E4" s="50" t="s">
        <v>268</v>
      </c>
      <c r="F4" s="153"/>
      <c r="G4" s="50" t="s">
        <v>269</v>
      </c>
      <c r="H4" s="50"/>
      <c r="I4" s="50" t="s">
        <v>270</v>
      </c>
      <c r="J4" s="50"/>
      <c r="K4" s="50"/>
    </row>
    <row r="5" spans="1:11" ht="15">
      <c r="A5" s="480" t="e">
        <f>IF(inputPrYr!#REF!&gt;" ",(inputPrYr!#REF!)," ")</f>
        <v>#REF!</v>
      </c>
      <c r="B5" s="481"/>
      <c r="C5" s="480" t="e">
        <f>IF(inputPrYr!#REF!&gt;" ",(inputPrYr!#REF!)," ")</f>
        <v>#REF!</v>
      </c>
      <c r="D5" s="481"/>
      <c r="E5" s="480" t="e">
        <f>IF(inputPrYr!#REF!&gt;" ",(inputPrYr!#REF!)," ")</f>
        <v>#REF!</v>
      </c>
      <c r="F5" s="481"/>
      <c r="G5" s="480" t="e">
        <f>IF(inputPrYr!#REF!&gt;" ",(inputPrYr!#REF!)," ")</f>
        <v>#REF!</v>
      </c>
      <c r="H5" s="481"/>
      <c r="I5" s="480" t="e">
        <f>IF(inputPrYr!#REF!&gt;" ",(inputPrYr!#REF!)," ")</f>
        <v>#REF!</v>
      </c>
      <c r="J5" s="481"/>
      <c r="K5" s="154"/>
    </row>
    <row r="6" spans="1:11" ht="15">
      <c r="A6" s="155" t="s">
        <v>271</v>
      </c>
      <c r="B6" s="156"/>
      <c r="C6" s="157" t="s">
        <v>271</v>
      </c>
      <c r="D6" s="158"/>
      <c r="E6" s="157" t="s">
        <v>271</v>
      </c>
      <c r="F6" s="159"/>
      <c r="G6" s="157" t="s">
        <v>271</v>
      </c>
      <c r="H6" s="160"/>
      <c r="I6" s="157" t="s">
        <v>271</v>
      </c>
      <c r="J6" s="50"/>
      <c r="K6" s="161" t="s">
        <v>71</v>
      </c>
    </row>
    <row r="7" spans="1:11" ht="15">
      <c r="A7" s="162" t="s">
        <v>428</v>
      </c>
      <c r="B7" s="287"/>
      <c r="C7" s="163" t="s">
        <v>428</v>
      </c>
      <c r="D7" s="288"/>
      <c r="E7" s="163" t="s">
        <v>428</v>
      </c>
      <c r="F7" s="288"/>
      <c r="G7" s="163" t="s">
        <v>428</v>
      </c>
      <c r="H7" s="288"/>
      <c r="I7" s="163" t="s">
        <v>428</v>
      </c>
      <c r="J7" s="288"/>
      <c r="K7" s="270">
        <f>SUM(B7+D7+F7+H7+J7)</f>
        <v>0</v>
      </c>
    </row>
    <row r="8" spans="1:11" ht="15">
      <c r="A8" s="164" t="s">
        <v>236</v>
      </c>
      <c r="B8" s="165"/>
      <c r="C8" s="164" t="s">
        <v>236</v>
      </c>
      <c r="D8" s="166"/>
      <c r="E8" s="164" t="s">
        <v>236</v>
      </c>
      <c r="F8" s="153"/>
      <c r="G8" s="164" t="s">
        <v>236</v>
      </c>
      <c r="H8" s="50"/>
      <c r="I8" s="164" t="s">
        <v>236</v>
      </c>
      <c r="J8" s="50"/>
      <c r="K8" s="153"/>
    </row>
    <row r="9" spans="1:11" ht="15">
      <c r="A9" s="286"/>
      <c r="B9" s="287"/>
      <c r="C9" s="286"/>
      <c r="D9" s="288"/>
      <c r="E9" s="286"/>
      <c r="F9" s="288"/>
      <c r="G9" s="286"/>
      <c r="H9" s="288"/>
      <c r="I9" s="286"/>
      <c r="J9" s="288"/>
      <c r="K9" s="153"/>
    </row>
    <row r="10" spans="1:11" ht="15">
      <c r="A10" s="286"/>
      <c r="B10" s="287"/>
      <c r="C10" s="286"/>
      <c r="D10" s="288"/>
      <c r="E10" s="286"/>
      <c r="F10" s="288"/>
      <c r="G10" s="286"/>
      <c r="H10" s="288"/>
      <c r="I10" s="286"/>
      <c r="J10" s="288"/>
      <c r="K10" s="153"/>
    </row>
    <row r="11" spans="1:11" ht="15">
      <c r="A11" s="286"/>
      <c r="B11" s="287"/>
      <c r="C11" s="289"/>
      <c r="D11" s="290"/>
      <c r="E11" s="289"/>
      <c r="F11" s="290"/>
      <c r="G11" s="289"/>
      <c r="H11" s="290"/>
      <c r="I11" s="291"/>
      <c r="J11" s="288"/>
      <c r="K11" s="153"/>
    </row>
    <row r="12" spans="1:11" ht="15">
      <c r="A12" s="286"/>
      <c r="B12" s="292"/>
      <c r="C12" s="286"/>
      <c r="D12" s="293"/>
      <c r="E12" s="294"/>
      <c r="F12" s="293"/>
      <c r="G12" s="294"/>
      <c r="H12" s="293"/>
      <c r="I12" s="294"/>
      <c r="J12" s="288"/>
      <c r="K12" s="153"/>
    </row>
    <row r="13" spans="1:11" ht="15">
      <c r="A13" s="295"/>
      <c r="B13" s="296"/>
      <c r="C13" s="297"/>
      <c r="D13" s="298"/>
      <c r="E13" s="297"/>
      <c r="F13" s="298"/>
      <c r="G13" s="297"/>
      <c r="H13" s="298"/>
      <c r="I13" s="291"/>
      <c r="J13" s="288"/>
      <c r="K13" s="153"/>
    </row>
    <row r="14" spans="1:11" ht="15">
      <c r="A14" s="286"/>
      <c r="B14" s="287"/>
      <c r="C14" s="294"/>
      <c r="D14" s="293"/>
      <c r="E14" s="294"/>
      <c r="F14" s="293"/>
      <c r="G14" s="294"/>
      <c r="H14" s="293"/>
      <c r="I14" s="294"/>
      <c r="J14" s="288"/>
      <c r="K14" s="153"/>
    </row>
    <row r="15" spans="1:11" ht="15">
      <c r="A15" s="286"/>
      <c r="B15" s="287"/>
      <c r="C15" s="294"/>
      <c r="D15" s="293"/>
      <c r="E15" s="294"/>
      <c r="F15" s="293"/>
      <c r="G15" s="294"/>
      <c r="H15" s="293"/>
      <c r="I15" s="294"/>
      <c r="J15" s="288"/>
      <c r="K15" s="153"/>
    </row>
    <row r="16" spans="1:11" ht="15">
      <c r="A16" s="286"/>
      <c r="B16" s="296"/>
      <c r="C16" s="286"/>
      <c r="D16" s="298"/>
      <c r="E16" s="286"/>
      <c r="F16" s="288"/>
      <c r="G16" s="294"/>
      <c r="H16" s="298"/>
      <c r="I16" s="286"/>
      <c r="J16" s="293"/>
      <c r="K16" s="153"/>
    </row>
    <row r="17" spans="1:11" ht="15">
      <c r="A17" s="164" t="s">
        <v>107</v>
      </c>
      <c r="B17" s="270">
        <f>SUM(B9:B16)</f>
        <v>0</v>
      </c>
      <c r="C17" s="164" t="s">
        <v>107</v>
      </c>
      <c r="D17" s="271">
        <f>SUM(D9:D16)</f>
        <v>0</v>
      </c>
      <c r="E17" s="164" t="s">
        <v>107</v>
      </c>
      <c r="F17" s="272">
        <f>SUM(F9:F16)</f>
        <v>0</v>
      </c>
      <c r="G17" s="164" t="s">
        <v>107</v>
      </c>
      <c r="H17" s="271">
        <f>SUM(H9:H16)</f>
        <v>0</v>
      </c>
      <c r="I17" s="164" t="s">
        <v>107</v>
      </c>
      <c r="J17" s="271">
        <f>SUM(J9:J16)</f>
        <v>0</v>
      </c>
      <c r="K17" s="270">
        <f>SUM(B17+D17+F17+H17+J17)</f>
        <v>0</v>
      </c>
    </row>
    <row r="18" spans="1:11" ht="15">
      <c r="A18" s="164" t="s">
        <v>108</v>
      </c>
      <c r="B18" s="270">
        <f>SUM(B7+B17)</f>
        <v>0</v>
      </c>
      <c r="C18" s="164" t="s">
        <v>108</v>
      </c>
      <c r="D18" s="270">
        <f>SUM(D7+D17)</f>
        <v>0</v>
      </c>
      <c r="E18" s="164" t="s">
        <v>108</v>
      </c>
      <c r="F18" s="270">
        <f>SUM(F7+F17)</f>
        <v>0</v>
      </c>
      <c r="G18" s="164" t="s">
        <v>108</v>
      </c>
      <c r="H18" s="270">
        <f>SUM(H7+H17)</f>
        <v>0</v>
      </c>
      <c r="I18" s="164" t="s">
        <v>108</v>
      </c>
      <c r="J18" s="270">
        <f>SUM(J7+J17)</f>
        <v>0</v>
      </c>
      <c r="K18" s="270">
        <f>SUM(B18+D18+F18+H18+J18)</f>
        <v>0</v>
      </c>
    </row>
    <row r="19" spans="1:11" ht="15">
      <c r="A19" s="164" t="s">
        <v>110</v>
      </c>
      <c r="B19" s="165"/>
      <c r="C19" s="164" t="s">
        <v>110</v>
      </c>
      <c r="D19" s="166"/>
      <c r="E19" s="164" t="s">
        <v>110</v>
      </c>
      <c r="F19" s="153"/>
      <c r="G19" s="164" t="s">
        <v>110</v>
      </c>
      <c r="H19" s="50"/>
      <c r="I19" s="164" t="s">
        <v>110</v>
      </c>
      <c r="J19" s="50"/>
      <c r="K19" s="153"/>
    </row>
    <row r="20" spans="1:11" ht="15">
      <c r="A20" s="286"/>
      <c r="B20" s="287"/>
      <c r="C20" s="294"/>
      <c r="D20" s="293"/>
      <c r="E20" s="294"/>
      <c r="F20" s="293"/>
      <c r="G20" s="294"/>
      <c r="H20" s="293"/>
      <c r="I20" s="294"/>
      <c r="J20" s="288"/>
      <c r="K20" s="153"/>
    </row>
    <row r="21" spans="1:11" ht="15">
      <c r="A21" s="286"/>
      <c r="B21" s="287"/>
      <c r="C21" s="294"/>
      <c r="D21" s="293"/>
      <c r="E21" s="294"/>
      <c r="F21" s="293"/>
      <c r="G21" s="294"/>
      <c r="H21" s="293"/>
      <c r="I21" s="294"/>
      <c r="J21" s="299"/>
      <c r="K21" s="153"/>
    </row>
    <row r="22" spans="1:11" ht="15">
      <c r="A22" s="286"/>
      <c r="B22" s="300"/>
      <c r="C22" s="297"/>
      <c r="D22" s="298"/>
      <c r="E22" s="297"/>
      <c r="F22" s="298"/>
      <c r="G22" s="297"/>
      <c r="H22" s="298"/>
      <c r="I22" s="291"/>
      <c r="J22" s="288"/>
      <c r="K22" s="153"/>
    </row>
    <row r="23" spans="1:11" ht="15">
      <c r="A23" s="286"/>
      <c r="B23" s="287"/>
      <c r="C23" s="294"/>
      <c r="D23" s="293"/>
      <c r="E23" s="294"/>
      <c r="F23" s="293"/>
      <c r="G23" s="294"/>
      <c r="H23" s="293"/>
      <c r="I23" s="294"/>
      <c r="J23" s="288"/>
      <c r="K23" s="153"/>
    </row>
    <row r="24" spans="1:11" ht="15">
      <c r="A24" s="286"/>
      <c r="B24" s="300"/>
      <c r="C24" s="297"/>
      <c r="D24" s="298"/>
      <c r="E24" s="297"/>
      <c r="F24" s="298"/>
      <c r="G24" s="297"/>
      <c r="H24" s="298"/>
      <c r="I24" s="291"/>
      <c r="J24" s="288"/>
      <c r="K24" s="153"/>
    </row>
    <row r="25" spans="1:11" ht="15">
      <c r="A25" s="286"/>
      <c r="B25" s="287"/>
      <c r="C25" s="294"/>
      <c r="D25" s="293"/>
      <c r="E25" s="294"/>
      <c r="F25" s="293"/>
      <c r="G25" s="294"/>
      <c r="H25" s="293"/>
      <c r="I25" s="294"/>
      <c r="J25" s="288"/>
      <c r="K25" s="153"/>
    </row>
    <row r="26" spans="1:11" ht="15">
      <c r="A26" s="286"/>
      <c r="B26" s="287"/>
      <c r="C26" s="294"/>
      <c r="D26" s="293"/>
      <c r="E26" s="294"/>
      <c r="F26" s="293"/>
      <c r="G26" s="294"/>
      <c r="H26" s="293"/>
      <c r="I26" s="294"/>
      <c r="J26" s="288"/>
      <c r="K26" s="153"/>
    </row>
    <row r="27" spans="1:11" ht="15">
      <c r="A27" s="286"/>
      <c r="B27" s="301"/>
      <c r="C27" s="286"/>
      <c r="D27" s="302"/>
      <c r="E27" s="286"/>
      <c r="F27" s="293"/>
      <c r="G27" s="294"/>
      <c r="H27" s="293"/>
      <c r="I27" s="294"/>
      <c r="J27" s="288"/>
      <c r="K27" s="153"/>
    </row>
    <row r="28" spans="1:11" ht="15">
      <c r="A28" s="164" t="s">
        <v>114</v>
      </c>
      <c r="B28" s="270">
        <f>SUM(B20:B27)</f>
        <v>0</v>
      </c>
      <c r="C28" s="164" t="s">
        <v>114</v>
      </c>
      <c r="D28" s="271">
        <f>SUM(D20:D27)</f>
        <v>0</v>
      </c>
      <c r="E28" s="164" t="s">
        <v>114</v>
      </c>
      <c r="F28" s="272">
        <f>SUM(F20:F27)</f>
        <v>0</v>
      </c>
      <c r="G28" s="164" t="s">
        <v>114</v>
      </c>
      <c r="H28" s="272">
        <f>SUM(H20:H27)</f>
        <v>0</v>
      </c>
      <c r="I28" s="164" t="s">
        <v>114</v>
      </c>
      <c r="J28" s="271">
        <f>SUM(J20:J27)</f>
        <v>0</v>
      </c>
      <c r="K28" s="270">
        <f>SUM(B28+D28+F28+H28+J28)</f>
        <v>0</v>
      </c>
    </row>
    <row r="29" spans="1:12" ht="15">
      <c r="A29" s="164" t="s">
        <v>272</v>
      </c>
      <c r="B29" s="270">
        <f>IF(B18-B28&gt;0,B18-B28,0)</f>
        <v>0</v>
      </c>
      <c r="C29" s="164" t="s">
        <v>272</v>
      </c>
      <c r="D29" s="270">
        <f>IF(D18-D28&gt;0,D18-D28,0)</f>
        <v>0</v>
      </c>
      <c r="E29" s="164" t="s">
        <v>272</v>
      </c>
      <c r="F29" s="270">
        <f>IF(F18-F28&gt;0,F18-F28,0)</f>
        <v>0</v>
      </c>
      <c r="G29" s="164" t="s">
        <v>272</v>
      </c>
      <c r="H29" s="270">
        <f>IF(H18-H28&gt;0,H18-H28,0)</f>
        <v>0</v>
      </c>
      <c r="I29" s="164" t="s">
        <v>272</v>
      </c>
      <c r="J29" s="270">
        <f>IF(J18-J28&gt;0,J18-J28,0)</f>
        <v>0</v>
      </c>
      <c r="K29" s="273">
        <f>SUM(B29+D29+F29+H29+J29)</f>
        <v>0</v>
      </c>
      <c r="L29" s="2" t="s">
        <v>363</v>
      </c>
    </row>
    <row r="30" spans="1:12" ht="15">
      <c r="A30" s="164"/>
      <c r="B30" s="165"/>
      <c r="C30" s="164"/>
      <c r="D30" s="166"/>
      <c r="E30" s="164"/>
      <c r="F30" s="153"/>
      <c r="G30" s="50"/>
      <c r="H30" s="50"/>
      <c r="I30" s="50"/>
      <c r="J30" s="50"/>
      <c r="K30" s="273">
        <f>SUM(K7+K17-K28)</f>
        <v>0</v>
      </c>
      <c r="L30" s="2" t="s">
        <v>363</v>
      </c>
    </row>
    <row r="31" spans="1:11" ht="15">
      <c r="A31" s="50"/>
      <c r="B31" s="55"/>
      <c r="C31" s="50"/>
      <c r="D31" s="153"/>
      <c r="E31" s="50"/>
      <c r="F31" s="50"/>
      <c r="G31" s="371" t="s">
        <v>365</v>
      </c>
      <c r="H31" s="371"/>
      <c r="I31" s="371"/>
      <c r="J31" s="371"/>
      <c r="K31" s="50"/>
    </row>
    <row r="32" spans="1:11" ht="15">
      <c r="A32" s="50"/>
      <c r="B32" s="55"/>
      <c r="C32" s="50"/>
      <c r="D32" s="50"/>
      <c r="E32" s="50"/>
      <c r="F32" s="50"/>
      <c r="G32" s="50"/>
      <c r="H32" s="50"/>
      <c r="I32" s="50"/>
      <c r="J32" s="50"/>
      <c r="K32" s="50"/>
    </row>
    <row r="33" spans="1:11" ht="15">
      <c r="A33" s="50"/>
      <c r="B33" s="55"/>
      <c r="C33" s="50"/>
      <c r="D33" s="50"/>
      <c r="E33" s="63" t="s">
        <v>118</v>
      </c>
      <c r="F33" s="16"/>
      <c r="G33" s="50"/>
      <c r="H33" s="50"/>
      <c r="I33" s="50"/>
      <c r="J33" s="50"/>
      <c r="K33" s="50"/>
    </row>
    <row r="34" ht="15">
      <c r="B34" s="167"/>
    </row>
    <row r="35" ht="15">
      <c r="B35" s="167"/>
    </row>
    <row r="36" ht="15">
      <c r="B36" s="167"/>
    </row>
    <row r="37" ht="15">
      <c r="B37" s="167"/>
    </row>
    <row r="38" ht="15">
      <c r="B38" s="167"/>
    </row>
    <row r="39" ht="15">
      <c r="B39" s="167"/>
    </row>
    <row r="40" ht="15">
      <c r="B40" s="167"/>
    </row>
    <row r="41" ht="15">
      <c r="B41" s="16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5/08/08</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1">
      <selection activeCell="I3" sqref="I3"/>
    </sheetView>
  </sheetViews>
  <sheetFormatPr defaultColWidth="8.89843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
      <c r="A1" s="51" t="str">
        <f>inputPrYr!$D$2</f>
        <v>CITY OF BLUE RAPIDS</v>
      </c>
      <c r="B1" s="153"/>
      <c r="C1" s="50"/>
      <c r="D1" s="50"/>
      <c r="E1" s="50"/>
      <c r="F1" s="52" t="s">
        <v>274</v>
      </c>
      <c r="G1" s="50"/>
      <c r="H1" s="50"/>
      <c r="I1" s="50"/>
      <c r="J1" s="50"/>
      <c r="K1" s="50">
        <f>inputPrYr!$C$5</f>
        <v>2012</v>
      </c>
    </row>
    <row r="2" spans="1:11" ht="15">
      <c r="A2" s="50"/>
      <c r="B2" s="50"/>
      <c r="C2" s="50"/>
      <c r="D2" s="50"/>
      <c r="E2" s="50"/>
      <c r="F2" s="378" t="str">
        <f>CONCATENATE("(Only the actual budget year for ",K1-2," is to be shown)")</f>
        <v>(Only the actual budget year for 2010 is to be shown)</v>
      </c>
      <c r="G2" s="50"/>
      <c r="H2" s="50"/>
      <c r="I2" s="50"/>
      <c r="J2" s="50"/>
      <c r="K2" s="50"/>
    </row>
    <row r="3" spans="1:11" ht="15">
      <c r="A3" s="50" t="s">
        <v>315</v>
      </c>
      <c r="B3" s="50"/>
      <c r="C3" s="50"/>
      <c r="D3" s="50"/>
      <c r="E3" s="50"/>
      <c r="F3" s="153"/>
      <c r="G3" s="50"/>
      <c r="H3" s="50"/>
      <c r="I3" s="50"/>
      <c r="J3" s="50"/>
      <c r="K3" s="50"/>
    </row>
    <row r="4" spans="1:11" ht="15">
      <c r="A4" s="50" t="s">
        <v>266</v>
      </c>
      <c r="B4" s="50"/>
      <c r="C4" s="50" t="s">
        <v>267</v>
      </c>
      <c r="D4" s="50"/>
      <c r="E4" s="50" t="s">
        <v>268</v>
      </c>
      <c r="F4" s="153"/>
      <c r="G4" s="50" t="s">
        <v>269</v>
      </c>
      <c r="H4" s="50"/>
      <c r="I4" s="50" t="s">
        <v>270</v>
      </c>
      <c r="J4" s="50"/>
      <c r="K4" s="50"/>
    </row>
    <row r="5" spans="1:11" ht="15">
      <c r="A5" s="480" t="e">
        <f>IF(inputPrYr!#REF!&gt;" ",(inputPrYr!#REF!)," ")</f>
        <v>#REF!</v>
      </c>
      <c r="B5" s="481"/>
      <c r="C5" s="480" t="e">
        <f>IF(inputPrYr!#REF!&gt;" ",(inputPrYr!#REF!)," ")</f>
        <v>#REF!</v>
      </c>
      <c r="D5" s="481"/>
      <c r="E5" s="480" t="e">
        <f>IF(inputPrYr!#REF!&gt;" ",(inputPrYr!#REF!)," ")</f>
        <v>#REF!</v>
      </c>
      <c r="F5" s="481"/>
      <c r="G5" s="480" t="e">
        <f>IF(inputPrYr!#REF!&gt;" ",(inputPrYr!#REF!)," ")</f>
        <v>#REF!</v>
      </c>
      <c r="H5" s="481"/>
      <c r="I5" s="480" t="e">
        <f>IF(inputPrYr!#REF!&gt;" ",(inputPrYr!#REF!)," ")</f>
        <v>#REF!</v>
      </c>
      <c r="J5" s="481"/>
      <c r="K5" s="154"/>
    </row>
    <row r="6" spans="1:11" ht="15">
      <c r="A6" s="155" t="s">
        <v>271</v>
      </c>
      <c r="B6" s="156"/>
      <c r="C6" s="157" t="s">
        <v>271</v>
      </c>
      <c r="D6" s="158"/>
      <c r="E6" s="157" t="s">
        <v>271</v>
      </c>
      <c r="F6" s="159"/>
      <c r="G6" s="157" t="s">
        <v>271</v>
      </c>
      <c r="H6" s="160"/>
      <c r="I6" s="157" t="s">
        <v>271</v>
      </c>
      <c r="J6" s="50"/>
      <c r="K6" s="161" t="s">
        <v>71</v>
      </c>
    </row>
    <row r="7" spans="1:11" ht="15">
      <c r="A7" s="162" t="s">
        <v>428</v>
      </c>
      <c r="B7" s="288"/>
      <c r="C7" s="163" t="s">
        <v>428</v>
      </c>
      <c r="D7" s="288"/>
      <c r="E7" s="163" t="s">
        <v>428</v>
      </c>
      <c r="F7" s="288"/>
      <c r="G7" s="163" t="s">
        <v>428</v>
      </c>
      <c r="H7" s="288"/>
      <c r="I7" s="163" t="s">
        <v>428</v>
      </c>
      <c r="J7" s="288"/>
      <c r="K7" s="270">
        <f>SUM(B7+D7+F7+H7+J7)</f>
        <v>0</v>
      </c>
    </row>
    <row r="8" spans="1:11" ht="15">
      <c r="A8" s="164" t="s">
        <v>236</v>
      </c>
      <c r="B8" s="165"/>
      <c r="C8" s="164" t="s">
        <v>236</v>
      </c>
      <c r="D8" s="166"/>
      <c r="E8" s="164" t="s">
        <v>236</v>
      </c>
      <c r="F8" s="153"/>
      <c r="G8" s="164" t="s">
        <v>236</v>
      </c>
      <c r="H8" s="50"/>
      <c r="I8" s="164" t="s">
        <v>236</v>
      </c>
      <c r="J8" s="50"/>
      <c r="K8" s="153"/>
    </row>
    <row r="9" spans="1:11" ht="15">
      <c r="A9" s="286"/>
      <c r="B9" s="287"/>
      <c r="C9" s="286"/>
      <c r="D9" s="288"/>
      <c r="E9" s="286"/>
      <c r="F9" s="288"/>
      <c r="G9" s="286"/>
      <c r="H9" s="288"/>
      <c r="I9" s="286"/>
      <c r="J9" s="288"/>
      <c r="K9" s="153"/>
    </row>
    <row r="10" spans="1:11" ht="15">
      <c r="A10" s="286"/>
      <c r="B10" s="287"/>
      <c r="C10" s="286"/>
      <c r="D10" s="288"/>
      <c r="E10" s="286"/>
      <c r="F10" s="288"/>
      <c r="G10" s="286"/>
      <c r="H10" s="288"/>
      <c r="I10" s="286"/>
      <c r="J10" s="288"/>
      <c r="K10" s="153"/>
    </row>
    <row r="11" spans="1:11" ht="15">
      <c r="A11" s="286"/>
      <c r="B11" s="287"/>
      <c r="C11" s="289"/>
      <c r="D11" s="290"/>
      <c r="E11" s="289"/>
      <c r="F11" s="290"/>
      <c r="G11" s="289"/>
      <c r="H11" s="290"/>
      <c r="I11" s="291"/>
      <c r="J11" s="288"/>
      <c r="K11" s="153"/>
    </row>
    <row r="12" spans="1:11" ht="15">
      <c r="A12" s="286"/>
      <c r="B12" s="292"/>
      <c r="C12" s="286"/>
      <c r="D12" s="293"/>
      <c r="E12" s="294"/>
      <c r="F12" s="293"/>
      <c r="G12" s="294"/>
      <c r="H12" s="293"/>
      <c r="I12" s="294"/>
      <c r="J12" s="288"/>
      <c r="K12" s="153"/>
    </row>
    <row r="13" spans="1:11" ht="15">
      <c r="A13" s="295"/>
      <c r="B13" s="296"/>
      <c r="C13" s="297"/>
      <c r="D13" s="298"/>
      <c r="E13" s="297"/>
      <c r="F13" s="298"/>
      <c r="G13" s="297"/>
      <c r="H13" s="298"/>
      <c r="I13" s="291"/>
      <c r="J13" s="288"/>
      <c r="K13" s="153"/>
    </row>
    <row r="14" spans="1:11" ht="15">
      <c r="A14" s="286"/>
      <c r="B14" s="287"/>
      <c r="C14" s="294"/>
      <c r="D14" s="293"/>
      <c r="E14" s="294"/>
      <c r="F14" s="293"/>
      <c r="G14" s="294"/>
      <c r="H14" s="293"/>
      <c r="I14" s="294"/>
      <c r="J14" s="288"/>
      <c r="K14" s="153"/>
    </row>
    <row r="15" spans="1:11" ht="15">
      <c r="A15" s="286"/>
      <c r="B15" s="287"/>
      <c r="C15" s="294"/>
      <c r="D15" s="293"/>
      <c r="E15" s="294"/>
      <c r="F15" s="293"/>
      <c r="G15" s="294"/>
      <c r="H15" s="293"/>
      <c r="I15" s="294"/>
      <c r="J15" s="288"/>
      <c r="K15" s="153"/>
    </row>
    <row r="16" spans="1:11" ht="15">
      <c r="A16" s="286"/>
      <c r="B16" s="296"/>
      <c r="C16" s="286"/>
      <c r="D16" s="298"/>
      <c r="E16" s="286"/>
      <c r="F16" s="288"/>
      <c r="G16" s="294"/>
      <c r="H16" s="298"/>
      <c r="I16" s="286"/>
      <c r="J16" s="293"/>
      <c r="K16" s="153"/>
    </row>
    <row r="17" spans="1:11" ht="15">
      <c r="A17" s="164" t="s">
        <v>107</v>
      </c>
      <c r="B17" s="270">
        <f>SUM(B9:B16)</f>
        <v>0</v>
      </c>
      <c r="C17" s="164" t="s">
        <v>107</v>
      </c>
      <c r="D17" s="271">
        <f>SUM(D9:D16)</f>
        <v>0</v>
      </c>
      <c r="E17" s="164" t="s">
        <v>107</v>
      </c>
      <c r="F17" s="272">
        <f>SUM(F9:F16)</f>
        <v>0</v>
      </c>
      <c r="G17" s="164" t="s">
        <v>107</v>
      </c>
      <c r="H17" s="271">
        <f>SUM(H9:H16)</f>
        <v>0</v>
      </c>
      <c r="I17" s="164" t="s">
        <v>107</v>
      </c>
      <c r="J17" s="271">
        <f>SUM(J9:J16)</f>
        <v>0</v>
      </c>
      <c r="K17" s="270">
        <f>SUM(B17+D17+F17+H17+J17)</f>
        <v>0</v>
      </c>
    </row>
    <row r="18" spans="1:11" ht="15">
      <c r="A18" s="164" t="s">
        <v>108</v>
      </c>
      <c r="B18" s="270">
        <f>SUM(B7+B17)</f>
        <v>0</v>
      </c>
      <c r="C18" s="164" t="s">
        <v>108</v>
      </c>
      <c r="D18" s="270">
        <f>SUM(D7+D17)</f>
        <v>0</v>
      </c>
      <c r="E18" s="164" t="s">
        <v>108</v>
      </c>
      <c r="F18" s="270">
        <f>SUM(F7+F17)</f>
        <v>0</v>
      </c>
      <c r="G18" s="164" t="s">
        <v>108</v>
      </c>
      <c r="H18" s="270">
        <f>SUM(H7+H17)</f>
        <v>0</v>
      </c>
      <c r="I18" s="164" t="s">
        <v>108</v>
      </c>
      <c r="J18" s="270">
        <f>SUM(J7+J17)</f>
        <v>0</v>
      </c>
      <c r="K18" s="270">
        <f>SUM(B18+D18+F18+H18+J18)</f>
        <v>0</v>
      </c>
    </row>
    <row r="19" spans="1:11" ht="15">
      <c r="A19" s="164" t="s">
        <v>110</v>
      </c>
      <c r="B19" s="165"/>
      <c r="C19" s="164" t="s">
        <v>110</v>
      </c>
      <c r="D19" s="166"/>
      <c r="E19" s="164" t="s">
        <v>110</v>
      </c>
      <c r="F19" s="153"/>
      <c r="G19" s="164" t="s">
        <v>110</v>
      </c>
      <c r="H19" s="50"/>
      <c r="I19" s="164" t="s">
        <v>110</v>
      </c>
      <c r="J19" s="50"/>
      <c r="K19" s="153"/>
    </row>
    <row r="20" spans="1:11" ht="15">
      <c r="A20" s="286"/>
      <c r="B20" s="287"/>
      <c r="C20" s="294"/>
      <c r="D20" s="293"/>
      <c r="E20" s="294"/>
      <c r="F20" s="293"/>
      <c r="G20" s="294"/>
      <c r="H20" s="293"/>
      <c r="I20" s="294"/>
      <c r="J20" s="288"/>
      <c r="K20" s="153"/>
    </row>
    <row r="21" spans="1:11" ht="15">
      <c r="A21" s="286"/>
      <c r="B21" s="287"/>
      <c r="C21" s="294"/>
      <c r="D21" s="293"/>
      <c r="E21" s="294"/>
      <c r="F21" s="293"/>
      <c r="G21" s="294"/>
      <c r="H21" s="293"/>
      <c r="I21" s="294"/>
      <c r="J21" s="299"/>
      <c r="K21" s="153"/>
    </row>
    <row r="22" spans="1:11" ht="15">
      <c r="A22" s="286"/>
      <c r="B22" s="300"/>
      <c r="C22" s="297"/>
      <c r="D22" s="298"/>
      <c r="E22" s="297"/>
      <c r="F22" s="298"/>
      <c r="G22" s="297"/>
      <c r="H22" s="298"/>
      <c r="I22" s="291"/>
      <c r="J22" s="288"/>
      <c r="K22" s="153"/>
    </row>
    <row r="23" spans="1:11" ht="15">
      <c r="A23" s="286"/>
      <c r="B23" s="287"/>
      <c r="C23" s="294"/>
      <c r="D23" s="293"/>
      <c r="E23" s="294"/>
      <c r="F23" s="293"/>
      <c r="G23" s="294"/>
      <c r="H23" s="293"/>
      <c r="I23" s="294"/>
      <c r="J23" s="288"/>
      <c r="K23" s="153"/>
    </row>
    <row r="24" spans="1:11" ht="15">
      <c r="A24" s="286"/>
      <c r="B24" s="300"/>
      <c r="C24" s="297"/>
      <c r="D24" s="298"/>
      <c r="E24" s="297"/>
      <c r="F24" s="298"/>
      <c r="G24" s="297"/>
      <c r="H24" s="298"/>
      <c r="I24" s="291"/>
      <c r="J24" s="288"/>
      <c r="K24" s="153"/>
    </row>
    <row r="25" spans="1:11" ht="15">
      <c r="A25" s="286"/>
      <c r="B25" s="287"/>
      <c r="C25" s="294"/>
      <c r="D25" s="293"/>
      <c r="E25" s="294"/>
      <c r="F25" s="293"/>
      <c r="G25" s="294"/>
      <c r="H25" s="293"/>
      <c r="I25" s="294"/>
      <c r="J25" s="288"/>
      <c r="K25" s="153"/>
    </row>
    <row r="26" spans="1:11" ht="15">
      <c r="A26" s="286"/>
      <c r="B26" s="287"/>
      <c r="C26" s="294"/>
      <c r="D26" s="293"/>
      <c r="E26" s="294"/>
      <c r="F26" s="293"/>
      <c r="G26" s="294"/>
      <c r="H26" s="293"/>
      <c r="I26" s="294"/>
      <c r="J26" s="288"/>
      <c r="K26" s="153"/>
    </row>
    <row r="27" spans="1:11" ht="15">
      <c r="A27" s="286"/>
      <c r="B27" s="301"/>
      <c r="C27" s="286"/>
      <c r="D27" s="302"/>
      <c r="E27" s="286"/>
      <c r="F27" s="293"/>
      <c r="G27" s="294"/>
      <c r="H27" s="293"/>
      <c r="I27" s="294"/>
      <c r="J27" s="288"/>
      <c r="K27" s="153"/>
    </row>
    <row r="28" spans="1:11" ht="15">
      <c r="A28" s="164" t="s">
        <v>114</v>
      </c>
      <c r="B28" s="270">
        <f>SUM(B20:B27)</f>
        <v>0</v>
      </c>
      <c r="C28" s="164" t="s">
        <v>114</v>
      </c>
      <c r="D28" s="271">
        <f>SUM(D20:D27)</f>
        <v>0</v>
      </c>
      <c r="E28" s="164" t="s">
        <v>114</v>
      </c>
      <c r="F28" s="272">
        <f>SUM(F20:F27)</f>
        <v>0</v>
      </c>
      <c r="G28" s="164" t="s">
        <v>114</v>
      </c>
      <c r="H28" s="272">
        <f>SUM(H20:H27)</f>
        <v>0</v>
      </c>
      <c r="I28" s="164" t="s">
        <v>114</v>
      </c>
      <c r="J28" s="271">
        <f>SUM(J20:J27)</f>
        <v>0</v>
      </c>
      <c r="K28" s="270">
        <f>SUM(B28+D28+F28+H28+J28)</f>
        <v>0</v>
      </c>
    </row>
    <row r="29" spans="1:12" ht="15">
      <c r="A29" s="164" t="s">
        <v>272</v>
      </c>
      <c r="B29" s="270">
        <f>IF(B18-B28&gt;0,B18-B28,0)</f>
        <v>0</v>
      </c>
      <c r="C29" s="164" t="s">
        <v>272</v>
      </c>
      <c r="D29" s="270">
        <f>IF(D18-D28&gt;0,D18-D28,0)</f>
        <v>0</v>
      </c>
      <c r="E29" s="164" t="s">
        <v>272</v>
      </c>
      <c r="F29" s="270">
        <f>IF(F18-F28&gt;0,F18-F28,0)</f>
        <v>0</v>
      </c>
      <c r="G29" s="164" t="s">
        <v>272</v>
      </c>
      <c r="H29" s="270">
        <f>IF(H18-H28&gt;0,H18-H28,0)</f>
        <v>0</v>
      </c>
      <c r="I29" s="164" t="s">
        <v>272</v>
      </c>
      <c r="J29" s="270">
        <f>IF(J18-J28&gt;0,J18-J28,0)</f>
        <v>0</v>
      </c>
      <c r="K29" s="273">
        <f>SUM(B29+D29+F29+H29+J29)</f>
        <v>0</v>
      </c>
      <c r="L29" s="2" t="s">
        <v>363</v>
      </c>
    </row>
    <row r="30" spans="1:12" ht="15">
      <c r="A30" s="164"/>
      <c r="B30" s="165"/>
      <c r="C30" s="164"/>
      <c r="D30" s="166"/>
      <c r="E30" s="164"/>
      <c r="F30" s="153"/>
      <c r="G30" s="50"/>
      <c r="H30" s="50"/>
      <c r="I30" s="50"/>
      <c r="J30" s="50"/>
      <c r="K30" s="273">
        <f>SUM(K7+K17-K28)</f>
        <v>0</v>
      </c>
      <c r="L30" s="2" t="s">
        <v>363</v>
      </c>
    </row>
    <row r="31" spans="1:11" ht="15">
      <c r="A31" s="50"/>
      <c r="B31" s="55"/>
      <c r="C31" s="50"/>
      <c r="D31" s="153"/>
      <c r="E31" s="50"/>
      <c r="F31" s="50"/>
      <c r="G31" s="371" t="s">
        <v>365</v>
      </c>
      <c r="H31" s="371"/>
      <c r="I31" s="371"/>
      <c r="J31" s="371"/>
      <c r="K31" s="50"/>
    </row>
    <row r="32" spans="1:11" ht="15">
      <c r="A32" s="50"/>
      <c r="B32" s="55"/>
      <c r="C32" s="50"/>
      <c r="D32" s="50"/>
      <c r="E32" s="50"/>
      <c r="F32" s="50"/>
      <c r="G32" s="274"/>
      <c r="H32" s="50"/>
      <c r="I32" s="50"/>
      <c r="J32" s="50"/>
      <c r="K32" s="50"/>
    </row>
    <row r="33" spans="1:11" ht="15">
      <c r="A33" s="50"/>
      <c r="B33" s="55"/>
      <c r="C33" s="50"/>
      <c r="D33" s="50"/>
      <c r="E33" s="63" t="s">
        <v>118</v>
      </c>
      <c r="F33" s="16"/>
      <c r="G33" s="50"/>
      <c r="H33" s="50"/>
      <c r="I33" s="50"/>
      <c r="J33" s="50"/>
      <c r="K33" s="50"/>
    </row>
    <row r="34" ht="15">
      <c r="B34" s="167"/>
    </row>
    <row r="35" ht="15">
      <c r="B35" s="167"/>
    </row>
    <row r="36" ht="15">
      <c r="B36" s="167"/>
    </row>
    <row r="37" ht="15">
      <c r="B37" s="167"/>
    </row>
    <row r="38" ht="15">
      <c r="B38" s="167"/>
    </row>
    <row r="39" ht="15">
      <c r="B39" s="167"/>
    </row>
    <row r="40" ht="15">
      <c r="B40" s="167"/>
    </row>
    <row r="41" ht="15">
      <c r="B41" s="16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5/08/08</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1">
      <selection activeCell="I3" sqref="I3"/>
    </sheetView>
  </sheetViews>
  <sheetFormatPr defaultColWidth="8.89843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
      <c r="A1" s="51" t="str">
        <f>inputPrYr!$D$2</f>
        <v>CITY OF BLUE RAPIDS</v>
      </c>
      <c r="B1" s="153"/>
      <c r="C1" s="50"/>
      <c r="D1" s="50"/>
      <c r="E1" s="50"/>
      <c r="F1" s="52" t="s">
        <v>275</v>
      </c>
      <c r="G1" s="50"/>
      <c r="H1" s="50"/>
      <c r="I1" s="50"/>
      <c r="J1" s="50"/>
      <c r="K1" s="50">
        <f>inputPrYr!$C$5</f>
        <v>2012</v>
      </c>
    </row>
    <row r="2" spans="1:11" ht="15">
      <c r="A2" s="50"/>
      <c r="B2" s="50"/>
      <c r="C2" s="50"/>
      <c r="D2" s="50"/>
      <c r="E2" s="50"/>
      <c r="F2" s="378" t="str">
        <f>CONCATENATE("(Only the actual budget year for ",K1-2," is to be shown)")</f>
        <v>(Only the actual budget year for 2010 is to be shown)</v>
      </c>
      <c r="G2" s="50"/>
      <c r="H2" s="50"/>
      <c r="I2" s="50"/>
      <c r="J2" s="50"/>
      <c r="K2" s="50"/>
    </row>
    <row r="3" spans="1:11" ht="15">
      <c r="A3" s="50" t="s">
        <v>316</v>
      </c>
      <c r="B3" s="50"/>
      <c r="C3" s="50"/>
      <c r="D3" s="50"/>
      <c r="E3" s="50"/>
      <c r="F3" s="153"/>
      <c r="G3" s="50"/>
      <c r="H3" s="50"/>
      <c r="I3" s="50"/>
      <c r="J3" s="50"/>
      <c r="K3" s="50"/>
    </row>
    <row r="4" spans="1:11" ht="15">
      <c r="A4" s="50" t="s">
        <v>266</v>
      </c>
      <c r="B4" s="50"/>
      <c r="C4" s="50" t="s">
        <v>267</v>
      </c>
      <c r="D4" s="50"/>
      <c r="E4" s="50" t="s">
        <v>268</v>
      </c>
      <c r="F4" s="153"/>
      <c r="G4" s="50" t="s">
        <v>269</v>
      </c>
      <c r="H4" s="50"/>
      <c r="I4" s="50" t="s">
        <v>270</v>
      </c>
      <c r="J4" s="50"/>
      <c r="K4" s="50"/>
    </row>
    <row r="5" spans="1:11" ht="15">
      <c r="A5" s="480" t="e">
        <f>IF(inputPrYr!#REF!&gt;" ",(inputPrYr!#REF!)," ")</f>
        <v>#REF!</v>
      </c>
      <c r="B5" s="481"/>
      <c r="C5" s="480" t="e">
        <f>IF(inputPrYr!#REF!&gt;" ",(inputPrYr!#REF!)," ")</f>
        <v>#REF!</v>
      </c>
      <c r="D5" s="481"/>
      <c r="E5" s="480" t="e">
        <f>IF(inputPrYr!#REF!&gt;" ",(inputPrYr!#REF!)," ")</f>
        <v>#REF!</v>
      </c>
      <c r="F5" s="481"/>
      <c r="G5" s="480" t="e">
        <f>IF(inputPrYr!#REF!&gt;" ",(inputPrYr!#REF!)," ")</f>
        <v>#REF!</v>
      </c>
      <c r="H5" s="481"/>
      <c r="I5" s="480" t="e">
        <f>IF(inputPrYr!#REF!&gt;" ",(inputPrYr!#REF!)," ")</f>
        <v>#REF!</v>
      </c>
      <c r="J5" s="481"/>
      <c r="K5" s="154"/>
    </row>
    <row r="6" spans="1:11" ht="15">
      <c r="A6" s="155" t="s">
        <v>271</v>
      </c>
      <c r="B6" s="156"/>
      <c r="C6" s="157" t="s">
        <v>271</v>
      </c>
      <c r="D6" s="158"/>
      <c r="E6" s="157" t="s">
        <v>271</v>
      </c>
      <c r="F6" s="159"/>
      <c r="G6" s="157" t="s">
        <v>271</v>
      </c>
      <c r="H6" s="160"/>
      <c r="I6" s="157" t="s">
        <v>271</v>
      </c>
      <c r="J6" s="50"/>
      <c r="K6" s="161" t="s">
        <v>71</v>
      </c>
    </row>
    <row r="7" spans="1:11" ht="15">
      <c r="A7" s="162" t="s">
        <v>428</v>
      </c>
      <c r="B7" s="288"/>
      <c r="C7" s="163" t="s">
        <v>428</v>
      </c>
      <c r="D7" s="288"/>
      <c r="E7" s="163" t="s">
        <v>428</v>
      </c>
      <c r="F7" s="288"/>
      <c r="G7" s="163" t="s">
        <v>428</v>
      </c>
      <c r="H7" s="288"/>
      <c r="I7" s="163" t="s">
        <v>428</v>
      </c>
      <c r="J7" s="288"/>
      <c r="K7" s="270">
        <f>SUM(B7+D7+F7+H7+J7)</f>
        <v>0</v>
      </c>
    </row>
    <row r="8" spans="1:11" ht="15">
      <c r="A8" s="164" t="s">
        <v>236</v>
      </c>
      <c r="B8" s="165"/>
      <c r="C8" s="164" t="s">
        <v>236</v>
      </c>
      <c r="D8" s="166"/>
      <c r="E8" s="164" t="s">
        <v>236</v>
      </c>
      <c r="F8" s="153"/>
      <c r="G8" s="164" t="s">
        <v>236</v>
      </c>
      <c r="H8" s="50"/>
      <c r="I8" s="164" t="s">
        <v>236</v>
      </c>
      <c r="J8" s="50"/>
      <c r="K8" s="153"/>
    </row>
    <row r="9" spans="1:11" ht="15">
      <c r="A9" s="286"/>
      <c r="B9" s="287"/>
      <c r="C9" s="286"/>
      <c r="D9" s="288"/>
      <c r="E9" s="286"/>
      <c r="F9" s="288"/>
      <c r="G9" s="286"/>
      <c r="H9" s="288"/>
      <c r="I9" s="286"/>
      <c r="J9" s="288"/>
      <c r="K9" s="153"/>
    </row>
    <row r="10" spans="1:11" ht="15">
      <c r="A10" s="286"/>
      <c r="B10" s="287"/>
      <c r="C10" s="286"/>
      <c r="D10" s="288"/>
      <c r="E10" s="286"/>
      <c r="F10" s="288"/>
      <c r="G10" s="286"/>
      <c r="H10" s="288"/>
      <c r="I10" s="286"/>
      <c r="J10" s="288"/>
      <c r="K10" s="153"/>
    </row>
    <row r="11" spans="1:11" ht="15">
      <c r="A11" s="286"/>
      <c r="B11" s="287"/>
      <c r="C11" s="289"/>
      <c r="D11" s="290"/>
      <c r="E11" s="289"/>
      <c r="F11" s="290"/>
      <c r="G11" s="289"/>
      <c r="H11" s="290"/>
      <c r="I11" s="291"/>
      <c r="J11" s="288"/>
      <c r="K11" s="153"/>
    </row>
    <row r="12" spans="1:11" ht="15">
      <c r="A12" s="286"/>
      <c r="B12" s="292"/>
      <c r="C12" s="286"/>
      <c r="D12" s="293"/>
      <c r="E12" s="294"/>
      <c r="F12" s="293"/>
      <c r="G12" s="294"/>
      <c r="H12" s="293"/>
      <c r="I12" s="294"/>
      <c r="J12" s="288"/>
      <c r="K12" s="153"/>
    </row>
    <row r="13" spans="1:11" ht="15">
      <c r="A13" s="295"/>
      <c r="B13" s="296"/>
      <c r="C13" s="297"/>
      <c r="D13" s="298"/>
      <c r="E13" s="297"/>
      <c r="F13" s="298"/>
      <c r="G13" s="297"/>
      <c r="H13" s="298"/>
      <c r="I13" s="291"/>
      <c r="J13" s="288"/>
      <c r="K13" s="153"/>
    </row>
    <row r="14" spans="1:11" ht="15">
      <c r="A14" s="286"/>
      <c r="B14" s="287"/>
      <c r="C14" s="294"/>
      <c r="D14" s="293"/>
      <c r="E14" s="294"/>
      <c r="F14" s="293"/>
      <c r="G14" s="294"/>
      <c r="H14" s="293"/>
      <c r="I14" s="294"/>
      <c r="J14" s="288"/>
      <c r="K14" s="153"/>
    </row>
    <row r="15" spans="1:11" ht="15">
      <c r="A15" s="286"/>
      <c r="B15" s="287"/>
      <c r="C15" s="294"/>
      <c r="D15" s="293"/>
      <c r="E15" s="294"/>
      <c r="F15" s="293"/>
      <c r="G15" s="294"/>
      <c r="H15" s="293"/>
      <c r="I15" s="294"/>
      <c r="J15" s="288"/>
      <c r="K15" s="153"/>
    </row>
    <row r="16" spans="1:11" ht="15">
      <c r="A16" s="286"/>
      <c r="B16" s="296"/>
      <c r="C16" s="286"/>
      <c r="D16" s="298"/>
      <c r="E16" s="286"/>
      <c r="F16" s="288"/>
      <c r="G16" s="294"/>
      <c r="H16" s="298"/>
      <c r="I16" s="286"/>
      <c r="J16" s="293"/>
      <c r="K16" s="153"/>
    </row>
    <row r="17" spans="1:11" ht="15">
      <c r="A17" s="164" t="s">
        <v>107</v>
      </c>
      <c r="B17" s="270">
        <f>SUM(B9:B16)</f>
        <v>0</v>
      </c>
      <c r="C17" s="164" t="s">
        <v>107</v>
      </c>
      <c r="D17" s="271">
        <f>SUM(D9:D16)</f>
        <v>0</v>
      </c>
      <c r="E17" s="164" t="s">
        <v>107</v>
      </c>
      <c r="F17" s="272">
        <f>SUM(F9:F16)</f>
        <v>0</v>
      </c>
      <c r="G17" s="164" t="s">
        <v>107</v>
      </c>
      <c r="H17" s="271">
        <f>SUM(H9:H16)</f>
        <v>0</v>
      </c>
      <c r="I17" s="164" t="s">
        <v>107</v>
      </c>
      <c r="J17" s="271">
        <f>SUM(J9:J16)</f>
        <v>0</v>
      </c>
      <c r="K17" s="270">
        <f>SUM(B17+D17+F17+H17+J17)</f>
        <v>0</v>
      </c>
    </row>
    <row r="18" spans="1:11" ht="15">
      <c r="A18" s="164" t="s">
        <v>108</v>
      </c>
      <c r="B18" s="270">
        <f>SUM(B7+B17)</f>
        <v>0</v>
      </c>
      <c r="C18" s="164" t="s">
        <v>108</v>
      </c>
      <c r="D18" s="270">
        <f>SUM(D7+D17)</f>
        <v>0</v>
      </c>
      <c r="E18" s="164" t="s">
        <v>108</v>
      </c>
      <c r="F18" s="270">
        <f>SUM(F7+F17)</f>
        <v>0</v>
      </c>
      <c r="G18" s="164" t="s">
        <v>108</v>
      </c>
      <c r="H18" s="270">
        <f>SUM(H7+H17)</f>
        <v>0</v>
      </c>
      <c r="I18" s="164" t="s">
        <v>108</v>
      </c>
      <c r="J18" s="270">
        <f>SUM(J7+J17)</f>
        <v>0</v>
      </c>
      <c r="K18" s="270">
        <f>SUM(B18+D18+F18+H18+J18)</f>
        <v>0</v>
      </c>
    </row>
    <row r="19" spans="1:11" ht="15">
      <c r="A19" s="164" t="s">
        <v>110</v>
      </c>
      <c r="B19" s="165"/>
      <c r="C19" s="164" t="s">
        <v>110</v>
      </c>
      <c r="D19" s="166"/>
      <c r="E19" s="164" t="s">
        <v>110</v>
      </c>
      <c r="F19" s="153"/>
      <c r="G19" s="164" t="s">
        <v>110</v>
      </c>
      <c r="H19" s="50"/>
      <c r="I19" s="164" t="s">
        <v>110</v>
      </c>
      <c r="J19" s="50"/>
      <c r="K19" s="153"/>
    </row>
    <row r="20" spans="1:11" ht="15">
      <c r="A20" s="286"/>
      <c r="B20" s="287"/>
      <c r="C20" s="294"/>
      <c r="D20" s="293"/>
      <c r="E20" s="294"/>
      <c r="F20" s="293"/>
      <c r="G20" s="294"/>
      <c r="H20" s="293"/>
      <c r="I20" s="294"/>
      <c r="J20" s="288"/>
      <c r="K20" s="153"/>
    </row>
    <row r="21" spans="1:11" ht="15">
      <c r="A21" s="286"/>
      <c r="B21" s="287"/>
      <c r="C21" s="294"/>
      <c r="D21" s="293"/>
      <c r="E21" s="294"/>
      <c r="F21" s="293"/>
      <c r="G21" s="294"/>
      <c r="H21" s="293"/>
      <c r="I21" s="294"/>
      <c r="J21" s="299"/>
      <c r="K21" s="153"/>
    </row>
    <row r="22" spans="1:11" ht="15">
      <c r="A22" s="286"/>
      <c r="B22" s="300"/>
      <c r="C22" s="297"/>
      <c r="D22" s="298"/>
      <c r="E22" s="297"/>
      <c r="F22" s="298"/>
      <c r="G22" s="297"/>
      <c r="H22" s="298"/>
      <c r="I22" s="291"/>
      <c r="J22" s="288"/>
      <c r="K22" s="153"/>
    </row>
    <row r="23" spans="1:11" ht="15">
      <c r="A23" s="286"/>
      <c r="B23" s="287"/>
      <c r="C23" s="294"/>
      <c r="D23" s="293"/>
      <c r="E23" s="294"/>
      <c r="F23" s="293"/>
      <c r="G23" s="294"/>
      <c r="H23" s="293"/>
      <c r="I23" s="294"/>
      <c r="J23" s="288"/>
      <c r="K23" s="153"/>
    </row>
    <row r="24" spans="1:11" ht="15">
      <c r="A24" s="286"/>
      <c r="B24" s="300"/>
      <c r="C24" s="297"/>
      <c r="D24" s="298"/>
      <c r="E24" s="297"/>
      <c r="F24" s="298"/>
      <c r="G24" s="297"/>
      <c r="H24" s="298"/>
      <c r="I24" s="291"/>
      <c r="J24" s="288"/>
      <c r="K24" s="153"/>
    </row>
    <row r="25" spans="1:11" ht="15">
      <c r="A25" s="286"/>
      <c r="B25" s="287"/>
      <c r="C25" s="294"/>
      <c r="D25" s="293"/>
      <c r="E25" s="294"/>
      <c r="F25" s="293"/>
      <c r="G25" s="294"/>
      <c r="H25" s="293"/>
      <c r="I25" s="294"/>
      <c r="J25" s="288"/>
      <c r="K25" s="153"/>
    </row>
    <row r="26" spans="1:11" ht="15">
      <c r="A26" s="286"/>
      <c r="B26" s="287"/>
      <c r="C26" s="294"/>
      <c r="D26" s="293"/>
      <c r="E26" s="294"/>
      <c r="F26" s="293"/>
      <c r="G26" s="294"/>
      <c r="H26" s="293"/>
      <c r="I26" s="294"/>
      <c r="J26" s="288"/>
      <c r="K26" s="153"/>
    </row>
    <row r="27" spans="1:11" ht="15">
      <c r="A27" s="286"/>
      <c r="B27" s="301"/>
      <c r="C27" s="286"/>
      <c r="D27" s="302"/>
      <c r="E27" s="286"/>
      <c r="F27" s="293"/>
      <c r="G27" s="294"/>
      <c r="H27" s="293"/>
      <c r="I27" s="294"/>
      <c r="J27" s="288"/>
      <c r="K27" s="153"/>
    </row>
    <row r="28" spans="1:11" ht="15">
      <c r="A28" s="164" t="s">
        <v>114</v>
      </c>
      <c r="B28" s="270">
        <f>SUM(B20:B27)</f>
        <v>0</v>
      </c>
      <c r="C28" s="164" t="s">
        <v>114</v>
      </c>
      <c r="D28" s="271">
        <f>SUM(D20:D27)</f>
        <v>0</v>
      </c>
      <c r="E28" s="164" t="s">
        <v>114</v>
      </c>
      <c r="F28" s="272">
        <f>SUM(F20:F27)</f>
        <v>0</v>
      </c>
      <c r="G28" s="164" t="s">
        <v>114</v>
      </c>
      <c r="H28" s="272">
        <f>SUM(H20:H27)</f>
        <v>0</v>
      </c>
      <c r="I28" s="164" t="s">
        <v>114</v>
      </c>
      <c r="J28" s="271">
        <f>SUM(J20:J27)</f>
        <v>0</v>
      </c>
      <c r="K28" s="270">
        <f>SUM(B28+D28+F28+H28+J28)</f>
        <v>0</v>
      </c>
    </row>
    <row r="29" spans="1:12" ht="15">
      <c r="A29" s="164" t="s">
        <v>272</v>
      </c>
      <c r="B29" s="270">
        <f>IF(B18-B28&gt;0,B18-B28,0)</f>
        <v>0</v>
      </c>
      <c r="C29" s="164" t="s">
        <v>272</v>
      </c>
      <c r="D29" s="270">
        <f>IF(D18-D28&gt;0,D18-D28,0)</f>
        <v>0</v>
      </c>
      <c r="E29" s="164" t="s">
        <v>272</v>
      </c>
      <c r="F29" s="270">
        <f>IF(F18-F28&gt;0,F18-F28,0)</f>
        <v>0</v>
      </c>
      <c r="G29" s="164" t="s">
        <v>272</v>
      </c>
      <c r="H29" s="270">
        <f>IF(H18-H28&gt;0,H18-H28,0)</f>
        <v>0</v>
      </c>
      <c r="I29" s="164" t="s">
        <v>272</v>
      </c>
      <c r="J29" s="270">
        <f>IF(J18-J28&gt;0,J18-J28,0)</f>
        <v>0</v>
      </c>
      <c r="K29" s="273">
        <f>SUM(B29+D29+F29+H29+J29)</f>
        <v>0</v>
      </c>
      <c r="L29" s="2" t="s">
        <v>363</v>
      </c>
    </row>
    <row r="30" spans="1:12" ht="15">
      <c r="A30" s="164"/>
      <c r="B30" s="165"/>
      <c r="C30" s="164"/>
      <c r="D30" s="166"/>
      <c r="E30" s="164"/>
      <c r="F30" s="153"/>
      <c r="G30" s="50"/>
      <c r="H30" s="50"/>
      <c r="I30" s="50"/>
      <c r="J30" s="50"/>
      <c r="K30" s="273">
        <f>SUM(K7+K17-K28)</f>
        <v>0</v>
      </c>
      <c r="L30" s="2" t="s">
        <v>363</v>
      </c>
    </row>
    <row r="31" spans="1:11" ht="15">
      <c r="A31" s="50"/>
      <c r="B31" s="55"/>
      <c r="C31" s="50"/>
      <c r="D31" s="153"/>
      <c r="E31" s="50"/>
      <c r="F31" s="50"/>
      <c r="G31" s="371" t="s">
        <v>364</v>
      </c>
      <c r="H31" s="371"/>
      <c r="I31" s="371"/>
      <c r="J31" s="371"/>
      <c r="K31" s="50"/>
    </row>
    <row r="32" spans="1:11" ht="15">
      <c r="A32" s="50"/>
      <c r="B32" s="55"/>
      <c r="C32" s="50"/>
      <c r="D32" s="50"/>
      <c r="E32" s="50"/>
      <c r="F32" s="50"/>
      <c r="G32" s="50"/>
      <c r="H32" s="50"/>
      <c r="I32" s="50"/>
      <c r="J32" s="50"/>
      <c r="K32" s="50"/>
    </row>
    <row r="33" spans="1:11" ht="15">
      <c r="A33" s="50"/>
      <c r="B33" s="55"/>
      <c r="C33" s="50"/>
      <c r="D33" s="50"/>
      <c r="E33" s="63" t="s">
        <v>118</v>
      </c>
      <c r="F33" s="16"/>
      <c r="G33" s="50"/>
      <c r="H33" s="50"/>
      <c r="I33" s="50"/>
      <c r="J33" s="50"/>
      <c r="K33" s="50"/>
    </row>
    <row r="34" ht="15">
      <c r="B34" s="167"/>
    </row>
    <row r="35" ht="15">
      <c r="B35" s="167"/>
    </row>
    <row r="36" ht="15">
      <c r="B36" s="167"/>
    </row>
    <row r="37" ht="15">
      <c r="B37" s="167"/>
    </row>
    <row r="38" ht="15">
      <c r="B38" s="167"/>
    </row>
    <row r="39" ht="15">
      <c r="B39" s="167"/>
    </row>
    <row r="40" ht="15">
      <c r="B40" s="167"/>
    </row>
    <row r="41" ht="15">
      <c r="B41" s="16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5/08/08</oddFooter>
  </headerFooter>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12" sqref="B12"/>
    </sheetView>
  </sheetViews>
  <sheetFormatPr defaultColWidth="8.796875" defaultRowHeight="15"/>
  <cols>
    <col min="1" max="1" width="24.296875" style="7" customWidth="1"/>
    <col min="2" max="2" width="10.69921875" style="7" customWidth="1"/>
    <col min="3" max="3" width="5.69921875" style="7" customWidth="1"/>
    <col min="4" max="4" width="14" style="7" customWidth="1"/>
    <col min="5" max="5" width="13.296875" style="7" customWidth="1"/>
    <col min="6" max="6" width="12.296875" style="7" customWidth="1"/>
  </cols>
  <sheetData>
    <row r="1" spans="1:8" ht="15">
      <c r="A1" s="21"/>
      <c r="B1" s="21"/>
      <c r="C1" s="22" t="s">
        <v>172</v>
      </c>
      <c r="D1" s="21"/>
      <c r="E1" s="21"/>
      <c r="F1" s="23"/>
      <c r="H1">
        <f>inputPrYr!C5</f>
        <v>2012</v>
      </c>
    </row>
    <row r="2" spans="1:6" ht="15">
      <c r="A2" s="443" t="str">
        <f>CONCATENATE("To the Clerk of ",(inputPrYr!D3),", State of Kansas")</f>
        <v>To the Clerk of MARSHALL COUNTY, State of Kansas</v>
      </c>
      <c r="B2" s="435"/>
      <c r="C2" s="435"/>
      <c r="D2" s="435"/>
      <c r="E2" s="435"/>
      <c r="F2" s="435"/>
    </row>
    <row r="3" spans="1:6" ht="15">
      <c r="A3" s="26" t="s">
        <v>168</v>
      </c>
      <c r="B3" s="27"/>
      <c r="C3" s="27"/>
      <c r="D3" s="27"/>
      <c r="E3" s="27"/>
      <c r="F3" s="27"/>
    </row>
    <row r="4" spans="1:6" ht="15">
      <c r="A4" s="440" t="str">
        <f>(inputPrYr!D2)</f>
        <v>CITY OF BLUE RAPIDS</v>
      </c>
      <c r="B4" s="441"/>
      <c r="C4" s="441"/>
      <c r="D4" s="441"/>
      <c r="E4" s="441"/>
      <c r="F4" s="441"/>
    </row>
    <row r="5" spans="1:6" ht="15">
      <c r="A5" s="26" t="s">
        <v>74</v>
      </c>
      <c r="B5" s="27"/>
      <c r="C5" s="27"/>
      <c r="D5" s="27"/>
      <c r="E5" s="27"/>
      <c r="F5" s="27"/>
    </row>
    <row r="6" spans="1:6" ht="15">
      <c r="A6" s="26" t="s">
        <v>75</v>
      </c>
      <c r="B6" s="27"/>
      <c r="C6" s="27"/>
      <c r="D6" s="27"/>
      <c r="E6" s="27"/>
      <c r="F6" s="27"/>
    </row>
    <row r="7" spans="1:6" ht="15">
      <c r="A7" s="26" t="str">
        <f>CONCATENATE("maximum expenditures for the various funds for the year ",H1,"; and")</f>
        <v>maximum expenditures for the various funds for the year 2012; and</v>
      </c>
      <c r="B7" s="27"/>
      <c r="C7" s="27"/>
      <c r="D7" s="27"/>
      <c r="E7" s="27"/>
      <c r="F7" s="27"/>
    </row>
    <row r="8" spans="1:6" ht="15">
      <c r="A8" s="26" t="str">
        <f>CONCATENATE("(3) the Amounts(s) of ",H1-1," Ad Valorem Tax are within statutory limitations.")</f>
        <v>(3) the Amounts(s) of 2011 Ad Valorem Tax are within statutory limitations.</v>
      </c>
      <c r="B8" s="27"/>
      <c r="C8" s="27"/>
      <c r="D8" s="27"/>
      <c r="E8" s="27"/>
      <c r="F8" s="27"/>
    </row>
    <row r="9" spans="1:6" ht="15">
      <c r="A9" s="21"/>
      <c r="B9" s="21"/>
      <c r="C9" s="21"/>
      <c r="D9" s="28" t="str">
        <f>CONCATENATE("",H1," Adopted Budget")</f>
        <v>2012 Adopted Budget</v>
      </c>
      <c r="E9" s="29"/>
      <c r="F9" s="30"/>
    </row>
    <row r="10" spans="1:6" ht="21" customHeight="1">
      <c r="A10" s="21"/>
      <c r="B10" s="21"/>
      <c r="C10" s="31"/>
      <c r="D10" s="32" t="s">
        <v>76</v>
      </c>
      <c r="E10" s="33" t="str">
        <f>CONCATENATE("Amount of ",H1-1,"")</f>
        <v>Amount of 2011</v>
      </c>
      <c r="F10" s="33" t="s">
        <v>77</v>
      </c>
    </row>
    <row r="11" spans="1:6" ht="15">
      <c r="A11" s="25"/>
      <c r="B11" s="21"/>
      <c r="C11" s="33" t="s">
        <v>78</v>
      </c>
      <c r="D11" s="34"/>
      <c r="E11" s="199" t="s">
        <v>294</v>
      </c>
      <c r="F11" s="34" t="s">
        <v>79</v>
      </c>
    </row>
    <row r="12" spans="1:6" ht="15">
      <c r="A12" s="35" t="s">
        <v>80</v>
      </c>
      <c r="B12" s="20"/>
      <c r="C12" s="36" t="s">
        <v>81</v>
      </c>
      <c r="D12" s="36" t="s">
        <v>129</v>
      </c>
      <c r="E12" s="193" t="s">
        <v>295</v>
      </c>
      <c r="F12" s="36" t="s">
        <v>82</v>
      </c>
    </row>
    <row r="13" spans="1:6" ht="15">
      <c r="A13" s="37" t="str">
        <f>CONCATENATE("Computation to Determine Limit for ",H1,"")</f>
        <v>Computation to Determine Limit for 2012</v>
      </c>
      <c r="B13" s="38"/>
      <c r="C13" s="139">
        <v>2</v>
      </c>
      <c r="D13" s="39"/>
      <c r="E13" s="39"/>
      <c r="F13" s="39"/>
    </row>
    <row r="14" spans="1:6" ht="15">
      <c r="A14" s="37" t="s">
        <v>383</v>
      </c>
      <c r="B14" s="20"/>
      <c r="C14" s="36">
        <v>3</v>
      </c>
      <c r="D14" s="34"/>
      <c r="E14" s="34"/>
      <c r="F14" s="34"/>
    </row>
    <row r="15" spans="1:6" ht="15">
      <c r="A15" s="37" t="s">
        <v>239</v>
      </c>
      <c r="B15" s="20"/>
      <c r="C15" s="36">
        <v>4</v>
      </c>
      <c r="D15" s="34"/>
      <c r="E15" s="34"/>
      <c r="F15" s="34"/>
    </row>
    <row r="16" spans="1:6" ht="15">
      <c r="A16" s="37" t="s">
        <v>83</v>
      </c>
      <c r="B16" s="38"/>
      <c r="C16" s="139">
        <v>5</v>
      </c>
      <c r="D16" s="41"/>
      <c r="E16" s="41"/>
      <c r="F16" s="41"/>
    </row>
    <row r="17" spans="1:6" ht="15">
      <c r="A17" s="37" t="s">
        <v>84</v>
      </c>
      <c r="B17" s="38"/>
      <c r="C17" s="139">
        <v>6</v>
      </c>
      <c r="D17" s="41"/>
      <c r="E17" s="41"/>
      <c r="F17" s="41"/>
    </row>
    <row r="18" spans="1:6" ht="15">
      <c r="A18" s="312" t="s">
        <v>85</v>
      </c>
      <c r="B18" s="313" t="s">
        <v>86</v>
      </c>
      <c r="C18" s="82"/>
      <c r="D18" s="43"/>
      <c r="E18" s="43"/>
      <c r="F18" s="43"/>
    </row>
    <row r="19" spans="1:6" ht="15">
      <c r="A19" s="44" t="s">
        <v>69</v>
      </c>
      <c r="B19" s="139" t="str">
        <f>IF(inputPrYr!C16&gt;0,(inputPrYr!C16),"  ")</f>
        <v>12-101a</v>
      </c>
      <c r="C19" s="139">
        <v>7</v>
      </c>
      <c r="D19" s="40">
        <f>IF(general!$E$83&lt;&gt;0,general!$E$83,"  ")</f>
        <v>741269</v>
      </c>
      <c r="E19" s="40">
        <f>IF(general!$E$89&lt;&gt;0,general!$E$89,"  ")</f>
        <v>217667</v>
      </c>
      <c r="F19" s="130" t="str">
        <f>IF(AND(general!E89=0,$D$36&gt;=0)," ",IF(AND(E19&gt;0,$D$36=0)," ",IF(AND(E19&gt;0,$D$36&gt;0),ROUND(E19/$D$36*1000,3))))</f>
        <v> </v>
      </c>
    </row>
    <row r="20" spans="1:6" ht="15">
      <c r="A20" s="44" t="str">
        <f>IF(inputPrYr!$B19&gt;"  ",(inputPrYr!$B19),"  ")</f>
        <v>Library</v>
      </c>
      <c r="B20" s="139" t="str">
        <f>IF(inputPrYr!C19&gt;0,(inputPrYr!C19),"  ")</f>
        <v>C.O.#1861</v>
      </c>
      <c r="C20" s="139">
        <f>IF(LibraryBondInt!C67&gt;0,LibraryBondInt!C67,"  ")</f>
        <v>8</v>
      </c>
      <c r="D20" s="40">
        <f>IF(LibraryBondInt!$E$24&gt;0,LibraryBondInt!$E$24,"  ")</f>
        <v>10850</v>
      </c>
      <c r="E20" s="40">
        <f>IF(LibraryBondInt!$E$30&lt;&gt;0,LibraryBondInt!$E$30,"  ")</f>
        <v>9144</v>
      </c>
      <c r="F20" s="130" t="str">
        <f>IF(AND(LibraryBondInt!$E$30=0,$D$36&gt;=0)," ",IF(AND(E21&gt;0,$D$36=0)," ",IF(AND(E21&gt;0,$D$36&gt;0),ROUND(E21/$D$36*1000,3))))</f>
        <v> </v>
      </c>
    </row>
    <row r="21" spans="1:6" ht="15">
      <c r="A21" s="40" t="str">
        <f>IF(inputPrYr!$B17&gt;"  ",(inputPrYr!$B17),"  ")</f>
        <v>Bond &amp; Interest</v>
      </c>
      <c r="B21" s="139" t="str">
        <f>IF(inputPrYr!C17&gt;0,(inputPrYr!C17),"  ")</f>
        <v>Ord.#1916</v>
      </c>
      <c r="C21" s="139">
        <f>IF(LibraryBondInt!C67&gt;0,LibraryBondInt!C67,"  ")</f>
        <v>8</v>
      </c>
      <c r="D21" s="396">
        <f>IF(LibraryBondInt!$E$58&gt;0,LibraryBondInt!$E$58," 0 ")</f>
        <v>30575</v>
      </c>
      <c r="E21" s="40" t="str">
        <f>IF(LibraryBondInt!$E$64&lt;&gt;0,LibraryBondInt!$E$64,"  ")</f>
        <v>  </v>
      </c>
      <c r="F21" s="130" t="str">
        <f>IF(AND(BondInt!E67=0,$D$36&gt;=0)," ",IF(AND(E20&gt;0,$D$36=0)," ",IF(AND(E20&gt;0,$D$36&gt;0),ROUND(E20/$D$36*1000,3))))</f>
        <v> </v>
      </c>
    </row>
    <row r="22" spans="1:6" ht="15">
      <c r="A22" s="40" t="str">
        <f>IF(inputPrYr!$B24&gt;"  ",(inputPrYr!$B24),"  ")</f>
        <v>Special Highway</v>
      </c>
      <c r="B22" s="82"/>
      <c r="C22" s="139">
        <f>IF(SpHiwayWaterSewerRefuse!C69&gt;0,SpHiwayWaterSewerRefuse!C69,"  ")</f>
        <v>9</v>
      </c>
      <c r="D22" s="40">
        <f>IF(SpHiwayWaterSewerRefuse!$E$22&gt;0,SpHiwayWaterSewerRefuse!$E$22,"  ")</f>
        <v>28940</v>
      </c>
      <c r="E22" s="42"/>
      <c r="F22" s="42"/>
    </row>
    <row r="23" spans="1:6" ht="15">
      <c r="A23" s="40" t="str">
        <f>IF(inputPrYr!$B25&gt;"  ",(inputPrYr!$B25),"  ")</f>
        <v>Water/Sewer/Refuse</v>
      </c>
      <c r="B23" s="82"/>
      <c r="C23" s="139">
        <f>IF(SpHiwayWaterSewerRefuse!C69&gt;0,SpHiwayWaterSewerRefuse!C69,"  ")</f>
        <v>9</v>
      </c>
      <c r="D23" s="40">
        <f>IF(SpHiwayWaterSewerRefuse!$E$63&gt;0,SpHiwayWaterSewerRefuse!$E$63,"  ")</f>
        <v>555191</v>
      </c>
      <c r="E23" s="42"/>
      <c r="F23" s="42"/>
    </row>
    <row r="24" spans="1:6" ht="15">
      <c r="A24" s="40" t="str">
        <f>IF(inputPrYr!$B26&gt;"  ",(inputPrYr!$B26),"  ")</f>
        <v>Capital Improvement</v>
      </c>
      <c r="B24" s="82" t="s">
        <v>60</v>
      </c>
      <c r="C24" s="139">
        <f>IF(CapImprSewerSystemReserve!C49&gt;0,CapImprSewerSystemReserve!C49,"  ")</f>
        <v>10</v>
      </c>
      <c r="D24" s="40">
        <f>IF(CapImprSewerSystemReserve!$E$19&gt;0,CapImprSewerSystemReserve!$E$19,"  ")</f>
        <v>132569</v>
      </c>
      <c r="E24" s="42"/>
      <c r="F24" s="42"/>
    </row>
    <row r="25" spans="1:6" ht="15">
      <c r="A25" s="40" t="str">
        <f>IF(inputPrYr!$B27&gt;"  ",(inputPrYr!$B27),"  ")</f>
        <v>Utility System Reserve</v>
      </c>
      <c r="B25" s="82"/>
      <c r="C25" s="139">
        <f>IF(CapImprSewerSystemReserve!C49&gt;0,CapImprSewerSystemReserve!C49,"  ")</f>
        <v>10</v>
      </c>
      <c r="D25" s="40">
        <f>IF(CapImprSewerSystemReserve!$E$43&gt;0,CapImprSewerSystemReserve!$E$43,"  ")</f>
        <v>163741</v>
      </c>
      <c r="E25" s="42"/>
      <c r="F25" s="42"/>
    </row>
    <row r="26" spans="1:6" ht="15">
      <c r="A26" s="40" t="str">
        <f>IF(inputPrYr!$B31&gt;"  ",(inputPrYr!$B31),"  ")</f>
        <v>Spec. Law Enf. Trust Fund</v>
      </c>
      <c r="B26" s="82" t="s">
        <v>60</v>
      </c>
      <c r="C26" s="139">
        <f>IF('SpecLawEnfTrustHousing Grant'!C48&gt;0,'SpecLawEnfTrustHousing Grant'!C48,"  ")</f>
        <v>11</v>
      </c>
      <c r="D26" s="40">
        <f>IF('SpecLawEnfTrustHousing Grant'!E17&gt;0,'SpecLawEnfTrustHousing Grant'!E17,"  ")</f>
        <v>2165</v>
      </c>
      <c r="E26" s="42"/>
      <c r="F26" s="42"/>
    </row>
    <row r="27" spans="1:6" ht="15">
      <c r="A27" s="40" t="str">
        <f>IF(inputPrYr!$B30&gt;"  ",(inputPrYr!$B30),"  ")</f>
        <v>Housing Grant Fund</v>
      </c>
      <c r="B27" s="82" t="s">
        <v>60</v>
      </c>
      <c r="C27" s="139">
        <f>IF('SpecLawEnfTrustHousing Grant'!C48&gt;0,'SpecLawEnfTrustHousing Grant'!C48,"  ")</f>
        <v>11</v>
      </c>
      <c r="D27" s="396" t="str">
        <f>IF('SpecLawEnfTrustHousing Grant'!E39&gt;0,'SpecLawEnfTrustHousing Grant'!E39," 0 ")</f>
        <v> 0 </v>
      </c>
      <c r="E27" s="42"/>
      <c r="F27" s="42"/>
    </row>
    <row r="28" spans="1:6" ht="15">
      <c r="A28" s="40" t="str">
        <f>IF(inputPrYr!$B33&gt;"  ",(inputPrYr!$B33),"  ")</f>
        <v>Water Storage Grant Fund</v>
      </c>
      <c r="B28" s="406" t="s">
        <v>60</v>
      </c>
      <c r="C28" s="139">
        <f>WaterStorageGrantStormSewerProj!C51</f>
        <v>12</v>
      </c>
      <c r="D28" s="396" t="str">
        <f>IF(WaterStorageGrantStormSewerProj!E21&gt;0,WaterStorageGrantStormSewerProj!E21," 0 ")</f>
        <v> 0 </v>
      </c>
      <c r="E28" s="42"/>
      <c r="F28" s="42"/>
    </row>
    <row r="29" spans="1:6" ht="15">
      <c r="A29" s="40" t="str">
        <f>IF(inputPrYr!$B34&gt;"  ",(inputPrYr!$B34),"  ")</f>
        <v>Storm Sewer Capital Project Fund</v>
      </c>
      <c r="B29" s="406" t="s">
        <v>60</v>
      </c>
      <c r="C29" s="139">
        <v>12</v>
      </c>
      <c r="D29" s="396" t="str">
        <f>IF(WaterStorageGrantStormSewerProj!E45&gt;0,WaterStorageGrantStormSewerProj!E45," 0 ")</f>
        <v> 0 </v>
      </c>
      <c r="E29" s="42"/>
      <c r="F29" s="42"/>
    </row>
    <row r="30" spans="1:6" ht="15">
      <c r="A30" s="37" t="s">
        <v>87</v>
      </c>
      <c r="B30" s="38"/>
      <c r="C30" s="139" t="s">
        <v>88</v>
      </c>
      <c r="D30" s="40">
        <f>SUM(D19:D29)</f>
        <v>1665300</v>
      </c>
      <c r="E30" s="40">
        <f>SUM(E19:E28)</f>
        <v>226811</v>
      </c>
      <c r="F30" s="131">
        <f>IF(SUM(F19:F28)=0,"",SUM(F19:F27))</f>
      </c>
    </row>
    <row r="31" spans="1:6" ht="15">
      <c r="A31" s="37" t="s">
        <v>356</v>
      </c>
      <c r="B31" s="38"/>
      <c r="C31" s="139">
        <f>summ!D48</f>
        <v>13</v>
      </c>
      <c r="D31" s="21"/>
      <c r="E31" s="21"/>
      <c r="F31" s="21"/>
    </row>
    <row r="32" spans="1:6" ht="15">
      <c r="A32" s="37" t="s">
        <v>396</v>
      </c>
      <c r="B32" s="38"/>
      <c r="C32" s="139">
        <f>IF(nhood!C34&gt;0,nhood!C34,"")</f>
      </c>
      <c r="D32" s="21"/>
      <c r="E32" s="21"/>
      <c r="F32" s="21"/>
    </row>
    <row r="33" spans="1:6" ht="15">
      <c r="A33" s="252" t="s">
        <v>357</v>
      </c>
      <c r="B33" s="253"/>
      <c r="C33" s="254"/>
      <c r="D33" s="256"/>
      <c r="E33" s="255" t="str">
        <f>IF(E30&gt;computation!J40,"Yes","No")</f>
        <v>Yes</v>
      </c>
      <c r="F33" s="105"/>
    </row>
    <row r="34" spans="1:6" ht="15">
      <c r="A34" s="129" t="s">
        <v>61</v>
      </c>
      <c r="B34" s="105"/>
      <c r="C34" s="137"/>
      <c r="D34" s="390"/>
      <c r="E34" s="391"/>
      <c r="F34" s="105"/>
    </row>
    <row r="35" spans="1:6" ht="15">
      <c r="A35" s="129"/>
      <c r="B35" s="105"/>
      <c r="C35" s="21"/>
      <c r="D35" s="231" t="s">
        <v>243</v>
      </c>
      <c r="E35" s="105"/>
      <c r="F35" s="105"/>
    </row>
    <row r="36" spans="1:6" ht="15">
      <c r="A36" s="129"/>
      <c r="B36" s="105"/>
      <c r="C36" s="21"/>
      <c r="D36" s="141"/>
      <c r="E36" s="20"/>
      <c r="F36" s="20"/>
    </row>
    <row r="37" spans="1:6" ht="15">
      <c r="A37" s="21"/>
      <c r="B37" s="21"/>
      <c r="C37" s="25"/>
      <c r="D37" s="444" t="s">
        <v>358</v>
      </c>
      <c r="E37" s="21"/>
      <c r="F37" s="21"/>
    </row>
    <row r="38" spans="1:6" ht="15">
      <c r="A38" s="32" t="s">
        <v>90</v>
      </c>
      <c r="B38" s="46"/>
      <c r="C38" s="21"/>
      <c r="D38" s="445"/>
      <c r="E38" s="31"/>
      <c r="F38" s="31"/>
    </row>
    <row r="39" spans="1:6" ht="15">
      <c r="A39" s="47" t="s">
        <v>169</v>
      </c>
      <c r="B39" s="24"/>
      <c r="C39" s="105"/>
      <c r="D39" s="105"/>
      <c r="E39" s="136"/>
      <c r="F39" s="136"/>
    </row>
    <row r="40" spans="1:6" ht="15">
      <c r="A40" s="47" t="s">
        <v>170</v>
      </c>
      <c r="B40" s="24" t="s">
        <v>89</v>
      </c>
      <c r="C40" s="12" t="s">
        <v>523</v>
      </c>
      <c r="D40" s="12"/>
      <c r="E40" s="140"/>
      <c r="F40" s="140"/>
    </row>
    <row r="41" spans="1:6" ht="15">
      <c r="A41" s="48" t="s">
        <v>171</v>
      </c>
      <c r="B41" s="251"/>
      <c r="C41" s="250" t="s">
        <v>477</v>
      </c>
      <c r="D41" s="250"/>
      <c r="E41" s="136"/>
      <c r="F41" s="136"/>
    </row>
    <row r="42" spans="1:6" ht="15">
      <c r="A42" s="105"/>
      <c r="B42" s="311" t="s">
        <v>260</v>
      </c>
      <c r="C42" s="16" t="s">
        <v>478</v>
      </c>
      <c r="D42" s="16"/>
      <c r="E42" s="140"/>
      <c r="F42" s="140"/>
    </row>
    <row r="43" spans="1:6" ht="15">
      <c r="A43" s="25" t="s">
        <v>378</v>
      </c>
      <c r="B43" s="92">
        <f>H1-1</f>
        <v>2011</v>
      </c>
      <c r="C43" s="16"/>
      <c r="D43" s="16"/>
      <c r="E43" s="26"/>
      <c r="F43" s="21"/>
    </row>
    <row r="44" spans="1:6" ht="15">
      <c r="A44" s="31"/>
      <c r="B44" s="21"/>
      <c r="C44" s="21"/>
      <c r="D44" s="21"/>
      <c r="E44" s="20"/>
      <c r="F44" s="20"/>
    </row>
    <row r="45" spans="1:6" ht="15">
      <c r="A45" s="49" t="s">
        <v>92</v>
      </c>
      <c r="B45" s="21"/>
      <c r="C45" s="21"/>
      <c r="D45" s="21"/>
      <c r="E45" s="442" t="s">
        <v>91</v>
      </c>
      <c r="F45" s="442"/>
    </row>
    <row r="46" ht="15">
      <c r="A46" s="2"/>
    </row>
    <row r="56" spans="1:6" ht="15">
      <c r="A56"/>
      <c r="B56"/>
      <c r="C56"/>
      <c r="D56"/>
      <c r="E56"/>
      <c r="F56"/>
    </row>
    <row r="57" spans="1:6" ht="15">
      <c r="A57"/>
      <c r="B57"/>
      <c r="C57"/>
      <c r="D57"/>
      <c r="E57"/>
      <c r="F57"/>
    </row>
    <row r="58" spans="1:6" ht="15">
      <c r="A58"/>
      <c r="B58"/>
      <c r="C58"/>
      <c r="D58"/>
      <c r="E58"/>
      <c r="F58"/>
    </row>
    <row r="59" spans="1:6" ht="15">
      <c r="A59"/>
      <c r="B59"/>
      <c r="C59"/>
      <c r="D59"/>
      <c r="E59"/>
      <c r="F59"/>
    </row>
    <row r="60" spans="1:6" ht="15">
      <c r="A60"/>
      <c r="B60"/>
      <c r="C60"/>
      <c r="D60"/>
      <c r="E60"/>
      <c r="F60"/>
    </row>
    <row r="61" spans="1:6" ht="15">
      <c r="A61"/>
      <c r="B61"/>
      <c r="C61"/>
      <c r="D61"/>
      <c r="E61"/>
      <c r="F61"/>
    </row>
    <row r="62" spans="1:6" ht="15">
      <c r="A62"/>
      <c r="B62"/>
      <c r="C62"/>
      <c r="D62"/>
      <c r="E62"/>
      <c r="F62"/>
    </row>
    <row r="63" spans="1:6" ht="15">
      <c r="A63"/>
      <c r="B63"/>
      <c r="C63"/>
      <c r="D63"/>
      <c r="E63"/>
      <c r="F63"/>
    </row>
    <row r="64" spans="1:6" ht="15">
      <c r="A64"/>
      <c r="B64"/>
      <c r="C64"/>
      <c r="D64"/>
      <c r="E64"/>
      <c r="F64"/>
    </row>
    <row r="65" spans="1:6" ht="15">
      <c r="A65"/>
      <c r="B65"/>
      <c r="C65"/>
      <c r="D65"/>
      <c r="E65"/>
      <c r="F65"/>
    </row>
    <row r="66" spans="1:6" ht="15">
      <c r="A66"/>
      <c r="B66"/>
      <c r="C66"/>
      <c r="D66"/>
      <c r="E66"/>
      <c r="F66"/>
    </row>
    <row r="67" spans="1:6" ht="15">
      <c r="A67"/>
      <c r="B67"/>
      <c r="C67"/>
      <c r="D67"/>
      <c r="E67"/>
      <c r="F67"/>
    </row>
    <row r="68" spans="1:6" ht="15">
      <c r="A68"/>
      <c r="B68"/>
      <c r="C68"/>
      <c r="D68"/>
      <c r="E68"/>
      <c r="F68"/>
    </row>
    <row r="69" spans="1:6" ht="15">
      <c r="A69"/>
      <c r="B69"/>
      <c r="C69"/>
      <c r="D69"/>
      <c r="E69"/>
      <c r="F69"/>
    </row>
    <row r="70" spans="1:6" ht="15">
      <c r="A70"/>
      <c r="B70"/>
      <c r="C70"/>
      <c r="D70"/>
      <c r="E70"/>
      <c r="F70"/>
    </row>
    <row r="71" spans="1:6" ht="15">
      <c r="A71"/>
      <c r="B71"/>
      <c r="C71"/>
      <c r="D71"/>
      <c r="E71"/>
      <c r="F71"/>
    </row>
    <row r="74" spans="1:6" ht="15">
      <c r="A74" s="2"/>
      <c r="B74" s="2"/>
      <c r="C74" s="2"/>
      <c r="D74" s="2"/>
      <c r="E74" s="2"/>
      <c r="F74" s="2"/>
    </row>
  </sheetData>
  <sheetProtection/>
  <mergeCells count="4">
    <mergeCell ref="A4:F4"/>
    <mergeCell ref="E45:F45"/>
    <mergeCell ref="A2:F2"/>
    <mergeCell ref="D37:D38"/>
  </mergeCells>
  <printOptions/>
  <pageMargins left="0.5" right="0.5" top="1" bottom="0.5" header="0.5" footer="0.25"/>
  <pageSetup blackAndWhite="1" fitToHeight="1" fitToWidth="1" horizontalDpi="600" verticalDpi="600" orientation="portrait" scale="81" r:id="rId1"/>
  <headerFooter alignWithMargins="0">
    <oddHeader>&amp;RState of Kansas
City
</oddHeader>
    <oddFooter>&amp;Lrevised 8/06/07&amp;C   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J38" sqref="J38"/>
    </sheetView>
  </sheetViews>
  <sheetFormatPr defaultColWidth="8.8984375" defaultRowHeight="15.75" customHeight="1"/>
  <cols>
    <col min="1" max="2" width="3.296875" style="2" customWidth="1"/>
    <col min="3" max="3" width="31.296875" style="2" customWidth="1"/>
    <col min="4" max="4" width="2.296875" style="2" customWidth="1"/>
    <col min="5" max="5" width="15.69921875" style="2" customWidth="1"/>
    <col min="6" max="6" width="2" style="2" customWidth="1"/>
    <col min="7" max="7" width="15.69921875" style="2" customWidth="1"/>
    <col min="8" max="8" width="1.8984375" style="2" customWidth="1"/>
    <col min="9" max="9" width="1.69921875" style="2" customWidth="1"/>
    <col min="10" max="10" width="15.69921875" style="2" customWidth="1"/>
    <col min="11" max="16384" width="8.8984375" style="2" customWidth="1"/>
  </cols>
  <sheetData>
    <row r="1" spans="1:10" ht="15.75" customHeight="1">
      <c r="A1" s="50"/>
      <c r="B1" s="50"/>
      <c r="C1" s="51" t="str">
        <f>inputPrYr!D2</f>
        <v>CITY OF BLUE RAPIDS</v>
      </c>
      <c r="D1" s="50"/>
      <c r="E1" s="50"/>
      <c r="F1" s="50"/>
      <c r="G1" s="50"/>
      <c r="H1" s="50"/>
      <c r="I1" s="50"/>
      <c r="J1" s="50">
        <f>inputPrYr!C5</f>
        <v>2012</v>
      </c>
    </row>
    <row r="2" spans="1:10" ht="15.75" customHeight="1">
      <c r="A2" s="50"/>
      <c r="B2" s="50"/>
      <c r="C2" s="50"/>
      <c r="D2" s="50"/>
      <c r="E2" s="50"/>
      <c r="F2" s="50"/>
      <c r="G2" s="50"/>
      <c r="H2" s="50"/>
      <c r="I2" s="50"/>
      <c r="J2" s="50"/>
    </row>
    <row r="3" spans="1:10" ht="15">
      <c r="A3" s="447" t="str">
        <f>CONCATENATE("Computation to Determine Limit for ",J1,"")</f>
        <v>Computation to Determine Limit for 2012</v>
      </c>
      <c r="B3" s="448"/>
      <c r="C3" s="448"/>
      <c r="D3" s="448"/>
      <c r="E3" s="448"/>
      <c r="F3" s="448"/>
      <c r="G3" s="448"/>
      <c r="H3" s="448"/>
      <c r="I3" s="448"/>
      <c r="J3" s="448"/>
    </row>
    <row r="4" spans="1:10" ht="15">
      <c r="A4" s="50"/>
      <c r="B4" s="50"/>
      <c r="C4" s="50"/>
      <c r="D4" s="50"/>
      <c r="E4" s="448"/>
      <c r="F4" s="448"/>
      <c r="G4" s="448"/>
      <c r="H4" s="52"/>
      <c r="I4" s="50"/>
      <c r="J4" s="53" t="s">
        <v>187</v>
      </c>
    </row>
    <row r="5" spans="1:10" ht="15">
      <c r="A5" s="54" t="s">
        <v>188</v>
      </c>
      <c r="B5" s="50" t="str">
        <f>CONCATENATE("Total Tax Levy Amount in ",J1-1," Budget")</f>
        <v>Total Tax Levy Amount in 2011 Budget</v>
      </c>
      <c r="C5" s="50"/>
      <c r="D5" s="50"/>
      <c r="E5" s="55"/>
      <c r="F5" s="55"/>
      <c r="G5" s="55"/>
      <c r="H5" s="56" t="s">
        <v>189</v>
      </c>
      <c r="I5" s="55" t="s">
        <v>190</v>
      </c>
      <c r="J5" s="57">
        <f>inputPrYr!D21</f>
        <v>221329</v>
      </c>
    </row>
    <row r="6" spans="1:10" ht="15">
      <c r="A6" s="54" t="s">
        <v>191</v>
      </c>
      <c r="B6" s="50" t="str">
        <f>CONCATENATE("Debt Service Levy in ",J1-1," Budget")</f>
        <v>Debt Service Levy in 2011 Budget</v>
      </c>
      <c r="C6" s="50"/>
      <c r="D6" s="50"/>
      <c r="E6" s="55"/>
      <c r="F6" s="55"/>
      <c r="G6" s="55"/>
      <c r="H6" s="56" t="s">
        <v>192</v>
      </c>
      <c r="I6" s="55" t="s">
        <v>190</v>
      </c>
      <c r="J6" s="207">
        <f>inputPrYr!D17</f>
        <v>0</v>
      </c>
    </row>
    <row r="7" spans="1:10" ht="15">
      <c r="A7" s="54" t="s">
        <v>219</v>
      </c>
      <c r="B7" s="58" t="s">
        <v>216</v>
      </c>
      <c r="C7" s="50"/>
      <c r="D7" s="50"/>
      <c r="E7" s="55"/>
      <c r="F7" s="55"/>
      <c r="G7" s="55"/>
      <c r="H7" s="55"/>
      <c r="I7" s="55" t="s">
        <v>190</v>
      </c>
      <c r="J7" s="59">
        <f>J5-J6</f>
        <v>221329</v>
      </c>
    </row>
    <row r="8" spans="1:10" ht="15">
      <c r="A8" s="50"/>
      <c r="B8" s="50"/>
      <c r="C8" s="50"/>
      <c r="D8" s="50"/>
      <c r="E8" s="55"/>
      <c r="F8" s="55"/>
      <c r="G8" s="55"/>
      <c r="H8" s="55"/>
      <c r="I8" s="55"/>
      <c r="J8" s="55"/>
    </row>
    <row r="9" spans="1:10" ht="15">
      <c r="A9" s="50"/>
      <c r="B9" s="58" t="str">
        <f>CONCATENATE("",J1-1," Valuation Information for Valuation Adjustments:")</f>
        <v>2011 Valuation Information for Valuation Adjustments:</v>
      </c>
      <c r="C9" s="50"/>
      <c r="D9" s="50"/>
      <c r="E9" s="55"/>
      <c r="F9" s="55"/>
      <c r="G9" s="55"/>
      <c r="H9" s="55"/>
      <c r="I9" s="55"/>
      <c r="J9" s="55"/>
    </row>
    <row r="10" spans="1:10" ht="15">
      <c r="A10" s="50"/>
      <c r="B10" s="50"/>
      <c r="C10" s="58"/>
      <c r="D10" s="50"/>
      <c r="E10" s="55"/>
      <c r="F10" s="55"/>
      <c r="G10" s="55"/>
      <c r="H10" s="55"/>
      <c r="I10" s="55"/>
      <c r="J10" s="55"/>
    </row>
    <row r="11" spans="1:10" ht="15">
      <c r="A11" s="54" t="s">
        <v>193</v>
      </c>
      <c r="B11" s="58" t="str">
        <f>CONCATENATE("New Improvements for ",J1-1,":")</f>
        <v>New Improvements for 2011:</v>
      </c>
      <c r="C11" s="50"/>
      <c r="D11" s="50"/>
      <c r="E11" s="56"/>
      <c r="F11" s="56" t="s">
        <v>189</v>
      </c>
      <c r="G11" s="60">
        <f>inputOth!E7</f>
        <v>9190</v>
      </c>
      <c r="H11" s="61"/>
      <c r="I11" s="55"/>
      <c r="J11" s="55"/>
    </row>
    <row r="12" spans="1:10" ht="15">
      <c r="A12" s="54"/>
      <c r="B12" s="62"/>
      <c r="C12" s="50"/>
      <c r="D12" s="50"/>
      <c r="E12" s="56"/>
      <c r="F12" s="56"/>
      <c r="G12" s="61"/>
      <c r="H12" s="61"/>
      <c r="I12" s="55"/>
      <c r="J12" s="55"/>
    </row>
    <row r="13" spans="1:10" ht="15">
      <c r="A13" s="54" t="s">
        <v>194</v>
      </c>
      <c r="B13" s="58" t="str">
        <f>CONCATENATE("Increase in Personal Property for ",J1-1,":")</f>
        <v>Increase in Personal Property for 2011:</v>
      </c>
      <c r="C13" s="50"/>
      <c r="D13" s="50"/>
      <c r="E13" s="56"/>
      <c r="F13" s="56"/>
      <c r="G13" s="61"/>
      <c r="H13" s="61"/>
      <c r="I13" s="55"/>
      <c r="J13" s="55"/>
    </row>
    <row r="14" spans="1:10" ht="15">
      <c r="A14" s="63"/>
      <c r="B14" s="50" t="s">
        <v>195</v>
      </c>
      <c r="C14" s="50" t="str">
        <f>CONCATENATE("Personal Property ",J1-1,"")</f>
        <v>Personal Property 2011</v>
      </c>
      <c r="D14" s="62" t="s">
        <v>189</v>
      </c>
      <c r="E14" s="60">
        <f>inputOth!E8</f>
        <v>146651</v>
      </c>
      <c r="F14" s="56"/>
      <c r="G14" s="55"/>
      <c r="H14" s="55"/>
      <c r="I14" s="61"/>
      <c r="J14" s="55"/>
    </row>
    <row r="15" spans="1:10" ht="15">
      <c r="A15" s="62"/>
      <c r="B15" s="50" t="s">
        <v>196</v>
      </c>
      <c r="C15" s="50" t="str">
        <f>CONCATENATE("Personal Property ",J1-2,"")</f>
        <v>Personal Property 2010</v>
      </c>
      <c r="D15" s="62" t="s">
        <v>192</v>
      </c>
      <c r="E15" s="64">
        <f>inputOth!E14</f>
        <v>160513</v>
      </c>
      <c r="F15" s="56"/>
      <c r="G15" s="61"/>
      <c r="H15" s="61"/>
      <c r="I15" s="55"/>
      <c r="J15" s="55"/>
    </row>
    <row r="16" spans="1:10" ht="15">
      <c r="A16" s="62"/>
      <c r="B16" s="50" t="s">
        <v>197</v>
      </c>
      <c r="C16" s="50" t="s">
        <v>218</v>
      </c>
      <c r="D16" s="50"/>
      <c r="E16" s="55"/>
      <c r="F16" s="55" t="s">
        <v>189</v>
      </c>
      <c r="G16" s="57">
        <f>IF(E14&gt;E15,E14-E15,0)</f>
        <v>0</v>
      </c>
      <c r="H16" s="61"/>
      <c r="I16" s="55"/>
      <c r="J16" s="55"/>
    </row>
    <row r="17" spans="1:10" ht="15">
      <c r="A17" s="62"/>
      <c r="B17" s="62"/>
      <c r="C17" s="50"/>
      <c r="D17" s="50"/>
      <c r="E17" s="55"/>
      <c r="F17" s="55"/>
      <c r="G17" s="61" t="s">
        <v>210</v>
      </c>
      <c r="H17" s="61"/>
      <c r="I17" s="55"/>
      <c r="J17" s="55"/>
    </row>
    <row r="18" spans="1:10" ht="15">
      <c r="A18" s="62" t="s">
        <v>198</v>
      </c>
      <c r="B18" s="58" t="str">
        <f>CONCATENATE("Valuation of annexed territory for ",J1-1,"")</f>
        <v>Valuation of annexed territory for 2011</v>
      </c>
      <c r="C18" s="50"/>
      <c r="D18" s="50"/>
      <c r="E18" s="61"/>
      <c r="F18" s="55"/>
      <c r="G18" s="55"/>
      <c r="H18" s="55"/>
      <c r="I18" s="55"/>
      <c r="J18" s="55"/>
    </row>
    <row r="19" spans="1:10" ht="15">
      <c r="A19" s="62"/>
      <c r="B19" s="50" t="s">
        <v>199</v>
      </c>
      <c r="C19" s="50" t="s">
        <v>220</v>
      </c>
      <c r="D19" s="62" t="s">
        <v>189</v>
      </c>
      <c r="E19" s="60">
        <f>inputOth!E10</f>
        <v>0</v>
      </c>
      <c r="F19" s="55"/>
      <c r="G19" s="55"/>
      <c r="H19" s="55"/>
      <c r="I19" s="55"/>
      <c r="J19" s="55"/>
    </row>
    <row r="20" spans="1:10" ht="15">
      <c r="A20" s="62"/>
      <c r="B20" s="50" t="s">
        <v>200</v>
      </c>
      <c r="C20" s="50" t="s">
        <v>221</v>
      </c>
      <c r="D20" s="62" t="s">
        <v>189</v>
      </c>
      <c r="E20" s="60">
        <f>inputOth!E11</f>
        <v>0</v>
      </c>
      <c r="F20" s="55"/>
      <c r="G20" s="61"/>
      <c r="H20" s="61"/>
      <c r="I20" s="55"/>
      <c r="J20" s="55"/>
    </row>
    <row r="21" spans="1:10" ht="15">
      <c r="A21" s="62"/>
      <c r="B21" s="50" t="s">
        <v>201</v>
      </c>
      <c r="C21" s="50" t="s">
        <v>217</v>
      </c>
      <c r="D21" s="62" t="s">
        <v>192</v>
      </c>
      <c r="E21" s="60">
        <f>inputOth!E12</f>
        <v>0</v>
      </c>
      <c r="F21" s="55"/>
      <c r="G21" s="61"/>
      <c r="H21" s="61"/>
      <c r="I21" s="55"/>
      <c r="J21" s="55"/>
    </row>
    <row r="22" spans="1:10" ht="15">
      <c r="A22" s="62"/>
      <c r="B22" s="50" t="s">
        <v>202</v>
      </c>
      <c r="C22" s="50" t="s">
        <v>222</v>
      </c>
      <c r="D22" s="62"/>
      <c r="E22" s="61"/>
      <c r="F22" s="55" t="s">
        <v>189</v>
      </c>
      <c r="G22" s="57">
        <f>E19+E20-E21</f>
        <v>0</v>
      </c>
      <c r="H22" s="61"/>
      <c r="I22" s="55"/>
      <c r="J22" s="55"/>
    </row>
    <row r="23" spans="1:10" ht="15">
      <c r="A23" s="62"/>
      <c r="B23" s="62"/>
      <c r="C23" s="50"/>
      <c r="D23" s="62"/>
      <c r="E23" s="61"/>
      <c r="F23" s="55"/>
      <c r="G23" s="61"/>
      <c r="H23" s="61"/>
      <c r="I23" s="55"/>
      <c r="J23" s="55"/>
    </row>
    <row r="24" spans="1:10" ht="15">
      <c r="A24" s="62" t="s">
        <v>203</v>
      </c>
      <c r="B24" s="58" t="str">
        <f>CONCATENATE("Valuation of Property that has Changed in Use during ",J1-1,"")</f>
        <v>Valuation of Property that has Changed in Use during 2011</v>
      </c>
      <c r="C24" s="50"/>
      <c r="D24" s="50"/>
      <c r="E24" s="55"/>
      <c r="F24" s="55"/>
      <c r="G24" s="65">
        <f>inputOth!E13</f>
        <v>4197</v>
      </c>
      <c r="H24" s="55"/>
      <c r="I24" s="55"/>
      <c r="J24" s="55"/>
    </row>
    <row r="25" spans="1:10" ht="15">
      <c r="A25" s="50" t="s">
        <v>76</v>
      </c>
      <c r="B25" s="50"/>
      <c r="C25" s="50"/>
      <c r="D25" s="62"/>
      <c r="E25" s="61"/>
      <c r="F25" s="55"/>
      <c r="G25" s="66"/>
      <c r="H25" s="61"/>
      <c r="I25" s="55"/>
      <c r="J25" s="55"/>
    </row>
    <row r="26" spans="1:10" ht="18.75" customHeight="1">
      <c r="A26" s="62" t="s">
        <v>204</v>
      </c>
      <c r="B26" s="58" t="s">
        <v>223</v>
      </c>
      <c r="C26" s="50"/>
      <c r="D26" s="50"/>
      <c r="E26" s="55"/>
      <c r="F26" s="55"/>
      <c r="G26" s="57">
        <f>G11+G16+G22+G24</f>
        <v>13387</v>
      </c>
      <c r="H26" s="61"/>
      <c r="I26" s="55"/>
      <c r="J26" s="55"/>
    </row>
    <row r="27" spans="1:10" ht="15">
      <c r="A27" s="62"/>
      <c r="B27" s="62"/>
      <c r="C27" s="58"/>
      <c r="D27" s="50"/>
      <c r="E27" s="55"/>
      <c r="F27" s="55"/>
      <c r="G27" s="61"/>
      <c r="H27" s="61"/>
      <c r="I27" s="55"/>
      <c r="J27" s="55"/>
    </row>
    <row r="28" spans="1:10" ht="15">
      <c r="A28" s="62" t="s">
        <v>205</v>
      </c>
      <c r="B28" s="50" t="str">
        <f>CONCATENATE("Total Estimated Valuation July 1,",J1-1,"")</f>
        <v>Total Estimated Valuation July 1,2011</v>
      </c>
      <c r="C28" s="50"/>
      <c r="D28" s="50"/>
      <c r="E28" s="57">
        <f>inputOth!E6</f>
        <v>3036027</v>
      </c>
      <c r="F28" s="55"/>
      <c r="G28" s="55"/>
      <c r="H28" s="55"/>
      <c r="I28" s="56"/>
      <c r="J28" s="55"/>
    </row>
    <row r="29" spans="1:10" ht="15">
      <c r="A29" s="62"/>
      <c r="B29" s="62"/>
      <c r="C29" s="50"/>
      <c r="D29" s="50"/>
      <c r="E29" s="61"/>
      <c r="F29" s="55"/>
      <c r="G29" s="55"/>
      <c r="H29" s="55"/>
      <c r="I29" s="56"/>
      <c r="J29" s="55"/>
    </row>
    <row r="30" spans="1:10" ht="15">
      <c r="A30" s="62" t="s">
        <v>206</v>
      </c>
      <c r="B30" s="58" t="s">
        <v>224</v>
      </c>
      <c r="C30" s="50"/>
      <c r="D30" s="50"/>
      <c r="E30" s="55"/>
      <c r="F30" s="55"/>
      <c r="G30" s="57">
        <f>E28-G26</f>
        <v>3022640</v>
      </c>
      <c r="H30" s="61"/>
      <c r="I30" s="56"/>
      <c r="J30" s="55"/>
    </row>
    <row r="31" spans="1:10" ht="15">
      <c r="A31" s="62"/>
      <c r="B31" s="62"/>
      <c r="C31" s="58"/>
      <c r="D31" s="50"/>
      <c r="E31" s="50"/>
      <c r="F31" s="50"/>
      <c r="G31" s="67"/>
      <c r="H31" s="68"/>
      <c r="I31" s="62"/>
      <c r="J31" s="50"/>
    </row>
    <row r="32" spans="1:10" ht="15">
      <c r="A32" s="62" t="s">
        <v>207</v>
      </c>
      <c r="B32" s="50" t="s">
        <v>225</v>
      </c>
      <c r="C32" s="50"/>
      <c r="D32" s="50"/>
      <c r="E32" s="50"/>
      <c r="F32" s="50"/>
      <c r="G32" s="69">
        <f>IF(G30&gt;0,G26/G30,0)</f>
        <v>0.00442890982717095</v>
      </c>
      <c r="H32" s="68"/>
      <c r="I32" s="50"/>
      <c r="J32" s="50"/>
    </row>
    <row r="33" spans="1:10" ht="15">
      <c r="A33" s="62"/>
      <c r="B33" s="62"/>
      <c r="C33" s="50"/>
      <c r="D33" s="50"/>
      <c r="E33" s="50"/>
      <c r="F33" s="50"/>
      <c r="G33" s="68"/>
      <c r="H33" s="68"/>
      <c r="I33" s="50"/>
      <c r="J33" s="50"/>
    </row>
    <row r="34" spans="1:10" ht="15">
      <c r="A34" s="62" t="s">
        <v>208</v>
      </c>
      <c r="B34" s="50" t="s">
        <v>226</v>
      </c>
      <c r="C34" s="50"/>
      <c r="D34" s="50"/>
      <c r="E34" s="50"/>
      <c r="F34" s="50"/>
      <c r="G34" s="68"/>
      <c r="H34" s="70" t="s">
        <v>189</v>
      </c>
      <c r="I34" s="50" t="s">
        <v>190</v>
      </c>
      <c r="J34" s="57">
        <f>G32*J7</f>
        <v>980.2461831379192</v>
      </c>
    </row>
    <row r="35" spans="1:10" ht="15">
      <c r="A35" s="62"/>
      <c r="B35" s="62"/>
      <c r="C35" s="50"/>
      <c r="D35" s="50"/>
      <c r="E35" s="50"/>
      <c r="F35" s="50"/>
      <c r="G35" s="68"/>
      <c r="H35" s="70"/>
      <c r="I35" s="50"/>
      <c r="J35" s="61"/>
    </row>
    <row r="36" spans="1:10" ht="15.75" thickBot="1">
      <c r="A36" s="62" t="s">
        <v>209</v>
      </c>
      <c r="B36" s="58" t="s">
        <v>232</v>
      </c>
      <c r="C36" s="50"/>
      <c r="D36" s="50"/>
      <c r="E36" s="50"/>
      <c r="F36" s="50"/>
      <c r="G36" s="50"/>
      <c r="H36" s="50"/>
      <c r="I36" s="50" t="s">
        <v>190</v>
      </c>
      <c r="J36" s="71">
        <f>J7+J34</f>
        <v>222309.24618313793</v>
      </c>
    </row>
    <row r="37" spans="1:10" ht="15.75" thickTop="1">
      <c r="A37" s="50"/>
      <c r="B37" s="50"/>
      <c r="C37" s="50"/>
      <c r="D37" s="50"/>
      <c r="E37" s="50"/>
      <c r="F37" s="50"/>
      <c r="G37" s="50"/>
      <c r="H37" s="50"/>
      <c r="I37" s="50"/>
      <c r="J37" s="50"/>
    </row>
    <row r="38" spans="1:10" ht="15">
      <c r="A38" s="62" t="s">
        <v>230</v>
      </c>
      <c r="B38" s="58" t="str">
        <f>CONCATENATE("Debt Service in this ",J1," Budget")</f>
        <v>Debt Service in this 2012 Budget</v>
      </c>
      <c r="C38" s="50"/>
      <c r="D38" s="50"/>
      <c r="E38" s="50"/>
      <c r="F38" s="50"/>
      <c r="G38" s="50"/>
      <c r="H38" s="50"/>
      <c r="I38" s="50"/>
      <c r="J38" s="208">
        <f>LibraryBondInt!E64</f>
        <v>0</v>
      </c>
    </row>
    <row r="39" spans="1:10" ht="15">
      <c r="A39" s="62"/>
      <c r="B39" s="58"/>
      <c r="C39" s="50"/>
      <c r="D39" s="50"/>
      <c r="E39" s="50"/>
      <c r="F39" s="50"/>
      <c r="G39" s="50"/>
      <c r="H39" s="50"/>
      <c r="I39" s="50"/>
      <c r="J39" s="68"/>
    </row>
    <row r="40" spans="1:10" ht="15.75" thickBot="1">
      <c r="A40" s="62" t="s">
        <v>231</v>
      </c>
      <c r="B40" s="58" t="s">
        <v>233</v>
      </c>
      <c r="C40" s="50"/>
      <c r="D40" s="50"/>
      <c r="E40" s="50"/>
      <c r="F40" s="50"/>
      <c r="G40" s="50"/>
      <c r="H40" s="50"/>
      <c r="I40" s="50"/>
      <c r="J40" s="71">
        <f>J36+J38</f>
        <v>222309.24618313793</v>
      </c>
    </row>
    <row r="41" spans="1:10" ht="15.75" thickTop="1">
      <c r="A41" s="50"/>
      <c r="B41" s="50"/>
      <c r="C41" s="50"/>
      <c r="D41" s="50"/>
      <c r="E41" s="50"/>
      <c r="F41" s="50"/>
      <c r="G41" s="50"/>
      <c r="H41" s="50"/>
      <c r="I41" s="50"/>
      <c r="J41" s="50"/>
    </row>
    <row r="42" spans="1:10" s="19" customFormat="1" ht="18">
      <c r="A42" s="446" t="str">
        <f>CONCATENATE("If the ",J1," budget includes tax levies exceeding the total on line 15, you must")</f>
        <v>If the 2012 budget includes tax levies exceeding the total on line 15, you must</v>
      </c>
      <c r="B42" s="446"/>
      <c r="C42" s="446"/>
      <c r="D42" s="446"/>
      <c r="E42" s="446"/>
      <c r="F42" s="446"/>
      <c r="G42" s="446"/>
      <c r="H42" s="446"/>
      <c r="I42" s="446"/>
      <c r="J42" s="446"/>
    </row>
    <row r="43" spans="1:10" s="19" customFormat="1" ht="18">
      <c r="A43" s="446" t="s">
        <v>313</v>
      </c>
      <c r="B43" s="446"/>
      <c r="C43" s="446"/>
      <c r="D43" s="446"/>
      <c r="E43" s="446"/>
      <c r="F43" s="446"/>
      <c r="G43" s="446"/>
      <c r="H43" s="446"/>
      <c r="I43" s="446"/>
      <c r="J43" s="446"/>
    </row>
    <row r="44" spans="1:10" s="19" customFormat="1" ht="18">
      <c r="A44" s="446" t="s">
        <v>314</v>
      </c>
      <c r="B44" s="446"/>
      <c r="C44" s="446"/>
      <c r="D44" s="446"/>
      <c r="E44" s="446"/>
      <c r="F44" s="446"/>
      <c r="G44" s="446"/>
      <c r="H44" s="446"/>
      <c r="I44" s="446"/>
      <c r="J44" s="446"/>
    </row>
  </sheetData>
  <sheetProtection/>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8" sqref="A8"/>
    </sheetView>
  </sheetViews>
  <sheetFormatPr defaultColWidth="8.8984375" defaultRowHeight="15"/>
  <cols>
    <col min="1" max="1" width="17.8984375" style="7" customWidth="1"/>
    <col min="2" max="2" width="16.09765625" style="7" customWidth="1"/>
    <col min="3" max="5" width="12.69921875" style="7" customWidth="1"/>
    <col min="6" max="6" width="10.19921875" style="7" customWidth="1"/>
    <col min="7" max="16384" width="8.8984375" style="7" customWidth="1"/>
  </cols>
  <sheetData>
    <row r="1" spans="1:6" ht="15">
      <c r="A1" s="72" t="str">
        <f>inputPrYr!D2</f>
        <v>CITY OF BLUE RAPIDS</v>
      </c>
      <c r="B1" s="72"/>
      <c r="C1" s="21"/>
      <c r="D1" s="21"/>
      <c r="E1" s="21"/>
      <c r="F1" s="21">
        <f>inputPrYr!C5</f>
        <v>2012</v>
      </c>
    </row>
    <row r="2" spans="1:6" ht="15">
      <c r="A2" s="21"/>
      <c r="B2" s="21"/>
      <c r="C2" s="21"/>
      <c r="D2" s="21"/>
      <c r="E2" s="21"/>
      <c r="F2" s="21"/>
    </row>
    <row r="3" spans="1:6" ht="15">
      <c r="A3" s="449" t="s">
        <v>384</v>
      </c>
      <c r="B3" s="449"/>
      <c r="C3" s="449"/>
      <c r="D3" s="449"/>
      <c r="E3" s="449"/>
      <c r="F3" s="21"/>
    </row>
    <row r="4" spans="1:6" ht="15">
      <c r="A4" s="21"/>
      <c r="B4" s="128"/>
      <c r="C4" s="128"/>
      <c r="D4" s="128"/>
      <c r="E4" s="21"/>
      <c r="F4" s="21"/>
    </row>
    <row r="5" spans="1:6" ht="21" customHeight="1">
      <c r="A5" s="76" t="s">
        <v>312</v>
      </c>
      <c r="B5" s="206" t="s">
        <v>311</v>
      </c>
      <c r="C5" s="450" t="str">
        <f>CONCATENATE("Allocation for Year ",F1,"")</f>
        <v>Allocation for Year 2012</v>
      </c>
      <c r="D5" s="451"/>
      <c r="E5" s="451"/>
      <c r="F5" s="452"/>
    </row>
    <row r="6" spans="1:6" ht="15">
      <c r="A6" s="80" t="str">
        <f>CONCATENATE("for ",F1-1,"")</f>
        <v>for 2011</v>
      </c>
      <c r="B6" s="80" t="str">
        <f>CONCATENATE("for ",F1-1,"")</f>
        <v>for 2011</v>
      </c>
      <c r="C6" s="36" t="s">
        <v>182</v>
      </c>
      <c r="D6" s="36" t="s">
        <v>183</v>
      </c>
      <c r="E6" s="36" t="s">
        <v>181</v>
      </c>
      <c r="F6" s="82" t="s">
        <v>282</v>
      </c>
    </row>
    <row r="7" spans="1:6" ht="15">
      <c r="A7" s="40" t="str">
        <f>(inputPrYr!B16)</f>
        <v>General</v>
      </c>
      <c r="B7" s="139">
        <f>(inputPrYr!D16)</f>
        <v>212407</v>
      </c>
      <c r="C7" s="139">
        <f>IF(inputPrYr!D16=0,0,C21-SUM(C9:C18))</f>
        <v>39313</v>
      </c>
      <c r="D7" s="139">
        <f>IF(inputPrYr!D16=0,0,D22-SUM(D9:D18))</f>
        <v>1235</v>
      </c>
      <c r="E7" s="139">
        <f>IF(inputPrYr!D16=0,0,E23-SUM(E9:E18))</f>
        <v>650</v>
      </c>
      <c r="F7" s="139">
        <f>IF(inputPrYr!D16=0,0,F24-SUM(F9:F18))</f>
        <v>0</v>
      </c>
    </row>
    <row r="8" spans="1:6" ht="15">
      <c r="A8" s="40"/>
      <c r="B8" s="139" t="str">
        <f>IF(inputPrYr!$D17&gt;0,(inputPrYr!$D17),"  ")</f>
        <v>  </v>
      </c>
      <c r="C8" s="139" t="str">
        <f>IF(inputPrYr!D17&gt;0,ROUND(#REF!*$C$25,0),"  ")</f>
        <v>  </v>
      </c>
      <c r="D8" s="139" t="str">
        <f>IF(inputPrYr!D17&gt;0,ROUND(+#REF!*D$26,0)," ")</f>
        <v> </v>
      </c>
      <c r="E8" s="139" t="str">
        <f>IF(inputPrYr!D17&gt;0,ROUND(#REF!*E$27,0)," ")</f>
        <v> </v>
      </c>
      <c r="F8" s="139" t="str">
        <f>IF(inputPrYr!D17&gt;0,ROUND(#REF!*F$28,0)," ")</f>
        <v> </v>
      </c>
    </row>
    <row r="9" spans="1:6" ht="15">
      <c r="A9" s="40" t="str">
        <f>IF(inputPrYr!$B19&gt;"  ",(inputPrYr!$B19),"  ")</f>
        <v>Library</v>
      </c>
      <c r="B9" s="139">
        <f>IF(inputPrYr!$D19&gt;0,(inputPrYr!$D19),"  ")</f>
        <v>8922</v>
      </c>
      <c r="C9" s="139">
        <f>IF(inputPrYr!D19&gt;0,ROUND(B9*$C$25,0),"  ")</f>
        <v>1651</v>
      </c>
      <c r="D9" s="139">
        <f>IF(inputPrYr!D19&gt;0,ROUND(+B9*D$26,0)," ")</f>
        <v>52</v>
      </c>
      <c r="E9" s="139">
        <f>IF(inputPrYr!D19&gt;0,ROUND(+B9*E$27,0)," ")</f>
        <v>27</v>
      </c>
      <c r="F9" s="139">
        <f>IF(inputPrYr!D19&gt;0,ROUND(+B9*F$28,0)," ")</f>
        <v>0</v>
      </c>
    </row>
    <row r="10" spans="1:6" ht="15">
      <c r="A10" s="40"/>
      <c r="B10" s="139"/>
      <c r="C10" s="139"/>
      <c r="D10" s="139"/>
      <c r="E10" s="139"/>
      <c r="F10" s="139"/>
    </row>
    <row r="11" spans="1:6" ht="15">
      <c r="A11" s="40"/>
      <c r="B11" s="139"/>
      <c r="C11" s="139"/>
      <c r="D11" s="139"/>
      <c r="E11" s="139"/>
      <c r="F11" s="139"/>
    </row>
    <row r="12" spans="1:6" ht="15">
      <c r="A12" s="40"/>
      <c r="B12" s="139"/>
      <c r="C12" s="139"/>
      <c r="D12" s="139"/>
      <c r="E12" s="139"/>
      <c r="F12" s="139"/>
    </row>
    <row r="13" spans="1:6" ht="15">
      <c r="A13" s="40"/>
      <c r="B13" s="395"/>
      <c r="C13" s="395"/>
      <c r="D13" s="395"/>
      <c r="E13" s="395"/>
      <c r="F13" s="139"/>
    </row>
    <row r="14" spans="1:6" ht="15">
      <c r="A14" s="40"/>
      <c r="B14" s="395"/>
      <c r="C14" s="395"/>
      <c r="D14" s="395"/>
      <c r="E14" s="395"/>
      <c r="F14" s="139"/>
    </row>
    <row r="15" spans="1:6" ht="15">
      <c r="A15" s="40"/>
      <c r="B15" s="395"/>
      <c r="C15" s="395"/>
      <c r="D15" s="395"/>
      <c r="E15" s="395"/>
      <c r="F15" s="139"/>
    </row>
    <row r="16" spans="1:6" ht="15">
      <c r="A16" s="40"/>
      <c r="B16" s="395"/>
      <c r="C16" s="139"/>
      <c r="D16" s="139"/>
      <c r="E16" s="139"/>
      <c r="F16" s="139"/>
    </row>
    <row r="17" spans="1:6" ht="15">
      <c r="A17" s="40"/>
      <c r="B17" s="139"/>
      <c r="C17" s="139"/>
      <c r="D17" s="139"/>
      <c r="E17" s="139"/>
      <c r="F17" s="139"/>
    </row>
    <row r="18" spans="1:6" ht="15">
      <c r="A18" s="40" t="str">
        <f>IF(inputPrYr!$B20&gt;"  ",(inputPrYr!$B20),"  ")</f>
        <v>  </v>
      </c>
      <c r="B18" s="139" t="str">
        <f>IF(inputPrYr!$D20&gt;0,(inputPrYr!$D20),"  ")</f>
        <v>  </v>
      </c>
      <c r="C18" s="139" t="str">
        <f>IF(inputPrYr!D20&gt;0,ROUND(B18*$C$25,0),"  ")</f>
        <v>  </v>
      </c>
      <c r="D18" s="139" t="str">
        <f>IF(inputPrYr!D20&gt;0,ROUND(+B18*D$26,0)," ")</f>
        <v> </v>
      </c>
      <c r="E18" s="139" t="str">
        <f>IF(inputPrYr!D20&gt;0,ROUND(+B18*E$27,0)," ")</f>
        <v> </v>
      </c>
      <c r="F18" s="139" t="str">
        <f>IF(inputPrYr!D20&gt;0,ROUND(+B18*F$28,0)," ")</f>
        <v> </v>
      </c>
    </row>
    <row r="19" spans="1:6" ht="15.75" thickBot="1">
      <c r="A19" s="21" t="s">
        <v>95</v>
      </c>
      <c r="B19" s="276">
        <f>SUM(B7:B18)</f>
        <v>221329</v>
      </c>
      <c r="C19" s="276">
        <f>SUM(C7:C18)</f>
        <v>40964</v>
      </c>
      <c r="D19" s="276">
        <f>SUM(D7:D18)</f>
        <v>1287</v>
      </c>
      <c r="E19" s="276">
        <f>SUM(E7:E18)</f>
        <v>677</v>
      </c>
      <c r="F19" s="373">
        <f>SUM(F7:F18)</f>
        <v>0</v>
      </c>
    </row>
    <row r="20" spans="1:6" ht="15.75" thickTop="1">
      <c r="A20" s="21"/>
      <c r="B20" s="137"/>
      <c r="C20" s="137"/>
      <c r="D20" s="137"/>
      <c r="E20" s="137"/>
      <c r="F20" s="21"/>
    </row>
    <row r="21" spans="1:6" ht="15">
      <c r="A21" s="25" t="s">
        <v>96</v>
      </c>
      <c r="B21" s="94"/>
      <c r="C21" s="74">
        <f>(inputOth!E37)</f>
        <v>40964</v>
      </c>
      <c r="D21" s="94"/>
      <c r="E21" s="21"/>
      <c r="F21" s="21"/>
    </row>
    <row r="22" spans="1:6" ht="15">
      <c r="A22" s="25" t="s">
        <v>97</v>
      </c>
      <c r="B22" s="21"/>
      <c r="C22" s="21"/>
      <c r="D22" s="74">
        <f>(inputOth!E38)</f>
        <v>1287</v>
      </c>
      <c r="E22" s="21"/>
      <c r="F22" s="21"/>
    </row>
    <row r="23" spans="1:6" ht="15">
      <c r="A23" s="25" t="s">
        <v>184</v>
      </c>
      <c r="B23" s="21"/>
      <c r="C23" s="21"/>
      <c r="D23" s="21"/>
      <c r="E23" s="74">
        <f>inputOth!E39</f>
        <v>677</v>
      </c>
      <c r="F23" s="21"/>
    </row>
    <row r="24" spans="1:6" ht="15">
      <c r="A24" s="25" t="s">
        <v>380</v>
      </c>
      <c r="B24" s="21"/>
      <c r="C24" s="21"/>
      <c r="D24" s="21"/>
      <c r="E24" s="137"/>
      <c r="F24" s="60">
        <f>inputOth!E42</f>
        <v>0</v>
      </c>
    </row>
    <row r="25" spans="1:6" ht="15">
      <c r="A25" s="25" t="s">
        <v>98</v>
      </c>
      <c r="B25" s="21"/>
      <c r="C25" s="277">
        <f>IF(B19=0,0,C21/B19)</f>
        <v>0.18508193684514906</v>
      </c>
      <c r="D25" s="21"/>
      <c r="E25" s="21"/>
      <c r="F25" s="21"/>
    </row>
    <row r="26" spans="1:6" ht="15">
      <c r="A26" s="21"/>
      <c r="B26" s="25" t="s">
        <v>99</v>
      </c>
      <c r="C26" s="21"/>
      <c r="D26" s="277">
        <f>IF(B19=0,0,D22/B19)</f>
        <v>0.00581487288154738</v>
      </c>
      <c r="E26" s="21"/>
      <c r="F26" s="21"/>
    </row>
    <row r="27" spans="1:6" ht="15">
      <c r="A27" s="21"/>
      <c r="B27" s="21"/>
      <c r="C27" s="25" t="s">
        <v>185</v>
      </c>
      <c r="D27" s="21"/>
      <c r="E27" s="277">
        <f>IF(B19=0,0,E23/B19)</f>
        <v>0.0030587948258023125</v>
      </c>
      <c r="F27" s="21"/>
    </row>
    <row r="28" spans="1:6" ht="15">
      <c r="A28" s="21"/>
      <c r="B28" s="21"/>
      <c r="C28" s="21"/>
      <c r="D28" s="21" t="s">
        <v>381</v>
      </c>
      <c r="E28" s="21"/>
      <c r="F28" s="277">
        <f>IF(B19=0,0,F24/B19)</f>
        <v>0</v>
      </c>
    </row>
    <row r="29" spans="1:6" ht="15">
      <c r="A29" s="169"/>
      <c r="B29" s="169"/>
      <c r="C29" s="169"/>
      <c r="D29" s="169"/>
      <c r="E29" s="169"/>
      <c r="F29" s="169"/>
    </row>
  </sheetData>
  <sheetProtection/>
  <mergeCells count="2">
    <mergeCell ref="A3:E3"/>
    <mergeCell ref="C5:F5"/>
  </mergeCells>
  <printOptions/>
  <pageMargins left="0.5" right="0.5" top="1" bottom="0.5" header="0.5" footer="0.5"/>
  <pageSetup blackAndWhite="1" fitToHeight="1" fitToWidth="1" horizontalDpi="600" verticalDpi="600" orientation="portrait" scale="97" r:id="rId1"/>
  <headerFooter alignWithMargins="0">
    <oddHeader>&amp;RState of Kansas
City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I23" sqref="I23"/>
    </sheetView>
  </sheetViews>
  <sheetFormatPr defaultColWidth="8.8984375" defaultRowHeight="15"/>
  <cols>
    <col min="1" max="2" width="17.69921875" style="2" customWidth="1"/>
    <col min="3" max="6" width="12.69921875" style="2" customWidth="1"/>
    <col min="7" max="16384" width="8.8984375" style="2" customWidth="1"/>
  </cols>
  <sheetData>
    <row r="1" spans="1:6" ht="15">
      <c r="A1" s="51" t="str">
        <f>inputPrYr!D2</f>
        <v>CITY OF BLUE RAPIDS</v>
      </c>
      <c r="B1" s="51"/>
      <c r="C1" s="50"/>
      <c r="D1" s="50"/>
      <c r="E1" s="50"/>
      <c r="F1" s="50">
        <f>inputPrYr!$C$5</f>
        <v>2012</v>
      </c>
    </row>
    <row r="2" spans="1:6" ht="15">
      <c r="A2" s="50"/>
      <c r="B2" s="50"/>
      <c r="C2" s="50"/>
      <c r="D2" s="50"/>
      <c r="E2" s="50"/>
      <c r="F2" s="50"/>
    </row>
    <row r="3" spans="1:6" ht="15">
      <c r="A3" s="453" t="s">
        <v>239</v>
      </c>
      <c r="B3" s="453"/>
      <c r="C3" s="453"/>
      <c r="D3" s="453"/>
      <c r="E3" s="453"/>
      <c r="F3" s="453"/>
    </row>
    <row r="4" spans="1:6" ht="15">
      <c r="A4" s="133"/>
      <c r="B4" s="133"/>
      <c r="C4" s="133"/>
      <c r="D4" s="133"/>
      <c r="E4" s="133"/>
      <c r="F4" s="133"/>
    </row>
    <row r="5" spans="1:6" ht="15">
      <c r="A5" s="134" t="s">
        <v>255</v>
      </c>
      <c r="B5" s="134" t="s">
        <v>255</v>
      </c>
      <c r="C5" s="134" t="s">
        <v>125</v>
      </c>
      <c r="D5" s="134" t="s">
        <v>256</v>
      </c>
      <c r="E5" s="134" t="s">
        <v>257</v>
      </c>
      <c r="F5" s="134" t="s">
        <v>301</v>
      </c>
    </row>
    <row r="6" spans="1:6" ht="15">
      <c r="A6" s="202" t="s">
        <v>302</v>
      </c>
      <c r="B6" s="202" t="s">
        <v>303</v>
      </c>
      <c r="C6" s="202" t="s">
        <v>304</v>
      </c>
      <c r="D6" s="202" t="s">
        <v>304</v>
      </c>
      <c r="E6" s="202" t="s">
        <v>304</v>
      </c>
      <c r="F6" s="202" t="s">
        <v>305</v>
      </c>
    </row>
    <row r="7" spans="1:6" ht="15" customHeight="1">
      <c r="A7" s="203" t="s">
        <v>306</v>
      </c>
      <c r="B7" s="203" t="s">
        <v>307</v>
      </c>
      <c r="C7" s="147">
        <f>F1-2</f>
        <v>2010</v>
      </c>
      <c r="D7" s="147">
        <f>F1-1</f>
        <v>2011</v>
      </c>
      <c r="E7" s="147">
        <f>F1</f>
        <v>2012</v>
      </c>
      <c r="F7" s="203" t="s">
        <v>308</v>
      </c>
    </row>
    <row r="8" spans="1:7" ht="14.25" customHeight="1">
      <c r="A8" s="135" t="s">
        <v>69</v>
      </c>
      <c r="B8" s="135" t="s">
        <v>459</v>
      </c>
      <c r="C8" s="210">
        <v>0</v>
      </c>
      <c r="D8" s="210">
        <v>15000</v>
      </c>
      <c r="E8" s="210">
        <v>15000</v>
      </c>
      <c r="F8" s="211" t="s">
        <v>460</v>
      </c>
      <c r="G8" s="397" t="s">
        <v>505</v>
      </c>
    </row>
    <row r="9" spans="1:7" ht="15" customHeight="1">
      <c r="A9" s="121" t="s">
        <v>458</v>
      </c>
      <c r="B9" s="121" t="s">
        <v>497</v>
      </c>
      <c r="C9" s="212">
        <v>0</v>
      </c>
      <c r="D9" s="212">
        <v>5000</v>
      </c>
      <c r="E9" s="212">
        <v>5000</v>
      </c>
      <c r="F9" s="211" t="s">
        <v>461</v>
      </c>
      <c r="G9" s="397" t="s">
        <v>505</v>
      </c>
    </row>
    <row r="10" spans="1:7" ht="15" customHeight="1">
      <c r="A10" s="121" t="s">
        <v>458</v>
      </c>
      <c r="B10" s="121" t="s">
        <v>69</v>
      </c>
      <c r="C10" s="212">
        <v>5000</v>
      </c>
      <c r="D10" s="212">
        <v>140000</v>
      </c>
      <c r="E10" s="212">
        <v>140000</v>
      </c>
      <c r="F10" s="211" t="s">
        <v>461</v>
      </c>
      <c r="G10" s="397" t="s">
        <v>505</v>
      </c>
    </row>
    <row r="11" spans="1:7" ht="15" customHeight="1">
      <c r="A11" s="121" t="s">
        <v>278</v>
      </c>
      <c r="B11" s="121" t="s">
        <v>69</v>
      </c>
      <c r="C11" s="212">
        <v>1586</v>
      </c>
      <c r="D11" s="212">
        <v>0</v>
      </c>
      <c r="E11" s="212">
        <v>0</v>
      </c>
      <c r="F11" s="211" t="s">
        <v>491</v>
      </c>
      <c r="G11" s="397" t="s">
        <v>505</v>
      </c>
    </row>
    <row r="12" spans="1:7" ht="15" customHeight="1">
      <c r="A12" s="121" t="s">
        <v>458</v>
      </c>
      <c r="B12" s="121" t="s">
        <v>492</v>
      </c>
      <c r="C12" s="212">
        <v>25</v>
      </c>
      <c r="D12" s="212">
        <v>0</v>
      </c>
      <c r="E12" s="212">
        <v>0</v>
      </c>
      <c r="F12" s="211" t="s">
        <v>461</v>
      </c>
      <c r="G12" s="397" t="s">
        <v>505</v>
      </c>
    </row>
    <row r="13" spans="1:7" ht="15" customHeight="1">
      <c r="A13" s="121" t="s">
        <v>497</v>
      </c>
      <c r="B13" s="121" t="s">
        <v>458</v>
      </c>
      <c r="C13" s="212">
        <v>25</v>
      </c>
      <c r="D13" s="212">
        <v>0</v>
      </c>
      <c r="E13" s="212">
        <v>0</v>
      </c>
      <c r="F13" s="211" t="s">
        <v>495</v>
      </c>
      <c r="G13" s="397" t="s">
        <v>505</v>
      </c>
    </row>
    <row r="14" spans="1:7" ht="15" customHeight="1">
      <c r="A14" s="121" t="s">
        <v>55</v>
      </c>
      <c r="B14" s="121" t="s">
        <v>69</v>
      </c>
      <c r="C14" s="212">
        <v>4</v>
      </c>
      <c r="D14" s="212">
        <v>0</v>
      </c>
      <c r="E14" s="212">
        <v>0</v>
      </c>
      <c r="F14" s="211" t="s">
        <v>491</v>
      </c>
      <c r="G14" s="397" t="s">
        <v>505</v>
      </c>
    </row>
    <row r="15" spans="1:7" ht="15" customHeight="1">
      <c r="A15" s="121" t="s">
        <v>518</v>
      </c>
      <c r="B15" s="121" t="s">
        <v>278</v>
      </c>
      <c r="C15" s="212">
        <v>0</v>
      </c>
      <c r="D15" s="212">
        <v>54260</v>
      </c>
      <c r="E15" s="212">
        <v>0</v>
      </c>
      <c r="F15" s="211" t="s">
        <v>491</v>
      </c>
      <c r="G15" s="397" t="s">
        <v>505</v>
      </c>
    </row>
    <row r="16" spans="1:7" ht="15" customHeight="1">
      <c r="A16" s="121"/>
      <c r="B16" s="121"/>
      <c r="C16" s="212"/>
      <c r="D16" s="212"/>
      <c r="E16" s="212"/>
      <c r="F16" s="211"/>
      <c r="G16" s="397"/>
    </row>
    <row r="17" spans="1:7" ht="15" customHeight="1">
      <c r="A17" s="121"/>
      <c r="B17" s="121"/>
      <c r="C17" s="212"/>
      <c r="D17" s="212"/>
      <c r="E17" s="212"/>
      <c r="F17" s="211"/>
      <c r="G17" s="397"/>
    </row>
    <row r="18" spans="1:7" ht="15" customHeight="1">
      <c r="A18" s="121"/>
      <c r="B18" s="121"/>
      <c r="C18" s="212"/>
      <c r="D18" s="212"/>
      <c r="E18" s="212"/>
      <c r="F18" s="211"/>
      <c r="G18" s="397"/>
    </row>
    <row r="19" spans="1:6" ht="15" customHeight="1">
      <c r="A19" s="121"/>
      <c r="B19" s="121"/>
      <c r="C19" s="212"/>
      <c r="D19" s="212"/>
      <c r="E19" s="212"/>
      <c r="F19" s="211"/>
    </row>
    <row r="20" spans="1:6" ht="15" customHeight="1">
      <c r="A20" s="121"/>
      <c r="B20" s="121"/>
      <c r="C20" s="212"/>
      <c r="D20" s="212"/>
      <c r="E20" s="212"/>
      <c r="F20" s="211"/>
    </row>
    <row r="21" spans="1:6" ht="15" customHeight="1">
      <c r="A21" s="121"/>
      <c r="B21" s="121"/>
      <c r="C21" s="212"/>
      <c r="D21" s="212"/>
      <c r="E21" s="212"/>
      <c r="F21" s="211"/>
    </row>
    <row r="22" spans="1:6" ht="15" customHeight="1">
      <c r="A22" s="121"/>
      <c r="B22" s="121"/>
      <c r="C22" s="212"/>
      <c r="D22" s="212"/>
      <c r="E22" s="212"/>
      <c r="F22" s="211"/>
    </row>
    <row r="23" spans="1:6" ht="15" customHeight="1">
      <c r="A23" s="121"/>
      <c r="B23" s="121"/>
      <c r="C23" s="212"/>
      <c r="D23" s="212"/>
      <c r="E23" s="212"/>
      <c r="F23" s="211"/>
    </row>
    <row r="24" spans="1:6" ht="15" customHeight="1">
      <c r="A24" s="121"/>
      <c r="B24" s="121"/>
      <c r="C24" s="212"/>
      <c r="D24" s="212"/>
      <c r="E24" s="212"/>
      <c r="F24" s="211"/>
    </row>
    <row r="25" spans="1:6" ht="15" customHeight="1">
      <c r="A25" s="121"/>
      <c r="B25" s="121"/>
      <c r="C25" s="212"/>
      <c r="D25" s="212"/>
      <c r="E25" s="212"/>
      <c r="F25" s="211"/>
    </row>
    <row r="26" spans="1:6" ht="15" customHeight="1">
      <c r="A26" s="136"/>
      <c r="B26" s="204" t="s">
        <v>87</v>
      </c>
      <c r="C26" s="275">
        <f>SUM(C8:C25)</f>
        <v>6640</v>
      </c>
      <c r="D26" s="275">
        <f>SUM(D8:D25)</f>
        <v>214260</v>
      </c>
      <c r="E26" s="275">
        <f>SUM(E8:E25)</f>
        <v>160000</v>
      </c>
      <c r="F26" s="215"/>
    </row>
    <row r="27" spans="1:6" ht="15" customHeight="1">
      <c r="A27" s="136"/>
      <c r="B27" s="205" t="s">
        <v>309</v>
      </c>
      <c r="C27" s="82"/>
      <c r="D27" s="213"/>
      <c r="E27" s="213"/>
      <c r="F27" s="215"/>
    </row>
    <row r="28" spans="1:6" ht="15" customHeight="1">
      <c r="A28" s="136"/>
      <c r="B28" s="204" t="s">
        <v>310</v>
      </c>
      <c r="C28" s="275">
        <f>C26</f>
        <v>6640</v>
      </c>
      <c r="D28" s="275">
        <f>SUM(D26-D27)</f>
        <v>214260</v>
      </c>
      <c r="E28" s="275">
        <f>SUM(E26-E27)</f>
        <v>160000</v>
      </c>
      <c r="F28" s="215"/>
    </row>
    <row r="29" spans="1:6" ht="15" customHeight="1">
      <c r="A29" s="136"/>
      <c r="B29" s="136"/>
      <c r="C29" s="136"/>
      <c r="D29" s="136"/>
      <c r="E29" s="136"/>
      <c r="F29" s="136"/>
    </row>
    <row r="30" spans="1:6" ht="15" customHeight="1">
      <c r="A30" s="372" t="s">
        <v>391</v>
      </c>
      <c r="B30" s="372"/>
      <c r="C30" s="372"/>
      <c r="D30" s="372"/>
      <c r="E30" s="372"/>
      <c r="F30" s="136"/>
    </row>
    <row r="31" ht="15" customHeight="1"/>
  </sheetData>
  <sheetProtection/>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&amp;Lrevised 5/08/08&amp;CPage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39"/>
  <sheetViews>
    <sheetView zoomScalePageLayoutView="0" workbookViewId="0" topLeftCell="A7">
      <selection activeCell="I19" sqref="I19"/>
    </sheetView>
  </sheetViews>
  <sheetFormatPr defaultColWidth="8.8984375" defaultRowHeight="15"/>
  <cols>
    <col min="1" max="1" width="20.69921875" style="7" customWidth="1"/>
    <col min="2" max="3" width="7.69921875" style="7" customWidth="1"/>
    <col min="4" max="4" width="8.69921875" style="7" customWidth="1"/>
    <col min="5" max="6" width="12.69921875" style="7" customWidth="1"/>
    <col min="7" max="12" width="9.69921875" style="7" customWidth="1"/>
    <col min="13" max="16384" width="8.8984375" style="7" customWidth="1"/>
  </cols>
  <sheetData>
    <row r="1" spans="1:12" ht="15">
      <c r="A1" s="72" t="str">
        <f>inputPrYr!$D$2</f>
        <v>CITY OF BLUE RAPIDS</v>
      </c>
      <c r="B1" s="21"/>
      <c r="C1" s="21"/>
      <c r="D1" s="21"/>
      <c r="E1" s="21"/>
      <c r="F1" s="21"/>
      <c r="G1" s="21"/>
      <c r="H1" s="21"/>
      <c r="I1" s="21"/>
      <c r="J1" s="21"/>
      <c r="K1" s="21"/>
      <c r="L1" s="143">
        <f>inputPrYr!$C$5</f>
        <v>2012</v>
      </c>
    </row>
    <row r="2" spans="1:12" ht="15">
      <c r="A2" s="72"/>
      <c r="B2" s="21"/>
      <c r="C2" s="21"/>
      <c r="D2" s="21"/>
      <c r="E2" s="21"/>
      <c r="F2" s="21"/>
      <c r="G2" s="21"/>
      <c r="H2" s="21"/>
      <c r="I2" s="21"/>
      <c r="J2" s="21"/>
      <c r="K2" s="21"/>
      <c r="L2" s="24"/>
    </row>
    <row r="3" spans="1:12" ht="15">
      <c r="A3" s="75" t="s">
        <v>180</v>
      </c>
      <c r="B3" s="27"/>
      <c r="C3" s="27"/>
      <c r="D3" s="27"/>
      <c r="E3" s="27"/>
      <c r="F3" s="27"/>
      <c r="G3" s="27"/>
      <c r="H3" s="27"/>
      <c r="I3" s="27"/>
      <c r="J3" s="27"/>
      <c r="K3" s="27"/>
      <c r="L3" s="27"/>
    </row>
    <row r="4" spans="1:12" ht="15">
      <c r="A4" s="21"/>
      <c r="B4" s="87"/>
      <c r="C4" s="87"/>
      <c r="D4" s="87"/>
      <c r="E4" s="87"/>
      <c r="F4" s="87"/>
      <c r="G4" s="87"/>
      <c r="H4" s="87"/>
      <c r="I4" s="87"/>
      <c r="J4" s="87"/>
      <c r="K4" s="87"/>
      <c r="L4" s="87"/>
    </row>
    <row r="5" spans="1:12" ht="15">
      <c r="A5" s="21"/>
      <c r="B5" s="76" t="s">
        <v>141</v>
      </c>
      <c r="C5" s="76" t="s">
        <v>141</v>
      </c>
      <c r="D5" s="76" t="s">
        <v>156</v>
      </c>
      <c r="E5" s="76"/>
      <c r="F5" s="76" t="s">
        <v>296</v>
      </c>
      <c r="G5" s="21"/>
      <c r="H5" s="21"/>
      <c r="I5" s="78" t="s">
        <v>142</v>
      </c>
      <c r="J5" s="77"/>
      <c r="K5" s="78" t="s">
        <v>142</v>
      </c>
      <c r="L5" s="77"/>
    </row>
    <row r="6" spans="1:12" ht="15">
      <c r="A6" s="21"/>
      <c r="B6" s="79" t="s">
        <v>143</v>
      </c>
      <c r="C6" s="79" t="s">
        <v>297</v>
      </c>
      <c r="D6" s="79" t="s">
        <v>144</v>
      </c>
      <c r="E6" s="79" t="s">
        <v>93</v>
      </c>
      <c r="F6" s="79" t="s">
        <v>298</v>
      </c>
      <c r="G6" s="454" t="s">
        <v>145</v>
      </c>
      <c r="H6" s="455"/>
      <c r="I6" s="456">
        <f>L1-1</f>
        <v>2011</v>
      </c>
      <c r="J6" s="457"/>
      <c r="K6" s="456">
        <f>L1</f>
        <v>2012</v>
      </c>
      <c r="L6" s="457"/>
    </row>
    <row r="7" spans="1:12" ht="15">
      <c r="A7" s="83" t="s">
        <v>146</v>
      </c>
      <c r="B7" s="80" t="s">
        <v>147</v>
      </c>
      <c r="C7" s="80" t="s">
        <v>299</v>
      </c>
      <c r="D7" s="80" t="s">
        <v>117</v>
      </c>
      <c r="E7" s="80" t="s">
        <v>148</v>
      </c>
      <c r="F7" s="200" t="str">
        <f>CONCATENATE("Jan 1,",L1-1,"")</f>
        <v>Jan 1,2011</v>
      </c>
      <c r="G7" s="82" t="s">
        <v>156</v>
      </c>
      <c r="H7" s="82" t="s">
        <v>158</v>
      </c>
      <c r="I7" s="82" t="s">
        <v>156</v>
      </c>
      <c r="J7" s="82" t="s">
        <v>158</v>
      </c>
      <c r="K7" s="82" t="s">
        <v>156</v>
      </c>
      <c r="L7" s="82" t="s">
        <v>158</v>
      </c>
    </row>
    <row r="8" spans="1:12" ht="15">
      <c r="A8" s="83" t="s">
        <v>149</v>
      </c>
      <c r="B8" s="42"/>
      <c r="C8" s="42"/>
      <c r="D8" s="84"/>
      <c r="E8" s="85"/>
      <c r="F8" s="85"/>
      <c r="G8" s="42"/>
      <c r="H8" s="42"/>
      <c r="I8" s="85"/>
      <c r="J8" s="85"/>
      <c r="K8" s="85"/>
      <c r="L8" s="85"/>
    </row>
    <row r="9" spans="1:12" ht="15">
      <c r="A9" s="8" t="s">
        <v>506</v>
      </c>
      <c r="B9" s="216">
        <v>40568</v>
      </c>
      <c r="C9" s="216">
        <v>11567</v>
      </c>
      <c r="D9" s="217">
        <v>4.25</v>
      </c>
      <c r="E9" s="218">
        <v>196000</v>
      </c>
      <c r="F9" s="219">
        <v>0</v>
      </c>
      <c r="G9" s="220" t="s">
        <v>484</v>
      </c>
      <c r="H9" s="220">
        <v>40787</v>
      </c>
      <c r="I9" s="219">
        <v>0</v>
      </c>
      <c r="J9" s="219">
        <v>0</v>
      </c>
      <c r="K9" s="219">
        <v>13328</v>
      </c>
      <c r="L9" s="219">
        <v>2000</v>
      </c>
    </row>
    <row r="10" spans="1:12" ht="15">
      <c r="A10" s="8"/>
      <c r="B10" s="216"/>
      <c r="C10" s="216"/>
      <c r="D10" s="217"/>
      <c r="E10" s="218"/>
      <c r="F10" s="219"/>
      <c r="G10" s="220"/>
      <c r="H10" s="220"/>
      <c r="I10" s="219"/>
      <c r="J10" s="219"/>
      <c r="K10" s="219"/>
      <c r="L10" s="219"/>
    </row>
    <row r="11" spans="1:12" ht="15">
      <c r="A11" s="8"/>
      <c r="B11" s="216"/>
      <c r="C11" s="216"/>
      <c r="D11" s="217"/>
      <c r="E11" s="218"/>
      <c r="F11" s="219"/>
      <c r="G11" s="220"/>
      <c r="H11" s="220"/>
      <c r="I11" s="219"/>
      <c r="J11" s="219"/>
      <c r="K11" s="219"/>
      <c r="L11" s="219"/>
    </row>
    <row r="12" spans="1:12" ht="15">
      <c r="A12" s="8"/>
      <c r="B12" s="216"/>
      <c r="C12" s="216"/>
      <c r="D12" s="217"/>
      <c r="E12" s="218"/>
      <c r="F12" s="219"/>
      <c r="G12" s="220"/>
      <c r="H12" s="220"/>
      <c r="I12" s="219"/>
      <c r="J12" s="219"/>
      <c r="K12" s="219"/>
      <c r="L12" s="219"/>
    </row>
    <row r="13" spans="1:12" ht="15">
      <c r="A13" s="8"/>
      <c r="B13" s="216"/>
      <c r="C13" s="216"/>
      <c r="D13" s="217"/>
      <c r="E13" s="218"/>
      <c r="F13" s="219"/>
      <c r="G13" s="220"/>
      <c r="H13" s="220"/>
      <c r="I13" s="219"/>
      <c r="J13" s="219"/>
      <c r="K13" s="219"/>
      <c r="L13" s="219"/>
    </row>
    <row r="14" spans="1:12" ht="15">
      <c r="A14" s="8"/>
      <c r="B14" s="216"/>
      <c r="C14" s="216"/>
      <c r="D14" s="217"/>
      <c r="E14" s="218"/>
      <c r="F14" s="219"/>
      <c r="G14" s="220"/>
      <c r="H14" s="220"/>
      <c r="I14" s="219"/>
      <c r="J14" s="219"/>
      <c r="K14" s="219"/>
      <c r="L14" s="219"/>
    </row>
    <row r="15" spans="1:12" ht="15">
      <c r="A15" s="8"/>
      <c r="B15" s="216"/>
      <c r="C15" s="216"/>
      <c r="D15" s="217"/>
      <c r="E15" s="218"/>
      <c r="F15" s="219"/>
      <c r="G15" s="220"/>
      <c r="H15" s="220"/>
      <c r="I15" s="219"/>
      <c r="J15" s="219"/>
      <c r="K15" s="219"/>
      <c r="L15" s="219"/>
    </row>
    <row r="16" spans="1:12" ht="15">
      <c r="A16" s="86" t="s">
        <v>150</v>
      </c>
      <c r="B16" s="221"/>
      <c r="C16" s="221"/>
      <c r="D16" s="222"/>
      <c r="E16" s="223"/>
      <c r="F16" s="278">
        <f>SUM(F9:F15)</f>
        <v>0</v>
      </c>
      <c r="G16" s="224"/>
      <c r="H16" s="224"/>
      <c r="I16" s="278">
        <f>SUM(I9:I15)</f>
        <v>0</v>
      </c>
      <c r="J16" s="278">
        <f>SUM(J9:J15)</f>
        <v>0</v>
      </c>
      <c r="K16" s="278">
        <f>SUM(K9:K15)</f>
        <v>13328</v>
      </c>
      <c r="L16" s="278">
        <f>SUM(L9:L15)</f>
        <v>2000</v>
      </c>
    </row>
    <row r="17" spans="1:12" ht="15">
      <c r="A17" s="83" t="s">
        <v>151</v>
      </c>
      <c r="B17" s="225"/>
      <c r="C17" s="225"/>
      <c r="D17" s="226"/>
      <c r="E17" s="214"/>
      <c r="F17" s="214"/>
      <c r="G17" s="227"/>
      <c r="H17" s="227"/>
      <c r="I17" s="214"/>
      <c r="J17" s="214"/>
      <c r="K17" s="214"/>
      <c r="L17" s="214"/>
    </row>
    <row r="18" spans="1:12" ht="15">
      <c r="A18" s="8" t="s">
        <v>483</v>
      </c>
      <c r="B18" s="216"/>
      <c r="C18" s="216"/>
      <c r="D18" s="217"/>
      <c r="E18" s="218"/>
      <c r="F18" s="219"/>
      <c r="G18" s="220"/>
      <c r="H18" s="220"/>
      <c r="I18" s="219"/>
      <c r="J18" s="219"/>
      <c r="K18" s="219"/>
      <c r="L18" s="219"/>
    </row>
    <row r="19" spans="1:12" ht="15">
      <c r="A19" s="8"/>
      <c r="B19" s="216"/>
      <c r="C19" s="216"/>
      <c r="D19" s="217"/>
      <c r="E19" s="218"/>
      <c r="F19" s="219"/>
      <c r="G19" s="220"/>
      <c r="H19" s="220"/>
      <c r="I19" s="219"/>
      <c r="J19" s="219"/>
      <c r="K19" s="219"/>
      <c r="L19" s="219"/>
    </row>
    <row r="20" spans="1:12" ht="15">
      <c r="A20" s="8"/>
      <c r="B20" s="216"/>
      <c r="C20" s="216"/>
      <c r="D20" s="217"/>
      <c r="E20" s="218"/>
      <c r="F20" s="219"/>
      <c r="G20" s="220"/>
      <c r="H20" s="220"/>
      <c r="I20" s="219"/>
      <c r="J20" s="219"/>
      <c r="K20" s="219"/>
      <c r="L20" s="219"/>
    </row>
    <row r="21" spans="1:12" ht="15">
      <c r="A21" s="8"/>
      <c r="B21" s="216"/>
      <c r="C21" s="216"/>
      <c r="D21" s="217"/>
      <c r="E21" s="218"/>
      <c r="F21" s="219"/>
      <c r="G21" s="220"/>
      <c r="H21" s="220"/>
      <c r="I21" s="219"/>
      <c r="J21" s="219"/>
      <c r="K21" s="219"/>
      <c r="L21" s="219"/>
    </row>
    <row r="22" spans="1:12" ht="15">
      <c r="A22" s="8"/>
      <c r="B22" s="216"/>
      <c r="C22" s="216"/>
      <c r="D22" s="217"/>
      <c r="E22" s="218"/>
      <c r="F22" s="219"/>
      <c r="G22" s="220"/>
      <c r="H22" s="220"/>
      <c r="I22" s="219"/>
      <c r="J22" s="219"/>
      <c r="K22" s="219"/>
      <c r="L22" s="219"/>
    </row>
    <row r="23" spans="1:12" ht="15">
      <c r="A23" s="8"/>
      <c r="B23" s="216"/>
      <c r="C23" s="216"/>
      <c r="D23" s="217"/>
      <c r="E23" s="218"/>
      <c r="F23" s="219"/>
      <c r="G23" s="220"/>
      <c r="H23" s="220"/>
      <c r="I23" s="219"/>
      <c r="J23" s="219"/>
      <c r="K23" s="219"/>
      <c r="L23" s="219"/>
    </row>
    <row r="24" spans="1:12" ht="15">
      <c r="A24" s="86" t="s">
        <v>152</v>
      </c>
      <c r="B24" s="221"/>
      <c r="C24" s="221"/>
      <c r="D24" s="228"/>
      <c r="E24" s="223"/>
      <c r="F24" s="279">
        <f>SUM(F18:F23)</f>
        <v>0</v>
      </c>
      <c r="G24" s="224"/>
      <c r="H24" s="224"/>
      <c r="I24" s="279">
        <f>SUM(I18:I23)</f>
        <v>0</v>
      </c>
      <c r="J24" s="279">
        <f>SUM(J18:J23)</f>
        <v>0</v>
      </c>
      <c r="K24" s="278">
        <f>SUM(K18:K23)</f>
        <v>0</v>
      </c>
      <c r="L24" s="279">
        <f>SUM(L18:L23)</f>
        <v>0</v>
      </c>
    </row>
    <row r="25" spans="1:12" ht="15">
      <c r="A25" s="83" t="s">
        <v>153</v>
      </c>
      <c r="B25" s="225"/>
      <c r="C25" s="225"/>
      <c r="D25" s="226"/>
      <c r="E25" s="214"/>
      <c r="F25" s="229"/>
      <c r="G25" s="227"/>
      <c r="H25" s="227"/>
      <c r="I25" s="214"/>
      <c r="J25" s="214"/>
      <c r="K25" s="214"/>
      <c r="L25" s="214"/>
    </row>
    <row r="26" spans="1:12" ht="15">
      <c r="A26" s="8" t="s">
        <v>507</v>
      </c>
      <c r="B26" s="216">
        <v>40574</v>
      </c>
      <c r="C26" s="216">
        <v>11536</v>
      </c>
      <c r="D26" s="217">
        <v>3.79</v>
      </c>
      <c r="E26" s="218">
        <v>208066</v>
      </c>
      <c r="F26" s="219">
        <v>146545</v>
      </c>
      <c r="G26" s="220" t="s">
        <v>508</v>
      </c>
      <c r="H26" s="220" t="s">
        <v>508</v>
      </c>
      <c r="I26" s="219">
        <v>0</v>
      </c>
      <c r="J26" s="219">
        <v>0</v>
      </c>
      <c r="K26" s="219">
        <v>7097</v>
      </c>
      <c r="L26" s="219">
        <v>7114</v>
      </c>
    </row>
    <row r="27" spans="1:12" ht="15">
      <c r="A27" s="8" t="s">
        <v>509</v>
      </c>
      <c r="B27" s="216">
        <v>40497</v>
      </c>
      <c r="C27" s="216">
        <v>40570</v>
      </c>
      <c r="D27" s="217">
        <v>2.5</v>
      </c>
      <c r="E27" s="218">
        <v>37000</v>
      </c>
      <c r="F27" s="219">
        <v>37000</v>
      </c>
      <c r="G27" s="220">
        <v>40570</v>
      </c>
      <c r="H27" s="220">
        <v>40570</v>
      </c>
      <c r="I27" s="219">
        <v>37000</v>
      </c>
      <c r="J27" s="219">
        <v>185</v>
      </c>
      <c r="K27" s="219">
        <v>0</v>
      </c>
      <c r="L27" s="219">
        <v>0</v>
      </c>
    </row>
    <row r="28" spans="1:12" ht="15">
      <c r="A28" s="8"/>
      <c r="B28" s="216"/>
      <c r="C28" s="216"/>
      <c r="D28" s="217"/>
      <c r="E28" s="218"/>
      <c r="F28" s="219"/>
      <c r="G28" s="220"/>
      <c r="H28" s="220"/>
      <c r="I28" s="219"/>
      <c r="J28" s="219"/>
      <c r="K28" s="219"/>
      <c r="L28" s="219"/>
    </row>
    <row r="29" spans="1:12" ht="15">
      <c r="A29" s="8"/>
      <c r="B29" s="216"/>
      <c r="C29" s="216"/>
      <c r="D29" s="217"/>
      <c r="E29" s="218"/>
      <c r="F29" s="219"/>
      <c r="G29" s="220"/>
      <c r="H29" s="220"/>
      <c r="I29" s="219"/>
      <c r="J29" s="219"/>
      <c r="K29" s="219"/>
      <c r="L29" s="219"/>
    </row>
    <row r="30" spans="1:12" ht="15">
      <c r="A30" s="8"/>
      <c r="B30" s="216"/>
      <c r="C30" s="216"/>
      <c r="D30" s="217"/>
      <c r="E30" s="218"/>
      <c r="F30" s="219"/>
      <c r="G30" s="220"/>
      <c r="H30" s="220"/>
      <c r="I30" s="219"/>
      <c r="J30" s="219"/>
      <c r="K30" s="219"/>
      <c r="L30" s="219"/>
    </row>
    <row r="31" spans="1:12" ht="15">
      <c r="A31" s="8"/>
      <c r="B31" s="216"/>
      <c r="C31" s="216"/>
      <c r="D31" s="217"/>
      <c r="E31" s="218"/>
      <c r="F31" s="219"/>
      <c r="G31" s="220"/>
      <c r="H31" s="220"/>
      <c r="I31" s="219"/>
      <c r="J31" s="219"/>
      <c r="K31" s="219"/>
      <c r="L31" s="219"/>
    </row>
    <row r="32" spans="1:28" ht="15">
      <c r="A32" s="8"/>
      <c r="B32" s="216"/>
      <c r="C32" s="216"/>
      <c r="D32" s="217"/>
      <c r="E32" s="218"/>
      <c r="F32" s="219"/>
      <c r="G32" s="220"/>
      <c r="H32" s="220"/>
      <c r="I32" s="219"/>
      <c r="J32" s="219"/>
      <c r="K32" s="219"/>
      <c r="L32" s="219"/>
      <c r="M32" s="2"/>
      <c r="N32" s="2"/>
      <c r="O32" s="2"/>
      <c r="P32" s="2"/>
      <c r="Q32" s="2"/>
      <c r="R32" s="2"/>
      <c r="S32" s="2"/>
      <c r="T32" s="2"/>
      <c r="U32" s="2"/>
      <c r="V32" s="2"/>
      <c r="W32" s="2"/>
      <c r="X32" s="2"/>
      <c r="Y32" s="2"/>
      <c r="Z32" s="2"/>
      <c r="AA32" s="2"/>
      <c r="AB32" s="2"/>
    </row>
    <row r="33" spans="1:12" ht="15">
      <c r="A33" s="86" t="s">
        <v>300</v>
      </c>
      <c r="B33" s="204"/>
      <c r="C33" s="204"/>
      <c r="D33" s="228"/>
      <c r="E33" s="223"/>
      <c r="F33" s="279">
        <f>SUM(F26:F32)</f>
        <v>183545</v>
      </c>
      <c r="G33" s="223"/>
      <c r="H33" s="223"/>
      <c r="I33" s="279">
        <f>SUM(I26:I32)</f>
        <v>37000</v>
      </c>
      <c r="J33" s="279">
        <f>SUM(J26:J32)</f>
        <v>185</v>
      </c>
      <c r="K33" s="279">
        <f>SUM(K26:K32)</f>
        <v>7097</v>
      </c>
      <c r="L33" s="279">
        <f>SUM(L26:L32)</f>
        <v>7114</v>
      </c>
    </row>
    <row r="34" spans="1:12" ht="15">
      <c r="A34" s="86" t="s">
        <v>154</v>
      </c>
      <c r="B34" s="204"/>
      <c r="C34" s="204"/>
      <c r="D34" s="204"/>
      <c r="E34" s="223"/>
      <c r="F34" s="279">
        <f>SUM(F16+F24+F33)</f>
        <v>183545</v>
      </c>
      <c r="G34" s="223"/>
      <c r="H34" s="223"/>
      <c r="I34" s="279">
        <f>SUM(I16+I24+I33)</f>
        <v>37000</v>
      </c>
      <c r="J34" s="279">
        <f>SUM(J16+J24+J33)</f>
        <v>185</v>
      </c>
      <c r="K34" s="279">
        <f>SUM(K16+K24+K33)</f>
        <v>20425</v>
      </c>
      <c r="L34" s="279">
        <f>SUM(L16+L24+L33)</f>
        <v>9114</v>
      </c>
    </row>
    <row r="35" spans="1:12" ht="15">
      <c r="A35" s="2"/>
      <c r="B35" s="2"/>
      <c r="C35" s="2"/>
      <c r="D35" s="2"/>
      <c r="E35" s="2"/>
      <c r="F35" s="2"/>
      <c r="G35" s="2"/>
      <c r="H35" s="2"/>
      <c r="I35" s="2"/>
      <c r="J35" s="2"/>
      <c r="K35" s="2"/>
      <c r="L35" s="2"/>
    </row>
    <row r="36" spans="5:12" ht="15">
      <c r="E36" s="11"/>
      <c r="F36" s="11"/>
      <c r="I36" s="11"/>
      <c r="J36" s="11"/>
      <c r="K36" s="11"/>
      <c r="L36" s="11"/>
    </row>
    <row r="37" spans="5:13" ht="15">
      <c r="E37" s="2"/>
      <c r="G37" s="201"/>
      <c r="M37" s="2"/>
    </row>
    <row r="38" spans="1:12" ht="15">
      <c r="A38" s="2"/>
      <c r="B38" s="2"/>
      <c r="C38" s="2"/>
      <c r="D38" s="2"/>
      <c r="E38" s="2"/>
      <c r="F38" s="2"/>
      <c r="G38" s="2"/>
      <c r="H38" s="2"/>
      <c r="I38" s="2"/>
      <c r="J38" s="2"/>
      <c r="K38" s="2"/>
      <c r="L38" s="2"/>
    </row>
    <row r="39" spans="1:12" ht="15">
      <c r="A39" s="2"/>
      <c r="B39" s="2"/>
      <c r="C39" s="2"/>
      <c r="D39" s="2"/>
      <c r="E39" s="2"/>
      <c r="F39" s="2"/>
      <c r="G39" s="2"/>
      <c r="H39" s="2"/>
      <c r="I39" s="2"/>
      <c r="J39" s="2"/>
      <c r="K39" s="2"/>
      <c r="L39" s="2"/>
    </row>
  </sheetData>
  <sheetProtection/>
  <mergeCells count="3">
    <mergeCell ref="G6:H6"/>
    <mergeCell ref="I6:J6"/>
    <mergeCell ref="K6:L6"/>
  </mergeCells>
  <printOptions/>
  <pageMargins left="0.25" right="0.25" top="1" bottom="0.5" header="0.5" footer="0.5"/>
  <pageSetup blackAndWhite="1" fitToHeight="1" fitToWidth="1" horizontalDpi="600" verticalDpi="600" orientation="landscape" scale="86" r:id="rId1"/>
  <headerFooter alignWithMargins="0">
    <oddHeader>&amp;RState of Kansas
City</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22" sqref="K22"/>
    </sheetView>
  </sheetViews>
  <sheetFormatPr defaultColWidth="8.8984375" defaultRowHeight="15"/>
  <cols>
    <col min="1" max="1" width="23.59765625" style="7" customWidth="1"/>
    <col min="2" max="4" width="9.69921875" style="7" customWidth="1"/>
    <col min="5" max="5" width="18.296875" style="7" customWidth="1"/>
    <col min="6" max="8" width="15.69921875" style="7" customWidth="1"/>
    <col min="9" max="16384" width="8.8984375" style="7" customWidth="1"/>
  </cols>
  <sheetData>
    <row r="1" spans="1:8" ht="15">
      <c r="A1" s="72" t="str">
        <f>inputPrYr!$D$2</f>
        <v>CITY OF BLUE RAPIDS</v>
      </c>
      <c r="B1" s="21"/>
      <c r="C1" s="21"/>
      <c r="D1" s="21"/>
      <c r="E1" s="21"/>
      <c r="F1" s="21"/>
      <c r="G1" s="21"/>
      <c r="H1" s="138">
        <f>inputPrYr!C5</f>
        <v>2012</v>
      </c>
    </row>
    <row r="2" spans="1:8" ht="15">
      <c r="A2" s="72"/>
      <c r="B2" s="21"/>
      <c r="C2" s="21"/>
      <c r="D2" s="21"/>
      <c r="E2" s="21"/>
      <c r="F2" s="21"/>
      <c r="G2" s="21"/>
      <c r="H2" s="24"/>
    </row>
    <row r="3" spans="1:8" ht="15">
      <c r="A3" s="21"/>
      <c r="B3" s="21"/>
      <c r="C3" s="21"/>
      <c r="D3" s="21"/>
      <c r="E3" s="21"/>
      <c r="F3" s="21"/>
      <c r="G3" s="21"/>
      <c r="H3" s="23"/>
    </row>
    <row r="4" spans="1:8" ht="15">
      <c r="A4" s="75" t="s">
        <v>173</v>
      </c>
      <c r="B4" s="27"/>
      <c r="C4" s="27"/>
      <c r="D4" s="27"/>
      <c r="E4" s="27"/>
      <c r="F4" s="27"/>
      <c r="G4" s="27"/>
      <c r="H4" s="27"/>
    </row>
    <row r="5" spans="1:8" ht="15">
      <c r="A5" s="20"/>
      <c r="B5" s="87"/>
      <c r="C5" s="87"/>
      <c r="D5" s="87"/>
      <c r="E5" s="87"/>
      <c r="F5" s="87"/>
      <c r="G5" s="87"/>
      <c r="H5" s="87"/>
    </row>
    <row r="6" spans="1:8" ht="15">
      <c r="A6" s="21"/>
      <c r="B6" s="39"/>
      <c r="C6" s="39"/>
      <c r="D6" s="39"/>
      <c r="E6" s="76" t="s">
        <v>71</v>
      </c>
      <c r="F6" s="39"/>
      <c r="G6" s="39"/>
      <c r="H6" s="39"/>
    </row>
    <row r="7" spans="1:8" ht="15">
      <c r="A7" s="21"/>
      <c r="B7" s="79"/>
      <c r="C7" s="79" t="s">
        <v>155</v>
      </c>
      <c r="D7" s="79" t="s">
        <v>156</v>
      </c>
      <c r="E7" s="79" t="s">
        <v>93</v>
      </c>
      <c r="F7" s="79" t="s">
        <v>158</v>
      </c>
      <c r="G7" s="79" t="s">
        <v>159</v>
      </c>
      <c r="H7" s="79" t="s">
        <v>159</v>
      </c>
    </row>
    <row r="8" spans="1:8" ht="15">
      <c r="A8" s="21"/>
      <c r="B8" s="79" t="s">
        <v>160</v>
      </c>
      <c r="C8" s="79" t="s">
        <v>161</v>
      </c>
      <c r="D8" s="79" t="s">
        <v>144</v>
      </c>
      <c r="E8" s="79" t="s">
        <v>162</v>
      </c>
      <c r="F8" s="79" t="s">
        <v>215</v>
      </c>
      <c r="G8" s="79" t="s">
        <v>163</v>
      </c>
      <c r="H8" s="79" t="s">
        <v>163</v>
      </c>
    </row>
    <row r="9" spans="1:8" ht="15">
      <c r="A9" s="88" t="s">
        <v>164</v>
      </c>
      <c r="B9" s="80" t="s">
        <v>141</v>
      </c>
      <c r="C9" s="127" t="s">
        <v>165</v>
      </c>
      <c r="D9" s="80" t="s">
        <v>117</v>
      </c>
      <c r="E9" s="127" t="s">
        <v>240</v>
      </c>
      <c r="F9" s="81" t="str">
        <f>CONCATENATE("Jan 1,",H1-1,"")</f>
        <v>Jan 1,2011</v>
      </c>
      <c r="G9" s="80">
        <f>H1-1</f>
        <v>2011</v>
      </c>
      <c r="H9" s="80">
        <f>H1</f>
        <v>2012</v>
      </c>
    </row>
    <row r="10" spans="1:8" ht="15">
      <c r="A10" s="8" t="s">
        <v>64</v>
      </c>
      <c r="B10" s="315">
        <v>39881</v>
      </c>
      <c r="C10" s="230">
        <v>48</v>
      </c>
      <c r="D10" s="217">
        <v>4</v>
      </c>
      <c r="E10" s="218">
        <v>18944</v>
      </c>
      <c r="F10" s="218">
        <v>14427</v>
      </c>
      <c r="G10" s="218">
        <v>5219</v>
      </c>
      <c r="H10" s="218">
        <v>5219</v>
      </c>
    </row>
    <row r="11" spans="1:10" ht="15">
      <c r="A11" s="8"/>
      <c r="B11" s="315"/>
      <c r="C11" s="230"/>
      <c r="D11" s="217"/>
      <c r="E11" s="218"/>
      <c r="F11" s="218"/>
      <c r="G11" s="218"/>
      <c r="H11" s="218"/>
      <c r="J11" s="399"/>
    </row>
    <row r="12" spans="1:10" ht="15">
      <c r="A12" s="8"/>
      <c r="B12" s="315"/>
      <c r="C12" s="230"/>
      <c r="D12" s="217"/>
      <c r="E12" s="218"/>
      <c r="F12" s="218"/>
      <c r="G12" s="218"/>
      <c r="H12" s="218"/>
      <c r="J12" s="399"/>
    </row>
    <row r="13" spans="1:8" ht="15">
      <c r="A13" s="8"/>
      <c r="B13" s="315"/>
      <c r="C13" s="230"/>
      <c r="D13" s="217"/>
      <c r="E13" s="218"/>
      <c r="F13" s="218"/>
      <c r="G13" s="218"/>
      <c r="H13" s="218"/>
    </row>
    <row r="14" spans="1:8" ht="15">
      <c r="A14" s="8"/>
      <c r="B14" s="315"/>
      <c r="C14" s="230"/>
      <c r="D14" s="217"/>
      <c r="E14" s="218"/>
      <c r="F14" s="218"/>
      <c r="G14" s="218"/>
      <c r="H14" s="218"/>
    </row>
    <row r="15" spans="1:8" ht="15">
      <c r="A15" s="8"/>
      <c r="B15" s="315"/>
      <c r="C15" s="230"/>
      <c r="D15" s="217"/>
      <c r="E15" s="218"/>
      <c r="F15" s="218"/>
      <c r="G15" s="218"/>
      <c r="H15" s="218"/>
    </row>
    <row r="16" spans="1:8" ht="15">
      <c r="A16" s="8"/>
      <c r="B16" s="315"/>
      <c r="C16" s="230"/>
      <c r="D16" s="217"/>
      <c r="E16" s="218"/>
      <c r="F16" s="218"/>
      <c r="G16" s="218"/>
      <c r="H16" s="218"/>
    </row>
    <row r="17" spans="1:8" ht="15">
      <c r="A17" s="8"/>
      <c r="B17" s="315"/>
      <c r="C17" s="230"/>
      <c r="D17" s="217"/>
      <c r="E17" s="218"/>
      <c r="F17" s="218"/>
      <c r="G17" s="218"/>
      <c r="H17" s="218"/>
    </row>
    <row r="18" spans="1:8" ht="15">
      <c r="A18" s="8"/>
      <c r="B18" s="315"/>
      <c r="C18" s="230"/>
      <c r="D18" s="217"/>
      <c r="E18" s="218"/>
      <c r="F18" s="218"/>
      <c r="G18" s="218"/>
      <c r="H18" s="218"/>
    </row>
    <row r="19" spans="1:8" ht="15">
      <c r="A19" s="8"/>
      <c r="B19" s="315"/>
      <c r="C19" s="230"/>
      <c r="D19" s="217"/>
      <c r="E19" s="218"/>
      <c r="F19" s="218"/>
      <c r="G19" s="218"/>
      <c r="H19" s="218"/>
    </row>
    <row r="20" spans="1:8" ht="15">
      <c r="A20" s="8"/>
      <c r="B20" s="315"/>
      <c r="C20" s="230"/>
      <c r="D20" s="217"/>
      <c r="E20" s="218"/>
      <c r="F20" s="218"/>
      <c r="G20" s="218"/>
      <c r="H20" s="218"/>
    </row>
    <row r="21" spans="1:8" ht="15">
      <c r="A21" s="8"/>
      <c r="B21" s="315"/>
      <c r="C21" s="230"/>
      <c r="D21" s="217"/>
      <c r="E21" s="218"/>
      <c r="F21" s="218"/>
      <c r="G21" s="218"/>
      <c r="H21" s="218"/>
    </row>
    <row r="22" spans="1:8" ht="15">
      <c r="A22" s="8"/>
      <c r="B22" s="315"/>
      <c r="C22" s="230"/>
      <c r="D22" s="217"/>
      <c r="E22" s="218"/>
      <c r="F22" s="218"/>
      <c r="G22" s="218"/>
      <c r="H22" s="218"/>
    </row>
    <row r="23" spans="1:8" ht="15">
      <c r="A23" s="8"/>
      <c r="B23" s="315"/>
      <c r="C23" s="230"/>
      <c r="D23" s="217"/>
      <c r="E23" s="218"/>
      <c r="F23" s="218"/>
      <c r="G23" s="218"/>
      <c r="H23" s="218"/>
    </row>
    <row r="24" spans="1:8" ht="15">
      <c r="A24" s="8"/>
      <c r="B24" s="315"/>
      <c r="C24" s="230"/>
      <c r="D24" s="217"/>
      <c r="E24" s="218"/>
      <c r="F24" s="218"/>
      <c r="G24" s="218"/>
      <c r="H24" s="218"/>
    </row>
    <row r="25" spans="1:8" ht="15">
      <c r="A25" s="8"/>
      <c r="B25" s="315"/>
      <c r="C25" s="230"/>
      <c r="D25" s="217"/>
      <c r="E25" s="218"/>
      <c r="F25" s="218"/>
      <c r="G25" s="218"/>
      <c r="H25" s="218"/>
    </row>
    <row r="26" spans="1:8" ht="15">
      <c r="A26" s="8"/>
      <c r="B26" s="315"/>
      <c r="C26" s="230"/>
      <c r="D26" s="217"/>
      <c r="E26" s="218"/>
      <c r="F26" s="218"/>
      <c r="G26" s="218"/>
      <c r="H26" s="218"/>
    </row>
    <row r="27" spans="1:8" ht="15">
      <c r="A27" s="8"/>
      <c r="B27" s="315"/>
      <c r="C27" s="230"/>
      <c r="D27" s="217"/>
      <c r="E27" s="218"/>
      <c r="F27" s="218"/>
      <c r="G27" s="218"/>
      <c r="H27" s="218"/>
    </row>
    <row r="28" spans="1:8" ht="15.75" thickBot="1">
      <c r="A28" s="89" t="s">
        <v>87</v>
      </c>
      <c r="B28" s="132"/>
      <c r="C28" s="132"/>
      <c r="D28" s="132"/>
      <c r="E28" s="132"/>
      <c r="F28" s="280">
        <f>SUM(F10:F27)</f>
        <v>14427</v>
      </c>
      <c r="G28" s="280">
        <f>SUM(G10:G27)</f>
        <v>5219</v>
      </c>
      <c r="H28" s="280">
        <f>SUM(H10:H27)</f>
        <v>5219</v>
      </c>
    </row>
    <row r="29" spans="1:8" ht="15.75" thickTop="1">
      <c r="A29" s="21"/>
      <c r="B29" s="21"/>
      <c r="C29" s="21"/>
      <c r="D29" s="21"/>
      <c r="E29" s="21"/>
      <c r="F29" s="21"/>
      <c r="G29" s="72"/>
      <c r="H29" s="72"/>
    </row>
    <row r="30" spans="1:8" ht="15">
      <c r="A30" s="375" t="s">
        <v>429</v>
      </c>
      <c r="B30" s="376"/>
      <c r="C30" s="376"/>
      <c r="D30" s="376"/>
      <c r="E30" s="376"/>
      <c r="F30" s="376"/>
      <c r="G30" s="72"/>
      <c r="H30" s="72"/>
    </row>
  </sheetData>
  <sheetProtection sheet="1" objects="1" scenarios="1"/>
  <printOptions/>
  <pageMargins left="0.25" right="0.25" top="1" bottom="0.5" header="0.5" footer="0.5"/>
  <pageSetup blackAndWhite="1" fitToHeight="1" fitToWidth="1" horizontalDpi="600" verticalDpi="600" orientation="landscape" scale="85" r:id="rId1"/>
  <headerFooter alignWithMargins="0">
    <oddHeader>&amp;RState of Kansas
City</oddHeader>
    <oddFooter>&amp;Lrevised 8/06/07&amp;CPage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2011-07-21T13:04:04Z</cp:lastPrinted>
  <dcterms:created xsi:type="dcterms:W3CDTF">1999-08-03T13:11:47Z</dcterms:created>
  <dcterms:modified xsi:type="dcterms:W3CDTF">2014-01-21T20:02:04Z</dcterms:modified>
  <cp:category/>
  <cp:version/>
  <cp:contentType/>
  <cp:contentStatus/>
</cp:coreProperties>
</file>