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activeTab="0"/>
  </bookViews>
  <sheets>
    <sheet name="inputPrYr" sheetId="1" r:id="rId1"/>
    <sheet name="inputOth" sheetId="2" r:id="rId2"/>
    <sheet name="inputBudSum" sheetId="3" r:id="rId3"/>
    <sheet name="cert" sheetId="4" r:id="rId4"/>
    <sheet name="computation" sheetId="5" r:id="rId5"/>
    <sheet name="Mvalloc" sheetId="6" r:id="rId6"/>
    <sheet name="general" sheetId="7" r:id="rId7"/>
    <sheet name="Noxious Weed Library" sheetId="8" r:id="rId8"/>
    <sheet name="SpecHwy" sheetId="9" r:id="rId9"/>
    <sheet name="summ" sheetId="10" r:id="rId10"/>
    <sheet name="Nhood" sheetId="11" r:id="rId11"/>
    <sheet name="ordinance" sheetId="12" r:id="rId12"/>
    <sheet name="Publication" sheetId="13" r:id="rId13"/>
    <sheet name="Signature Pg" sheetId="14" r:id="rId14"/>
  </sheets>
  <definedNames>
    <definedName name="_xlnm.Print_Area" localSheetId="6">'general'!$B$1:$E$47</definedName>
    <definedName name="_xlnm.Print_Area" localSheetId="0">'inputPrYr'!$A$1:$E$54</definedName>
    <definedName name="_xlnm.Print_Area" localSheetId="7">'Noxious Weed Library'!$A$1:$D$67</definedName>
    <definedName name="_xlnm.Print_Area" localSheetId="9">'summ'!$A$1:$H$50</definedName>
  </definedNames>
  <calcPr fullCalcOnLoad="1"/>
</workbook>
</file>

<file path=xl/sharedStrings.xml><?xml version="1.0" encoding="utf-8"?>
<sst xmlns="http://schemas.openxmlformats.org/spreadsheetml/2006/main" count="377" uniqueCount="250">
  <si>
    <t xml:space="preserve">adopt an ordinance to exceed this limit, publish the ordinance, and </t>
  </si>
  <si>
    <t>attach a copy of the published ordinance to this budget.</t>
  </si>
  <si>
    <t xml:space="preserve"> Expenditures</t>
  </si>
  <si>
    <t>Estimate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</si>
  <si>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</si>
  <si>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</si>
  <si>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</si>
  <si>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</si>
  <si>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Note:  All amounts are to be entered in as whole numbers only.</t>
  </si>
  <si>
    <t xml:space="preserve">The input for the following comes directly from </t>
  </si>
  <si>
    <t>Date Attested:________________,</t>
  </si>
  <si>
    <t>Budget Summary</t>
  </si>
  <si>
    <t>Non-budgeted funds:</t>
  </si>
  <si>
    <t>Is an Ordinance required  to be passed, published, and attached to the budget?</t>
  </si>
  <si>
    <t>Outstanding Indebtedness, January 1:</t>
  </si>
  <si>
    <t>From the League of Municipalities' Budget Tips (Special City and County Highway Fund)</t>
  </si>
  <si>
    <t xml:space="preserve">Neighborhood Revitalization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</si>
  <si>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</si>
  <si>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</si>
  <si>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</si>
  <si>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</si>
  <si>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</si>
  <si>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</si>
  <si>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</si>
  <si>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</si>
  <si>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</si>
  <si>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Enter City Name (City of)</t>
  </si>
  <si>
    <t>Enter County Name followed by "County"</t>
  </si>
  <si>
    <t>Single No Tax Levy Fund:</t>
  </si>
  <si>
    <t xml:space="preserve">Ad Valorem Tax </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</si>
  <si>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</si>
  <si>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</si>
  <si>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</si>
  <si>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</si>
  <si>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</si>
  <si>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</si>
  <si>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</si>
  <si>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</si>
  <si>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</si>
  <si>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</si>
  <si>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</si>
  <si>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</si>
  <si>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</si>
  <si>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</si>
  <si>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</si>
  <si>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</si>
  <si>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</si>
  <si>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</si>
  <si>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</si>
  <si>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</si>
  <si>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</si>
  <si>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</si>
  <si>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</si>
  <si>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</si>
  <si>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</si>
  <si>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</si>
  <si>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</si>
  <si>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</si>
  <si>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Fund</t>
  </si>
  <si>
    <t>K.S.A.</t>
  </si>
  <si>
    <t>x</t>
  </si>
  <si>
    <t>Assisted by:</t>
  </si>
  <si>
    <t>Governing Body</t>
  </si>
  <si>
    <t>County Clerk</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</si>
  <si>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</si>
  <si>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</si>
  <si>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</si>
  <si>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</si>
  <si>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</si>
  <si>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</si>
  <si>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</si>
  <si>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</si>
  <si>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</si>
  <si>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</si>
  <si>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</si>
  <si>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Total Receipts</t>
  </si>
  <si>
    <t>Resources Available:</t>
  </si>
  <si>
    <t>Expenditures:</t>
  </si>
  <si>
    <t>Total Expenditures</t>
  </si>
  <si>
    <t>Tax Required</t>
  </si>
  <si>
    <t>Page No.</t>
  </si>
  <si>
    <t>Actual</t>
  </si>
  <si>
    <t>State of Kansas Gas Tax</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</si>
  <si>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</si>
  <si>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</si>
  <si>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</si>
  <si>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</si>
  <si>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</si>
  <si>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</si>
  <si>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</si>
  <si>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</si>
  <si>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</si>
  <si>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</si>
  <si>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</si>
  <si>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</si>
  <si>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</si>
  <si>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</si>
  <si>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</si>
  <si>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Rate</t>
  </si>
  <si>
    <t>Other</t>
  </si>
  <si>
    <t>16/20M Vehicle Tax</t>
  </si>
  <si>
    <t>CERTIFICATE</t>
  </si>
  <si>
    <t>NOTICE OF BUDGET HEARING</t>
  </si>
  <si>
    <t>BUDGET SUMMARY</t>
  </si>
  <si>
    <t>FUND PAGE FOR FUNDS WITH A TAX LEVY</t>
  </si>
  <si>
    <t>FUND PAGE FOR FUNDS WITH NO TAX LEVY</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</si>
  <si>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</si>
  <si>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</si>
  <si>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</si>
  <si>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</si>
  <si>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</si>
  <si>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</si>
  <si>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</si>
  <si>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</si>
  <si>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</si>
  <si>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</si>
  <si>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</si>
  <si>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</si>
  <si>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</si>
  <si>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</si>
  <si>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</si>
  <si>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</si>
  <si>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</si>
  <si>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</si>
  <si>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</si>
  <si>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</si>
  <si>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</si>
  <si>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</si>
  <si>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</si>
  <si>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</si>
  <si>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</si>
  <si>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</si>
  <si>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</si>
  <si>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</si>
  <si>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</si>
  <si>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</si>
  <si>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Licenses</t>
  </si>
  <si>
    <t>Miscellaneous</t>
  </si>
  <si>
    <t xml:space="preserve">  3.</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</si>
  <si>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</si>
  <si>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</si>
  <si>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</si>
  <si>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</si>
  <si>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</si>
  <si>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</si>
  <si>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</si>
  <si>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</si>
  <si>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</si>
  <si>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</si>
  <si>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</si>
  <si>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</si>
  <si>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</si>
  <si>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</si>
  <si>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</si>
  <si>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</si>
  <si>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</si>
  <si>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</si>
  <si>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</si>
  <si>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</si>
  <si>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</si>
  <si>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</si>
  <si>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</si>
  <si>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</si>
  <si>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</si>
  <si>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</si>
  <si>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</si>
  <si>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</si>
  <si>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</si>
  <si>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</si>
  <si>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</si>
  <si>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</si>
  <si>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</si>
  <si>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</si>
  <si>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</si>
  <si>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</si>
  <si>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</si>
  <si>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Address:</t>
  </si>
  <si>
    <t>Enter year being budgeted (YYYY)</t>
  </si>
  <si>
    <t>Current Year Estimate</t>
  </si>
  <si>
    <t>Proposed Budget Year</t>
  </si>
  <si>
    <t xml:space="preserve">Computation to Determine Limit for </t>
  </si>
  <si>
    <t>Budgeted Funds for</t>
  </si>
  <si>
    <t>Budget Tax Levy Amt for</t>
  </si>
  <si>
    <t xml:space="preserve">  G.O. Bonds</t>
  </si>
  <si>
    <t xml:space="preserve">  Revenue Bonds</t>
  </si>
  <si>
    <t xml:space="preserve">  Other</t>
  </si>
  <si>
    <t xml:space="preserve">  Lease Purchase Principal</t>
  </si>
  <si>
    <t>County Transfers Gas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</si>
  <si>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</si>
  <si>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</si>
  <si>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</si>
  <si>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</si>
  <si>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</si>
  <si>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</si>
  <si>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</si>
  <si>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</si>
  <si>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</si>
  <si>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</si>
  <si>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</si>
  <si>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</si>
  <si>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</si>
  <si>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</si>
  <si>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</si>
  <si>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</si>
  <si>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</si>
  <si>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answering objections of taxpayers relating to the proposed use of all funds and the amount of ad valorem tax.</t>
  </si>
  <si>
    <t>the Neighborhood Revitalization Rebate table.</t>
  </si>
  <si>
    <t>We, the undersigned, officers of</t>
  </si>
  <si>
    <t>Capital Outlay</t>
  </si>
  <si>
    <t>Official Title:</t>
  </si>
  <si>
    <t>City Clerk, City Treasurer, Mayor</t>
  </si>
  <si>
    <t>Does miscellaneous exceed 10% of Total Exp</t>
  </si>
  <si>
    <t>Does miscellaneous exceed 10% of Total Rec</t>
  </si>
  <si>
    <t>Non-Appropriated Balance</t>
  </si>
  <si>
    <t>Total Expenditure/Non-Appr Balance</t>
  </si>
  <si>
    <t>Delinquent Comp Rate:</t>
  </si>
  <si>
    <t>Does miscellanous exceed 10% of Total Exp</t>
  </si>
  <si>
    <t>for Expenditures</t>
  </si>
  <si>
    <t>Estimated Mill Rate Impact:</t>
  </si>
  <si>
    <t>Desired Carryover Amount:</t>
  </si>
  <si>
    <t>City Official Title:</t>
  </si>
  <si>
    <t>Change in Ad Valorem Tax Revenue:</t>
  </si>
  <si>
    <t>What Mill Rate Would Be Desired?</t>
  </si>
  <si>
    <t xml:space="preserve">Totals </t>
  </si>
  <si>
    <t>Smith County</t>
  </si>
  <si>
    <t>Noxious Weed</t>
  </si>
  <si>
    <t>Library</t>
  </si>
  <si>
    <t>2-1318</t>
  </si>
  <si>
    <t>12-1220</t>
  </si>
  <si>
    <t>_______________</t>
  </si>
  <si>
    <t>________</t>
  </si>
  <si>
    <t>ADAMS, BROWN, BERAN</t>
  </si>
  <si>
    <t>&amp; BALL, CHTD.</t>
  </si>
  <si>
    <t>PO BOX 1186</t>
  </si>
  <si>
    <t>HAYS, KS 67601</t>
  </si>
  <si>
    <t>Fire Protection</t>
  </si>
  <si>
    <t>Dividends</t>
  </si>
  <si>
    <t>Donations</t>
  </si>
  <si>
    <t>Transfer In From Noxious Weed</t>
  </si>
  <si>
    <t>Personal Services</t>
  </si>
  <si>
    <t>Contractual</t>
  </si>
  <si>
    <t>Commodities</t>
  </si>
  <si>
    <t>Special Fund</t>
  </si>
  <si>
    <t>Machinery Reserve</t>
  </si>
  <si>
    <t>FUND PAGE - GENERAL</t>
  </si>
  <si>
    <t>Transfer Out To General Fund</t>
  </si>
  <si>
    <t>Hall Rent</t>
  </si>
  <si>
    <t>Transfer In From Library</t>
  </si>
  <si>
    <t>xxxxxxxxxxxxxxxx</t>
  </si>
  <si>
    <t>City of Athol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</si>
</sst>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53">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sz val="12"/>
      <color indexed="10"/>
      <name val="Courier"/>
      <family val="3"/>
    </font>
    <font>
      <b/>
      <sz val="12"/>
      <color indexed="10"/>
      <name val="Times New Roman"/>
      <family val="1"/>
    </font>
    <font>
      <sz val="12"/>
      <name val="Courier New"/>
      <family val="3"/>
    </font>
    <font>
      <u val="single"/>
      <sz val="12"/>
      <color indexed="12"/>
      <name val="Courier New"/>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8"/>
      <color indexed="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color indexed="63"/>
      </bottom>
    </border>
  </borders>
  <cellStyleXfs count="3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4"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5" fillId="17" borderId="0" applyNumberFormat="0" applyBorder="0" applyAlignment="0" applyProtection="0"/>
    <xf numFmtId="0" fontId="35" fillId="18" borderId="1" applyNumberFormat="0" applyAlignment="0" applyProtection="0"/>
    <xf numFmtId="0" fontId="4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9" borderId="1" applyNumberFormat="0" applyAlignment="0" applyProtection="0"/>
    <xf numFmtId="0" fontId="26" fillId="0" borderId="6" applyNumberFormat="0" applyFill="0" applyAlignment="0" applyProtection="0"/>
    <xf numFmtId="0" fontId="40" fillId="20"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21" borderId="7" applyNumberFormat="0" applyFont="0" applyAlignment="0" applyProtection="0"/>
    <xf numFmtId="0" fontId="50" fillId="18"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8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6"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6"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7"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6"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6" xfId="0" applyNumberFormat="1" applyFont="1" applyFill="1" applyBorder="1" applyAlignment="1">
      <alignment horizontal="center"/>
    </xf>
    <xf numFmtId="0" fontId="0" fillId="4" borderId="0" xfId="0" applyFill="1" applyAlignment="1">
      <alignment horizontal="center"/>
    </xf>
    <xf numFmtId="0" fontId="6" fillId="4" borderId="16"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8" xfId="0" applyNumberFormat="1" applyFont="1" applyFill="1" applyBorder="1" applyAlignment="1" applyProtection="1">
      <alignment horizontal="left"/>
      <protection/>
    </xf>
    <xf numFmtId="0" fontId="6" fillId="0" borderId="0" xfId="0" applyFont="1" applyAlignment="1">
      <alignment vertical="center"/>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6"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6" fillId="24"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3"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3"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4" borderId="20"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3" borderId="0" xfId="0" applyNumberFormat="1" applyFont="1" applyFill="1" applyAlignment="1" applyProtection="1">
      <alignment horizontal="center" vertical="center"/>
      <protection/>
    </xf>
    <xf numFmtId="0" fontId="6" fillId="23" borderId="16"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3" borderId="16" xfId="0" applyNumberFormat="1" applyFont="1" applyFill="1" applyBorder="1" applyAlignment="1" applyProtection="1">
      <alignment horizontal="left" vertical="center"/>
      <protection/>
    </xf>
    <xf numFmtId="0" fontId="6" fillId="23" borderId="16"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3"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protection locked="0"/>
    </xf>
    <xf numFmtId="0" fontId="6" fillId="23" borderId="16"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3"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6"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169" fontId="6" fillId="22" borderId="21"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6"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6" fillId="23" borderId="0" xfId="0" applyNumberFormat="1" applyFont="1" applyFill="1" applyAlignment="1" applyProtection="1">
      <alignment vertical="center"/>
      <protection/>
    </xf>
    <xf numFmtId="3" fontId="6" fillId="4"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3" borderId="0" xfId="0" applyFont="1" applyFill="1" applyAlignment="1">
      <alignment vertical="center"/>
    </xf>
    <xf numFmtId="0" fontId="1" fillId="23" borderId="0" xfId="0" applyFont="1" applyFill="1" applyAlignment="1">
      <alignment vertical="center"/>
    </xf>
    <xf numFmtId="0" fontId="0" fillId="23" borderId="0" xfId="0" applyFill="1" applyAlignment="1" applyProtection="1">
      <alignment vertical="center"/>
      <protection locked="0"/>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20"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5" borderId="14" xfId="0" applyFont="1" applyFill="1" applyBorder="1" applyAlignment="1">
      <alignment horizontal="center" vertical="center"/>
    </xf>
    <xf numFmtId="0" fontId="6" fillId="25" borderId="15"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6" xfId="0" applyFont="1" applyFill="1" applyBorder="1" applyAlignment="1" applyProtection="1">
      <alignment vertical="center"/>
      <protection/>
    </xf>
    <xf numFmtId="0" fontId="6" fillId="4" borderId="18"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6"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9"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6"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4"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0" fontId="8" fillId="0" borderId="0" xfId="0" applyFont="1" applyAlignment="1">
      <alignment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1" fontId="6"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3" fontId="6" fillId="22" borderId="20"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0"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166" fontId="6" fillId="4" borderId="16" xfId="0" applyNumberFormat="1" applyFont="1" applyFill="1" applyBorder="1" applyAlignment="1" applyProtection="1">
      <alignment vertical="center"/>
      <protection/>
    </xf>
    <xf numFmtId="37" fontId="6" fillId="4" borderId="16"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vertical="center"/>
      <protection locked="0"/>
    </xf>
    <xf numFmtId="3" fontId="6" fillId="27" borderId="10" xfId="0" applyNumberFormat="1" applyFont="1" applyFill="1" applyBorder="1" applyAlignment="1" applyProtection="1">
      <alignment vertical="center"/>
      <protection/>
    </xf>
    <xf numFmtId="0" fontId="6" fillId="22" borderId="11" xfId="0" applyFont="1" applyFill="1" applyBorder="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21" fillId="0" borderId="0" xfId="381">
      <alignment/>
      <protection/>
    </xf>
    <xf numFmtId="0" fontId="6" fillId="0" borderId="0" xfId="381" applyFont="1" applyAlignment="1">
      <alignment horizontal="left" vertical="center"/>
      <protection/>
    </xf>
    <xf numFmtId="0" fontId="21"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1" fillId="22" borderId="0" xfId="381" applyFill="1" applyAlignment="1" applyProtection="1">
      <alignment horizontal="left" vertical="center"/>
      <protection locked="0"/>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22" borderId="11" xfId="152" applyFont="1" applyFill="1" applyBorder="1" applyProtection="1">
      <alignment/>
      <protection locked="0"/>
    </xf>
    <xf numFmtId="37" fontId="6" fillId="22" borderId="16"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18" fillId="26" borderId="11" xfId="0" applyNumberFormat="1" applyFont="1" applyFill="1" applyBorder="1" applyAlignment="1" applyProtection="1">
      <alignment horizontal="center" vertical="center"/>
      <protection/>
    </xf>
    <xf numFmtId="0" fontId="6" fillId="4" borderId="25"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20" fillId="4" borderId="0" xfId="0" applyFont="1" applyFill="1" applyAlignment="1" applyProtection="1">
      <alignment horizontal="center" vertical="center"/>
      <protection/>
    </xf>
    <xf numFmtId="0" fontId="4" fillId="25" borderId="15" xfId="0" applyFont="1" applyFill="1" applyBorder="1" applyAlignment="1" applyProtection="1">
      <alignment horizontal="center" vertical="center" shrinkToFit="1"/>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0"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20" fillId="0" borderId="0" xfId="103" applyFont="1" applyAlignment="1" applyProtection="1">
      <alignment vertical="center"/>
      <protection locked="0"/>
    </xf>
    <xf numFmtId="0" fontId="20" fillId="0" borderId="0" xfId="0" applyFont="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3" fontId="2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0" fontId="20"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19" xfId="0" applyNumberFormat="1" applyFont="1" applyFill="1" applyBorder="1" applyAlignment="1" applyProtection="1">
      <alignment horizontal="center" vertical="center"/>
      <protection/>
    </xf>
    <xf numFmtId="0" fontId="4" fillId="4" borderId="18"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5" xfId="0" applyNumberFormat="1" applyFont="1" applyFill="1" applyBorder="1" applyAlignment="1" applyProtection="1">
      <alignment horizontal="center" vertical="center"/>
      <protection/>
    </xf>
    <xf numFmtId="197" fontId="4" fillId="4" borderId="19" xfId="0" applyNumberFormat="1" applyFont="1" applyFill="1" applyBorder="1" applyAlignment="1" applyProtection="1">
      <alignment vertical="center"/>
      <protection/>
    </xf>
    <xf numFmtId="0" fontId="31" fillId="27" borderId="16" xfId="0" applyFont="1" applyFill="1" applyBorder="1" applyAlignment="1" applyProtection="1">
      <alignment vertical="center"/>
      <protection/>
    </xf>
    <xf numFmtId="0" fontId="4" fillId="27" borderId="20" xfId="0" applyFont="1" applyFill="1" applyBorder="1" applyAlignment="1" applyProtection="1">
      <alignment vertical="center"/>
      <protection/>
    </xf>
    <xf numFmtId="0" fontId="6" fillId="27" borderId="20" xfId="0"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197" fontId="31" fillId="27" borderId="25"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29"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6" fillId="0" borderId="0" xfId="0" applyFont="1" applyBorder="1" applyAlignment="1" applyProtection="1">
      <alignment/>
      <protection locked="0"/>
    </xf>
    <xf numFmtId="179" fontId="6" fillId="22" borderId="18" xfId="0" applyNumberFormat="1" applyFont="1" applyFill="1" applyBorder="1" applyAlignment="1" applyProtection="1">
      <alignment horizontal="center"/>
      <protection locked="0"/>
    </xf>
    <xf numFmtId="0" fontId="6" fillId="4" borderId="0" xfId="0" applyFont="1" applyFill="1" applyBorder="1" applyAlignment="1" applyProtection="1">
      <alignment/>
      <protection/>
    </xf>
    <xf numFmtId="197" fontId="6" fillId="4" borderId="18" xfId="0" applyNumberFormat="1" applyFont="1" applyFill="1" applyBorder="1" applyAlignment="1" applyProtection="1">
      <alignment horizontal="center"/>
      <protection/>
    </xf>
    <xf numFmtId="197" fontId="6" fillId="27" borderId="20"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9" xfId="0" applyFont="1" applyFill="1" applyBorder="1" applyAlignment="1" applyProtection="1">
      <alignment/>
      <protection/>
    </xf>
    <xf numFmtId="0" fontId="6" fillId="4" borderId="18" xfId="0" applyFont="1" applyFill="1" applyBorder="1" applyAlignment="1" applyProtection="1">
      <alignment/>
      <protection/>
    </xf>
    <xf numFmtId="169" fontId="6" fillId="4" borderId="18" xfId="0" applyNumberFormat="1" applyFont="1" applyFill="1" applyBorder="1" applyAlignment="1" applyProtection="1">
      <alignment horizontal="center"/>
      <protection/>
    </xf>
    <xf numFmtId="0" fontId="6" fillId="27" borderId="25" xfId="0" applyFont="1" applyFill="1" applyBorder="1" applyAlignment="1" applyProtection="1">
      <alignment/>
      <protection/>
    </xf>
    <xf numFmtId="0" fontId="6" fillId="27" borderId="16" xfId="0" applyFont="1" applyFill="1" applyBorder="1" applyAlignment="1" applyProtection="1">
      <alignment/>
      <protection/>
    </xf>
    <xf numFmtId="0" fontId="6" fillId="0" borderId="0" xfId="0" applyFont="1" applyAlignment="1" applyProtection="1">
      <alignment/>
      <protection/>
    </xf>
    <xf numFmtId="197" fontId="6" fillId="4" borderId="20" xfId="0" applyNumberFormat="1" applyFont="1" applyFill="1" applyBorder="1" applyAlignment="1" applyProtection="1">
      <alignment horizontal="center"/>
      <protection/>
    </xf>
    <xf numFmtId="0" fontId="4" fillId="4" borderId="19"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31" fillId="27" borderId="25" xfId="0" applyFont="1" applyFill="1" applyBorder="1" applyAlignment="1" applyProtection="1">
      <alignment vertical="center"/>
      <protection/>
    </xf>
    <xf numFmtId="0" fontId="6" fillId="27" borderId="16" xfId="0" applyFont="1" applyFill="1" applyBorder="1" applyAlignment="1" applyProtection="1">
      <alignment vertical="center"/>
      <protection/>
    </xf>
    <xf numFmtId="0" fontId="4" fillId="27" borderId="16" xfId="0" applyFont="1" applyFill="1" applyBorder="1" applyAlignment="1" applyProtection="1">
      <alignment vertical="center"/>
      <protection/>
    </xf>
    <xf numFmtId="0" fontId="31" fillId="4" borderId="20" xfId="0" applyFont="1" applyFill="1" applyBorder="1" applyAlignment="1" applyProtection="1">
      <alignment horizontal="center" vertical="center"/>
      <protection/>
    </xf>
    <xf numFmtId="197" fontId="31" fillId="27" borderId="20" xfId="0" applyNumberFormat="1"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7" fontId="6" fillId="4" borderId="14" xfId="0" applyNumberFormat="1" applyFont="1" applyFill="1" applyBorder="1" applyAlignment="1" applyProtection="1">
      <alignment horizontal="left"/>
      <protection/>
    </xf>
    <xf numFmtId="37" fontId="6" fillId="4" borderId="0" xfId="0" applyNumberFormat="1" applyFont="1" applyFill="1" applyBorder="1" applyAlignment="1" applyProtection="1">
      <alignment horizontal="left"/>
      <protection/>
    </xf>
    <xf numFmtId="169" fontId="6" fillId="22" borderId="10" xfId="0" applyNumberFormat="1" applyFont="1" applyFill="1" applyBorder="1" applyAlignment="1" applyProtection="1">
      <alignment vertical="center"/>
      <protection locked="0"/>
    </xf>
    <xf numFmtId="37" fontId="6" fillId="4" borderId="16"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9" fontId="6" fillId="4" borderId="0" xfId="0" applyNumberFormat="1" applyFont="1" applyFill="1" applyAlignment="1" applyProtection="1">
      <alignment vertical="center"/>
      <protection/>
    </xf>
    <xf numFmtId="0" fontId="5" fillId="22" borderId="16" xfId="0" applyFont="1" applyFill="1" applyBorder="1" applyAlignment="1" applyProtection="1">
      <alignment vertical="center"/>
      <protection locked="0"/>
    </xf>
    <xf numFmtId="0" fontId="5" fillId="22" borderId="12" xfId="0" applyFont="1" applyFill="1" applyBorder="1" applyAlignment="1" applyProtection="1">
      <alignment vertical="center"/>
      <protection locked="0"/>
    </xf>
    <xf numFmtId="37" fontId="5" fillId="4" borderId="25" xfId="0" applyNumberFormat="1" applyFont="1" applyFill="1" applyBorder="1" applyAlignment="1" applyProtection="1">
      <alignment horizontal="left" vertical="center"/>
      <protection/>
    </xf>
    <xf numFmtId="37" fontId="5" fillId="4" borderId="0" xfId="0" applyNumberFormat="1" applyFont="1" applyFill="1" applyAlignment="1" applyProtection="1">
      <alignment vertical="center"/>
      <protection/>
    </xf>
    <xf numFmtId="0" fontId="5" fillId="0" borderId="0" xfId="0" applyFont="1" applyAlignment="1" applyProtection="1">
      <alignment vertical="center"/>
      <protection locked="0"/>
    </xf>
    <xf numFmtId="3" fontId="5" fillId="4" borderId="13" xfId="0" applyNumberFormat="1" applyFont="1" applyFill="1" applyBorder="1" applyAlignment="1" applyProtection="1">
      <alignment horizontal="fill" vertical="center"/>
      <protection/>
    </xf>
    <xf numFmtId="197" fontId="31" fillId="4" borderId="19" xfId="0" applyNumberFormat="1" applyFont="1" applyFill="1" applyBorder="1" applyAlignment="1" applyProtection="1">
      <alignment horizontal="center" vertical="center"/>
      <protection/>
    </xf>
    <xf numFmtId="0" fontId="31" fillId="4" borderId="0" xfId="0" applyFont="1" applyFill="1" applyBorder="1" applyAlignment="1" applyProtection="1">
      <alignment horizontal="left" vertical="center"/>
      <protection/>
    </xf>
    <xf numFmtId="0" fontId="31" fillId="4" borderId="18" xfId="0" applyFont="1" applyFill="1" applyBorder="1" applyAlignment="1" applyProtection="1">
      <alignment vertical="center"/>
      <protection/>
    </xf>
    <xf numFmtId="0" fontId="5" fillId="4" borderId="18" xfId="0" applyFont="1" applyFill="1" applyBorder="1" applyAlignment="1" applyProtection="1">
      <alignment vertical="center"/>
      <protection/>
    </xf>
    <xf numFmtId="37"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0" fontId="6" fillId="22" borderId="0" xfId="0" applyFont="1" applyFill="1" applyAlignment="1" applyProtection="1">
      <alignment horizontal="center"/>
      <protection locked="0"/>
    </xf>
    <xf numFmtId="3" fontId="6" fillId="4" borderId="10" xfId="0" applyNumberFormat="1" applyFont="1" applyFill="1" applyBorder="1" applyAlignment="1" applyProtection="1">
      <alignment horizontal="right"/>
      <protection/>
    </xf>
    <xf numFmtId="169" fontId="6" fillId="4" borderId="10" xfId="0" applyNumberFormat="1" applyFont="1" applyFill="1" applyBorder="1" applyAlignment="1" applyProtection="1">
      <alignment horizontal="right"/>
      <protection/>
    </xf>
    <xf numFmtId="0" fontId="6" fillId="4" borderId="10" xfId="0" applyFont="1" applyFill="1" applyBorder="1" applyAlignment="1" applyProtection="1">
      <alignment horizontal="right"/>
      <protection/>
    </xf>
    <xf numFmtId="3" fontId="6" fillId="9" borderId="10" xfId="0" applyNumberFormat="1" applyFont="1" applyFill="1" applyBorder="1" applyAlignment="1" applyProtection="1">
      <alignment horizontal="right"/>
      <protection/>
    </xf>
    <xf numFmtId="169" fontId="6" fillId="9" borderId="10" xfId="0" applyNumberFormat="1" applyFont="1" applyFill="1" applyBorder="1" applyAlignment="1" applyProtection="1">
      <alignment horizontal="right"/>
      <protection/>
    </xf>
    <xf numFmtId="3" fontId="6" fillId="4" borderId="15" xfId="0" applyNumberFormat="1" applyFont="1" applyFill="1" applyBorder="1" applyAlignment="1" applyProtection="1">
      <alignment horizontal="right"/>
      <protection/>
    </xf>
    <xf numFmtId="183" fontId="6" fillId="4" borderId="0" xfId="0" applyNumberFormat="1" applyFont="1" applyFill="1" applyBorder="1" applyAlignment="1" applyProtection="1">
      <alignment horizontal="right"/>
      <protection/>
    </xf>
    <xf numFmtId="179" fontId="6" fillId="4" borderId="0"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right"/>
      <protection/>
    </xf>
    <xf numFmtId="169" fontId="6" fillId="4" borderId="0" xfId="0" applyNumberFormat="1" applyFont="1" applyFill="1" applyBorder="1" applyAlignment="1" applyProtection="1">
      <alignment horizontal="right"/>
      <protection/>
    </xf>
    <xf numFmtId="3" fontId="6" fillId="9" borderId="17" xfId="0" applyNumberFormat="1" applyFont="1" applyFill="1" applyBorder="1" applyAlignment="1" applyProtection="1">
      <alignment horizontal="right"/>
      <protection/>
    </xf>
    <xf numFmtId="1" fontId="6" fillId="4" borderId="0" xfId="0" applyNumberFormat="1" applyFont="1" applyFill="1" applyAlignment="1" applyProtection="1">
      <alignment horizontal="right"/>
      <protection/>
    </xf>
    <xf numFmtId="166" fontId="6" fillId="4" borderId="0" xfId="0" applyNumberFormat="1" applyFont="1" applyFill="1" applyAlignment="1" applyProtection="1">
      <alignment horizontal="right"/>
      <protection/>
    </xf>
    <xf numFmtId="0" fontId="6" fillId="4" borderId="22" xfId="0" applyFont="1" applyFill="1" applyBorder="1" applyAlignment="1" applyProtection="1">
      <alignment horizontal="right"/>
      <protection/>
    </xf>
    <xf numFmtId="1" fontId="6" fillId="4" borderId="22" xfId="0" applyNumberFormat="1" applyFont="1" applyFill="1" applyBorder="1" applyAlignment="1" applyProtection="1">
      <alignment horizontal="right"/>
      <protection/>
    </xf>
    <xf numFmtId="0" fontId="6" fillId="4" borderId="0" xfId="0" applyFont="1" applyFill="1" applyBorder="1" applyAlignment="1" applyProtection="1">
      <alignment horizontal="right"/>
      <protection/>
    </xf>
    <xf numFmtId="1" fontId="7" fillId="4" borderId="16" xfId="0" applyNumberFormat="1" applyFont="1" applyFill="1" applyBorder="1" applyAlignment="1" applyProtection="1">
      <alignment horizontal="right"/>
      <protection/>
    </xf>
    <xf numFmtId="3" fontId="6" fillId="4" borderId="10" xfId="0" applyNumberFormat="1" applyFont="1" applyFill="1" applyBorder="1" applyAlignment="1" applyProtection="1">
      <alignment horizontal="right"/>
      <protection locked="0"/>
    </xf>
    <xf numFmtId="37" fontId="5" fillId="4" borderId="0" xfId="0" applyNumberFormat="1" applyFont="1" applyFill="1" applyAlignment="1" applyProtection="1">
      <alignment/>
      <protection locked="0"/>
    </xf>
    <xf numFmtId="0" fontId="5" fillId="4" borderId="12" xfId="0" applyFont="1" applyFill="1" applyBorder="1" applyAlignment="1" applyProtection="1">
      <alignment vertical="center"/>
      <protection/>
    </xf>
    <xf numFmtId="37" fontId="5" fillId="4" borderId="11" xfId="0" applyNumberFormat="1" applyFont="1" applyFill="1" applyBorder="1" applyAlignment="1" applyProtection="1">
      <alignment horizontal="fill" vertical="center"/>
      <protection/>
    </xf>
    <xf numFmtId="0" fontId="31" fillId="0" borderId="0" xfId="0" applyFont="1" applyAlignment="1" applyProtection="1">
      <alignment vertical="center"/>
      <protection locked="0"/>
    </xf>
    <xf numFmtId="202" fontId="6" fillId="4" borderId="10" xfId="0" applyNumberFormat="1" applyFont="1" applyFill="1" applyBorder="1" applyAlignment="1" applyProtection="1">
      <alignment horizontal="right" vertical="center"/>
      <protection/>
    </xf>
    <xf numFmtId="179" fontId="6" fillId="4" borderId="10" xfId="103" applyNumberFormat="1" applyFont="1" applyFill="1" applyBorder="1" applyAlignment="1" applyProtection="1">
      <alignment horizontal="right" vertical="center"/>
      <protection/>
    </xf>
    <xf numFmtId="3" fontId="5" fillId="9" borderId="15" xfId="0" applyNumberFormat="1" applyFont="1" applyFill="1" applyBorder="1" applyAlignment="1" applyProtection="1">
      <alignment horizontal="right" vertical="center"/>
      <protection/>
    </xf>
    <xf numFmtId="179" fontId="5" fillId="9" borderId="15" xfId="0" applyNumberFormat="1" applyFont="1" applyFill="1" applyBorder="1" applyAlignment="1" applyProtection="1">
      <alignment horizontal="right" vertical="center"/>
      <protection/>
    </xf>
    <xf numFmtId="0" fontId="5" fillId="4" borderId="10" xfId="0" applyFont="1" applyFill="1" applyBorder="1" applyAlignment="1" applyProtection="1">
      <alignment vertical="center"/>
      <protection/>
    </xf>
    <xf numFmtId="3" fontId="5" fillId="4" borderId="17" xfId="0" applyNumberFormat="1" applyFont="1" applyFill="1" applyBorder="1" applyAlignment="1" applyProtection="1">
      <alignment horizontal="right" vertical="center"/>
      <protection/>
    </xf>
    <xf numFmtId="3" fontId="5" fillId="4" borderId="11" xfId="0" applyNumberFormat="1" applyFont="1" applyFill="1" applyBorder="1" applyAlignment="1" applyProtection="1">
      <alignment horizontal="right" vertical="center"/>
      <protection/>
    </xf>
    <xf numFmtId="37" fontId="6" fillId="4" borderId="11" xfId="0" applyNumberFormat="1" applyFont="1" applyFill="1" applyBorder="1" applyAlignment="1" applyProtection="1">
      <alignment horizontal="right" vertical="center"/>
      <protection/>
    </xf>
    <xf numFmtId="3" fontId="18" fillId="27" borderId="10" xfId="0" applyNumberFormat="1" applyFont="1" applyFill="1" applyBorder="1" applyAlignment="1" applyProtection="1">
      <alignment horizontal="right" vertical="center"/>
      <protection/>
    </xf>
    <xf numFmtId="3" fontId="18" fillId="27" borderId="13" xfId="0" applyNumberFormat="1" applyFont="1" applyFill="1" applyBorder="1" applyAlignment="1" applyProtection="1">
      <alignment horizontal="right" vertical="center"/>
      <protection/>
    </xf>
    <xf numFmtId="3" fontId="5" fillId="4" borderId="10"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right" vertical="center"/>
      <protection/>
    </xf>
    <xf numFmtId="3" fontId="18" fillId="26" borderId="10" xfId="0" applyNumberFormat="1" applyFont="1" applyFill="1" applyBorder="1" applyAlignment="1" applyProtection="1">
      <alignment horizontal="right" vertical="center"/>
      <protection/>
    </xf>
    <xf numFmtId="3" fontId="18" fillId="26" borderId="13" xfId="0" applyNumberFormat="1" applyFont="1" applyFill="1" applyBorder="1" applyAlignment="1" applyProtection="1">
      <alignment horizontal="right" vertical="center"/>
      <protection/>
    </xf>
    <xf numFmtId="3" fontId="6" fillId="22" borderId="14" xfId="0" applyNumberFormat="1" applyFont="1" applyFill="1" applyBorder="1" applyAlignment="1" applyProtection="1">
      <alignment horizontal="right" vertical="center"/>
      <protection locked="0"/>
    </xf>
    <xf numFmtId="3" fontId="5" fillId="22" borderId="26" xfId="0" applyNumberFormat="1" applyFont="1" applyFill="1" applyBorder="1" applyAlignment="1" applyProtection="1">
      <alignment horizontal="right" vertical="center"/>
      <protection locked="0"/>
    </xf>
    <xf numFmtId="3" fontId="5" fillId="4" borderId="10" xfId="42" applyNumberFormat="1" applyFont="1" applyFill="1" applyBorder="1" applyAlignment="1" applyProtection="1">
      <alignment horizontal="right" vertical="center"/>
      <protection/>
    </xf>
    <xf numFmtId="3" fontId="5" fillId="4" borderId="20" xfId="42" applyNumberFormat="1" applyFont="1" applyFill="1" applyBorder="1" applyAlignment="1" applyProtection="1">
      <alignment horizontal="right" vertical="center"/>
      <protection/>
    </xf>
    <xf numFmtId="3" fontId="5" fillId="4" borderId="11"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3" fontId="5" fillId="22" borderId="10" xfId="0" applyNumberFormat="1" applyFont="1"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6" fillId="0" borderId="0" xfId="381" applyFont="1" applyAlignment="1">
      <alignment horizontal="left" vertical="center" wrapText="1"/>
      <protection/>
    </xf>
    <xf numFmtId="0" fontId="21"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6" fillId="4" borderId="21" xfId="0" applyFont="1" applyFill="1" applyBorder="1" applyAlignment="1" applyProtection="1">
      <alignment horizontal="center" vertical="center"/>
      <protection locked="0"/>
    </xf>
    <xf numFmtId="0" fontId="0" fillId="0" borderId="21" xfId="0" applyBorder="1" applyAlignment="1">
      <alignment vertical="center"/>
    </xf>
    <xf numFmtId="0" fontId="4" fillId="25"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29" fillId="4" borderId="26" xfId="0" applyFont="1" applyFill="1" applyBorder="1" applyAlignment="1" applyProtection="1">
      <alignment horizontal="center" vertical="center"/>
      <protection/>
    </xf>
    <xf numFmtId="0" fontId="30" fillId="0" borderId="21" xfId="0" applyFont="1" applyBorder="1" applyAlignment="1" applyProtection="1">
      <alignment horizontal="center" vertical="center"/>
      <protection/>
    </xf>
    <xf numFmtId="0" fontId="0" fillId="0" borderId="23" xfId="0" applyBorder="1" applyAlignment="1" applyProtection="1">
      <alignment vertical="center"/>
      <protection/>
    </xf>
    <xf numFmtId="0" fontId="2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29" fillId="4" borderId="21"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1"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8" xfId="103" applyFont="1" applyBorder="1" applyAlignment="1">
      <alignment horizontal="right" vertic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5" fillId="4" borderId="16" xfId="0" applyFont="1" applyFill="1" applyBorder="1" applyAlignment="1" applyProtection="1">
      <alignment horizontal="center"/>
      <protection locked="0"/>
    </xf>
    <xf numFmtId="0" fontId="1" fillId="0" borderId="16"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cellXfs>
  <cellStyles count="3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te" xfId="391"/>
    <cellStyle name="Output" xfId="392"/>
    <cellStyle name="Percent" xfId="393"/>
    <cellStyle name="Title" xfId="394"/>
    <cellStyle name="Total" xfId="395"/>
    <cellStyle name="Warning Text" xfId="396"/>
  </cellStyles>
  <dxfs count="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7641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76200</xdr:colOff>
      <xdr:row>90</xdr:row>
      <xdr:rowOff>142875</xdr:rowOff>
    </xdr:to>
    <xdr:pic>
      <xdr:nvPicPr>
        <xdr:cNvPr id="1" name="Picture 1"/>
        <xdr:cNvPicPr preferRelativeResize="1">
          <a:picLocks noChangeAspect="1"/>
        </xdr:cNvPicPr>
      </xdr:nvPicPr>
      <xdr:blipFill>
        <a:blip r:embed="rId1"/>
        <a:stretch>
          <a:fillRect/>
        </a:stretch>
      </xdr:blipFill>
      <xdr:spPr>
        <a:xfrm>
          <a:off x="0" y="0"/>
          <a:ext cx="16840200" cy="1728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66"/>
  <sheetViews>
    <sheetView tabSelected="1" zoomScalePageLayoutView="0" workbookViewId="0" topLeftCell="A1">
      <selection activeCell="D3" sqref="D3"/>
    </sheetView>
  </sheetViews>
  <sheetFormatPr defaultColWidth="8.8984375" defaultRowHeight="15"/>
  <cols>
    <col min="1" max="1" width="15.69921875" style="57" customWidth="1"/>
    <col min="2" max="2" width="20.69921875" style="57" customWidth="1"/>
    <col min="3" max="3" width="9.69921875" style="57" customWidth="1"/>
    <col min="4" max="4" width="15.09765625" style="57" customWidth="1"/>
    <col min="5" max="5" width="15.69921875" style="57" customWidth="1"/>
    <col min="6" max="16384" width="8.8984375" style="57" customWidth="1"/>
  </cols>
  <sheetData>
    <row r="1" spans="1:5" ht="15">
      <c r="A1" s="55" t="s">
        <v>37</v>
      </c>
      <c r="B1" s="56"/>
      <c r="C1" s="56"/>
      <c r="D1" s="56"/>
      <c r="E1" s="56"/>
    </row>
    <row r="2" spans="1:5" ht="15">
      <c r="A2" s="58" t="s">
        <v>26</v>
      </c>
      <c r="B2" s="56"/>
      <c r="C2" s="56"/>
      <c r="D2" s="260" t="s">
        <v>249</v>
      </c>
      <c r="E2" s="59"/>
    </row>
    <row r="3" spans="1:5" ht="15">
      <c r="A3" s="58" t="s">
        <v>27</v>
      </c>
      <c r="B3" s="56"/>
      <c r="C3" s="56"/>
      <c r="D3" s="261" t="s">
        <v>224</v>
      </c>
      <c r="E3" s="60"/>
    </row>
    <row r="4" spans="1:5" ht="15">
      <c r="A4" s="61"/>
      <c r="B4" s="56"/>
      <c r="C4" s="56"/>
      <c r="D4" s="62"/>
      <c r="E4" s="56"/>
    </row>
    <row r="5" spans="1:5" ht="15">
      <c r="A5" s="58" t="s">
        <v>177</v>
      </c>
      <c r="B5" s="56"/>
      <c r="C5" s="63">
        <v>2012</v>
      </c>
      <c r="D5" s="62"/>
      <c r="E5" s="56"/>
    </row>
    <row r="6" spans="1:5" ht="15">
      <c r="A6" s="56"/>
      <c r="B6" s="56"/>
      <c r="C6" s="56"/>
      <c r="D6" s="56"/>
      <c r="E6" s="56"/>
    </row>
    <row r="7" spans="1:5" ht="15">
      <c r="A7" s="64" t="s">
        <v>191</v>
      </c>
      <c r="B7" s="65"/>
      <c r="C7" s="65"/>
      <c r="D7" s="65"/>
      <c r="E7" s="65"/>
    </row>
    <row r="8" spans="1:5" ht="15">
      <c r="A8" s="64" t="s">
        <v>190</v>
      </c>
      <c r="B8" s="65"/>
      <c r="C8" s="65"/>
      <c r="D8" s="65"/>
      <c r="E8" s="65"/>
    </row>
    <row r="9" spans="1:5" ht="15">
      <c r="A9" s="66"/>
      <c r="B9" s="65"/>
      <c r="C9" s="65"/>
      <c r="D9" s="65"/>
      <c r="E9" s="65"/>
    </row>
    <row r="10" spans="1:5" ht="15">
      <c r="A10" s="427" t="s">
        <v>8</v>
      </c>
      <c r="B10" s="428"/>
      <c r="C10" s="428"/>
      <c r="D10" s="428"/>
      <c r="E10" s="428"/>
    </row>
    <row r="11" spans="1:5" ht="15">
      <c r="A11" s="66"/>
      <c r="B11" s="65"/>
      <c r="C11" s="65"/>
      <c r="D11" s="65"/>
      <c r="E11" s="65"/>
    </row>
    <row r="12" spans="1:5" ht="15">
      <c r="A12" s="68" t="s">
        <v>9</v>
      </c>
      <c r="B12" s="69"/>
      <c r="C12" s="56"/>
      <c r="D12" s="56"/>
      <c r="E12" s="56"/>
    </row>
    <row r="13" spans="1:5" ht="15">
      <c r="A13" s="70" t="str">
        <f>CONCATENATE("the ",C5-1," Budget, Certificate Page:")</f>
        <v>the 2011 Budget, Certificate Page:</v>
      </c>
      <c r="B13" s="71"/>
      <c r="C13" s="72"/>
      <c r="D13" s="56"/>
      <c r="E13" s="56"/>
    </row>
    <row r="14" spans="1:5" ht="15">
      <c r="A14" s="70" t="s">
        <v>189</v>
      </c>
      <c r="B14" s="71"/>
      <c r="C14" s="72"/>
      <c r="D14" s="56"/>
      <c r="E14" s="370">
        <v>0.98</v>
      </c>
    </row>
    <row r="15" spans="1:5" ht="15">
      <c r="A15" s="73"/>
      <c r="B15" s="56"/>
      <c r="C15" s="56"/>
      <c r="D15" s="74">
        <f>$C$5-1</f>
        <v>2011</v>
      </c>
      <c r="E15" s="74">
        <f>$C$5-2</f>
        <v>2010</v>
      </c>
    </row>
    <row r="16" spans="1:5" ht="15">
      <c r="A16" s="61" t="s">
        <v>38</v>
      </c>
      <c r="B16" s="56"/>
      <c r="C16" s="75" t="s">
        <v>39</v>
      </c>
      <c r="D16" s="76" t="s">
        <v>188</v>
      </c>
      <c r="E16" s="76" t="s">
        <v>29</v>
      </c>
    </row>
    <row r="17" spans="1:5" ht="15">
      <c r="A17" s="56"/>
      <c r="B17" s="77" t="s">
        <v>40</v>
      </c>
      <c r="C17" s="180" t="s">
        <v>163</v>
      </c>
      <c r="D17" s="79">
        <v>40832</v>
      </c>
      <c r="E17" s="79">
        <v>8125</v>
      </c>
    </row>
    <row r="18" spans="1:5" ht="15">
      <c r="A18" s="61" t="s">
        <v>41</v>
      </c>
      <c r="B18" s="56"/>
      <c r="C18" s="56"/>
      <c r="D18" s="80"/>
      <c r="E18" s="80"/>
    </row>
    <row r="19" spans="1:5" ht="15">
      <c r="A19" s="61"/>
      <c r="B19" s="81" t="s">
        <v>225</v>
      </c>
      <c r="C19" s="360" t="s">
        <v>227</v>
      </c>
      <c r="D19" s="79">
        <v>2789</v>
      </c>
      <c r="E19" s="79">
        <v>2464</v>
      </c>
    </row>
    <row r="20" spans="1:5" ht="15">
      <c r="A20" s="56"/>
      <c r="B20" s="81" t="s">
        <v>226</v>
      </c>
      <c r="C20" s="360" t="s">
        <v>228</v>
      </c>
      <c r="D20" s="79">
        <v>3430</v>
      </c>
      <c r="E20" s="79">
        <v>2389</v>
      </c>
    </row>
    <row r="21" spans="1:5" ht="15">
      <c r="A21" s="56"/>
      <c r="B21" s="82"/>
      <c r="C21" s="361"/>
      <c r="D21" s="79"/>
      <c r="E21" s="79"/>
    </row>
    <row r="22" spans="1:5" ht="15">
      <c r="A22" s="56"/>
      <c r="B22" s="82"/>
      <c r="C22" s="360"/>
      <c r="D22" s="79"/>
      <c r="E22" s="79"/>
    </row>
    <row r="23" spans="1:5" ht="15">
      <c r="A23" s="83" t="str">
        <f>CONCATENATE("Total Ad Valorem Tax Levy Funds for ",C5-1," Budgeted Year")</f>
        <v>Total Ad Valorem Tax Levy Funds for 2011 Budgeted Year</v>
      </c>
      <c r="B23" s="84"/>
      <c r="C23" s="84"/>
      <c r="D23" s="85"/>
      <c r="E23" s="86">
        <f>SUM(E17:E22)</f>
        <v>12978</v>
      </c>
    </row>
    <row r="24" spans="1:5" ht="15">
      <c r="A24" s="91"/>
      <c r="B24" s="88"/>
      <c r="C24" s="88"/>
      <c r="D24" s="199"/>
      <c r="E24" s="88"/>
    </row>
    <row r="25" spans="1:5" ht="15">
      <c r="A25" s="61" t="s">
        <v>42</v>
      </c>
      <c r="B25" s="56"/>
      <c r="C25" s="56"/>
      <c r="D25" s="56"/>
      <c r="E25" s="56"/>
    </row>
    <row r="26" spans="1:5" ht="15">
      <c r="A26" s="56"/>
      <c r="B26" s="87" t="s">
        <v>43</v>
      </c>
      <c r="C26" s="88"/>
      <c r="D26" s="79">
        <v>1220</v>
      </c>
      <c r="E26" s="88"/>
    </row>
    <row r="27" spans="1:5" ht="15">
      <c r="A27" s="56"/>
      <c r="B27" s="262"/>
      <c r="C27" s="88"/>
      <c r="D27" s="79"/>
      <c r="E27" s="88"/>
    </row>
    <row r="28" spans="1:5" ht="15">
      <c r="A28" s="56"/>
      <c r="B28" s="262"/>
      <c r="C28" s="88"/>
      <c r="D28" s="79"/>
      <c r="E28" s="88"/>
    </row>
    <row r="29" spans="1:5" ht="15">
      <c r="A29" s="56"/>
      <c r="B29" s="262"/>
      <c r="C29" s="88"/>
      <c r="D29" s="79"/>
      <c r="E29" s="88"/>
    </row>
    <row r="30" spans="1:5" ht="15">
      <c r="A30" s="56"/>
      <c r="B30" s="89"/>
      <c r="C30" s="88"/>
      <c r="D30" s="79"/>
      <c r="E30" s="88"/>
    </row>
    <row r="31" spans="1:5" ht="15">
      <c r="A31" s="56"/>
      <c r="B31" s="89"/>
      <c r="C31" s="88"/>
      <c r="D31" s="79"/>
      <c r="E31" s="88"/>
    </row>
    <row r="32" spans="1:5" ht="15">
      <c r="A32" s="56" t="s">
        <v>28</v>
      </c>
      <c r="B32" s="90"/>
      <c r="C32" s="88"/>
      <c r="D32" s="88"/>
      <c r="E32" s="88"/>
    </row>
    <row r="33" spans="1:5" ht="15">
      <c r="A33" s="91"/>
      <c r="B33" s="81"/>
      <c r="C33" s="92"/>
      <c r="D33" s="79"/>
      <c r="E33" s="93"/>
    </row>
    <row r="34" spans="1:5" ht="15">
      <c r="A34" s="83" t="str">
        <f>CONCATENATE("Total Expenditures for ",C5-1," Budgeted Year")</f>
        <v>Total Expenditures for 2011 Budgeted Year</v>
      </c>
      <c r="B34" s="94"/>
      <c r="C34" s="95"/>
      <c r="D34" s="86">
        <f>SUM(D17,D19:D22,D26:D31,D33)</f>
        <v>48271</v>
      </c>
      <c r="E34" s="93"/>
    </row>
    <row r="35" spans="1:5" ht="15">
      <c r="A35" s="91" t="s">
        <v>12</v>
      </c>
      <c r="B35" s="88"/>
      <c r="C35" s="88"/>
      <c r="D35" s="88"/>
      <c r="E35" s="56"/>
    </row>
    <row r="36" spans="1:5" ht="15">
      <c r="A36" s="96">
        <v>1</v>
      </c>
      <c r="B36" s="81"/>
      <c r="C36" s="88"/>
      <c r="D36" s="88"/>
      <c r="E36" s="56"/>
    </row>
    <row r="37" spans="1:5" ht="15">
      <c r="A37" s="96">
        <v>2</v>
      </c>
      <c r="B37" s="81"/>
      <c r="C37" s="88"/>
      <c r="D37" s="88"/>
      <c r="E37" s="56"/>
    </row>
    <row r="38" spans="1:5" ht="15">
      <c r="A38" s="96">
        <v>3</v>
      </c>
      <c r="B38" s="81"/>
      <c r="C38" s="88"/>
      <c r="D38" s="88"/>
      <c r="E38" s="56"/>
    </row>
    <row r="39" spans="1:5" ht="15">
      <c r="A39" s="96">
        <v>4</v>
      </c>
      <c r="B39" s="81"/>
      <c r="C39" s="88"/>
      <c r="D39" s="88"/>
      <c r="E39" s="56"/>
    </row>
    <row r="40" spans="1:5" ht="15">
      <c r="A40" s="96">
        <v>5</v>
      </c>
      <c r="B40" s="81"/>
      <c r="C40" s="88"/>
      <c r="D40" s="88"/>
      <c r="E40" s="56"/>
    </row>
    <row r="41" spans="1:5" ht="15">
      <c r="A41" s="97"/>
      <c r="B41" s="88"/>
      <c r="C41" s="88"/>
      <c r="D41" s="88"/>
      <c r="E41" s="56"/>
    </row>
    <row r="42" spans="1:5" ht="18" customHeight="1">
      <c r="A42" s="56"/>
      <c r="B42" s="56"/>
      <c r="C42" s="56"/>
      <c r="D42" s="56"/>
      <c r="E42" s="56"/>
    </row>
    <row r="43" spans="1:5" ht="15">
      <c r="A43" s="68" t="s">
        <v>9</v>
      </c>
      <c r="B43" s="69"/>
      <c r="C43" s="56"/>
      <c r="D43" s="98" t="str">
        <f>CONCATENATE("",C5-3," Tax Rate")</f>
        <v>2009 Tax Rate</v>
      </c>
      <c r="E43" s="56"/>
    </row>
    <row r="44" spans="1:5" ht="15">
      <c r="A44" s="70" t="str">
        <f>CONCATENATE("the ",C5-1," Budget, Budget Summary Page")</f>
        <v>the 2011 Budget, Budget Summary Page</v>
      </c>
      <c r="B44" s="71"/>
      <c r="C44" s="56"/>
      <c r="D44" s="99" t="str">
        <f>CONCATENATE("(",C5-2," Column)")</f>
        <v>(2010 Column)</v>
      </c>
      <c r="E44" s="56"/>
    </row>
    <row r="45" spans="1:5" ht="15">
      <c r="A45" s="56"/>
      <c r="B45" s="100" t="str">
        <f>B17</f>
        <v>General</v>
      </c>
      <c r="C45" s="101"/>
      <c r="D45" s="102">
        <v>26.246</v>
      </c>
      <c r="E45" s="56"/>
    </row>
    <row r="46" spans="1:5" ht="15">
      <c r="A46" s="56"/>
      <c r="B46" s="100" t="str">
        <f>B19</f>
        <v>Noxious Weed</v>
      </c>
      <c r="C46" s="101"/>
      <c r="D46" s="102">
        <v>8.786</v>
      </c>
      <c r="E46" s="56"/>
    </row>
    <row r="47" spans="1:5" ht="15.75" customHeight="1">
      <c r="A47" s="56"/>
      <c r="B47" s="100" t="str">
        <f>B20</f>
        <v>Library</v>
      </c>
      <c r="C47" s="78"/>
      <c r="D47" s="102">
        <v>8.402</v>
      </c>
      <c r="E47" s="56"/>
    </row>
    <row r="48" spans="1:5" ht="15">
      <c r="A48" s="56"/>
      <c r="B48" s="100">
        <f>B21</f>
        <v>0</v>
      </c>
      <c r="C48" s="78"/>
      <c r="D48" s="102"/>
      <c r="E48" s="56"/>
    </row>
    <row r="49" spans="1:5" ht="15">
      <c r="A49" s="56"/>
      <c r="B49" s="100">
        <f>B22</f>
        <v>0</v>
      </c>
      <c r="C49" s="78"/>
      <c r="D49" s="102"/>
      <c r="E49" s="56"/>
    </row>
    <row r="50" spans="1:5" ht="15">
      <c r="A50" s="83" t="s">
        <v>44</v>
      </c>
      <c r="B50" s="84"/>
      <c r="C50" s="95"/>
      <c r="D50" s="103">
        <f>SUM(D45:D49)</f>
        <v>43.434</v>
      </c>
      <c r="E50" s="56"/>
    </row>
    <row r="51" spans="1:5" ht="15">
      <c r="A51" s="56"/>
      <c r="B51" s="56"/>
      <c r="C51" s="56"/>
      <c r="D51" s="56"/>
      <c r="E51" s="56"/>
    </row>
    <row r="52" spans="1:5" ht="15">
      <c r="A52" s="104" t="str">
        <f>CONCATENATE("Total Tax Levied (",C5-2," budget column)")</f>
        <v>Total Tax Levied (2010 budget column)</v>
      </c>
      <c r="B52" s="105"/>
      <c r="C52" s="84"/>
      <c r="D52" s="95"/>
      <c r="E52" s="79">
        <v>12913</v>
      </c>
    </row>
    <row r="53" spans="1:5" ht="15">
      <c r="A53" s="104" t="str">
        <f>CONCATENATE("Assessed Valuation  (",C5-2," budget column)")</f>
        <v>Assessed Valuation  (2010 budget column)</v>
      </c>
      <c r="B53" s="106"/>
      <c r="C53" s="107"/>
      <c r="D53" s="108"/>
      <c r="E53" s="79">
        <v>297299</v>
      </c>
    </row>
    <row r="54" spans="1:5" ht="15">
      <c r="A54" s="56"/>
      <c r="B54" s="56"/>
      <c r="C54" s="56"/>
      <c r="D54" s="72"/>
      <c r="E54" s="80"/>
    </row>
    <row r="55" spans="1:5" ht="15">
      <c r="A55" s="109" t="s">
        <v>14</v>
      </c>
      <c r="B55" s="109"/>
      <c r="C55" s="110"/>
      <c r="D55" s="111">
        <f>C5-3</f>
        <v>2009</v>
      </c>
      <c r="E55" s="112">
        <f>C5-2</f>
        <v>2010</v>
      </c>
    </row>
    <row r="56" spans="1:5" ht="15">
      <c r="A56" s="113" t="s">
        <v>183</v>
      </c>
      <c r="B56" s="113"/>
      <c r="C56" s="114"/>
      <c r="D56" s="115"/>
      <c r="E56" s="115"/>
    </row>
    <row r="57" spans="1:5" ht="15">
      <c r="A57" s="116" t="s">
        <v>184</v>
      </c>
      <c r="B57" s="116"/>
      <c r="C57" s="117"/>
      <c r="D57" s="115"/>
      <c r="E57" s="115"/>
    </row>
    <row r="58" spans="1:5" ht="15">
      <c r="A58" s="116" t="s">
        <v>185</v>
      </c>
      <c r="B58" s="116"/>
      <c r="C58" s="117"/>
      <c r="D58" s="115"/>
      <c r="E58" s="115"/>
    </row>
    <row r="59" spans="1:5" ht="15">
      <c r="A59" s="116" t="s">
        <v>186</v>
      </c>
      <c r="B59" s="116"/>
      <c r="C59" s="117"/>
      <c r="D59" s="115"/>
      <c r="E59" s="115"/>
    </row>
    <row r="66" spans="1:5" s="118" customFormat="1" ht="15">
      <c r="A66" s="57"/>
      <c r="B66" s="57"/>
      <c r="C66" s="57"/>
      <c r="D66" s="57"/>
      <c r="E66" s="57"/>
    </row>
  </sheetData>
  <sheetProtection/>
  <mergeCells count="1">
    <mergeCell ref="A10:E10"/>
  </mergeCells>
  <printOptions/>
  <pageMargins left="0.5" right="0.5" top="0.75" bottom="0.5" header="0.5" footer="0.5"/>
  <pageSetup blackAndWhite="1" fitToHeight="1"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Q168"/>
  <sheetViews>
    <sheetView zoomScale="75" zoomScaleNormal="75" zoomScalePageLayoutView="0" workbookViewId="0" topLeftCell="A1">
      <selection activeCell="C25" sqref="C25"/>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6"/>
      <c r="B1" s="6"/>
      <c r="C1" s="6"/>
      <c r="D1" s="6"/>
      <c r="E1" s="6"/>
      <c r="F1" s="6"/>
      <c r="G1" s="6"/>
      <c r="H1" s="28">
        <f>inputPrYr!$C$5</f>
        <v>2012</v>
      </c>
    </row>
    <row r="2" spans="1:8" ht="15">
      <c r="A2" s="476" t="s">
        <v>102</v>
      </c>
      <c r="B2" s="476"/>
      <c r="C2" s="476"/>
      <c r="D2" s="476"/>
      <c r="E2" s="476"/>
      <c r="F2" s="476"/>
      <c r="G2" s="476"/>
      <c r="H2" s="476"/>
    </row>
    <row r="3" spans="1:8" ht="15">
      <c r="A3" s="6"/>
      <c r="B3" s="6"/>
      <c r="C3" s="6"/>
      <c r="D3" s="6"/>
      <c r="E3" s="6"/>
      <c r="F3" s="6"/>
      <c r="G3" s="6"/>
      <c r="H3" s="6"/>
    </row>
    <row r="4" spans="1:8" ht="15">
      <c r="A4" s="475" t="s">
        <v>83</v>
      </c>
      <c r="B4" s="475"/>
      <c r="C4" s="475"/>
      <c r="D4" s="475"/>
      <c r="E4" s="475"/>
      <c r="F4" s="475"/>
      <c r="G4" s="475"/>
      <c r="H4" s="475"/>
    </row>
    <row r="5" spans="1:8" ht="15">
      <c r="A5" s="477" t="str">
        <f>inputPrYr!D2</f>
        <v>City of Athol</v>
      </c>
      <c r="B5" s="477"/>
      <c r="C5" s="477"/>
      <c r="D5" s="477"/>
      <c r="E5" s="477"/>
      <c r="F5" s="477"/>
      <c r="G5" s="477"/>
      <c r="H5" s="477"/>
    </row>
    <row r="6" spans="1:8" ht="15">
      <c r="A6" s="475" t="str">
        <f>CONCATENATE("will meet on ",inputBudSum!B6," at ",inputBudSum!B8," at ",inputBudSum!B10," for the purpose of hearing and")</f>
        <v>will meet on _______________ at ________ at _______________ for the purpose of hearing and</v>
      </c>
      <c r="B6" s="475"/>
      <c r="C6" s="475"/>
      <c r="D6" s="475"/>
      <c r="E6" s="475"/>
      <c r="F6" s="475"/>
      <c r="G6" s="475"/>
      <c r="H6" s="475"/>
    </row>
    <row r="7" spans="1:8" ht="15">
      <c r="A7" s="475" t="s">
        <v>205</v>
      </c>
      <c r="B7" s="475"/>
      <c r="C7" s="475"/>
      <c r="D7" s="475"/>
      <c r="E7" s="475"/>
      <c r="F7" s="475"/>
      <c r="G7" s="475"/>
      <c r="H7" s="475"/>
    </row>
    <row r="8" spans="1:8" ht="15">
      <c r="A8" s="475" t="str">
        <f>CONCATENATE("Detailed budget information is available at ",inputBudSum!B13," and will be available at this hearing.")</f>
        <v>Detailed budget information is available at  and will be available at this hearing.</v>
      </c>
      <c r="B8" s="475"/>
      <c r="C8" s="475"/>
      <c r="D8" s="475"/>
      <c r="E8" s="475"/>
      <c r="F8" s="475"/>
      <c r="G8" s="475"/>
      <c r="H8" s="475"/>
    </row>
    <row r="9" spans="1:8" ht="15">
      <c r="A9" s="19" t="s">
        <v>103</v>
      </c>
      <c r="B9" s="9"/>
      <c r="C9" s="9"/>
      <c r="D9" s="9"/>
      <c r="E9" s="9"/>
      <c r="F9" s="9"/>
      <c r="G9" s="9"/>
      <c r="H9" s="9"/>
    </row>
    <row r="10" spans="1:8" ht="15">
      <c r="A10" s="20"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1"/>
      <c r="C10" s="21"/>
      <c r="D10" s="21"/>
      <c r="E10" s="21"/>
      <c r="F10" s="21"/>
      <c r="G10" s="21"/>
      <c r="H10" s="21"/>
    </row>
    <row r="11" spans="1:8" ht="15">
      <c r="A11" s="8" t="s">
        <v>164</v>
      </c>
      <c r="B11" s="9"/>
      <c r="C11" s="9"/>
      <c r="D11" s="9"/>
      <c r="E11" s="9"/>
      <c r="F11" s="9"/>
      <c r="G11" s="9"/>
      <c r="H11" s="9"/>
    </row>
    <row r="12" spans="1:8" ht="15">
      <c r="A12" s="6"/>
      <c r="B12" s="22"/>
      <c r="C12" s="22"/>
      <c r="D12" s="22"/>
      <c r="E12" s="22"/>
      <c r="F12" s="22"/>
      <c r="G12" s="22"/>
      <c r="H12" s="22"/>
    </row>
    <row r="13" spans="1:8" ht="15">
      <c r="A13" s="6"/>
      <c r="B13" s="23" t="str">
        <f>CONCATENATE("Prior Year Actual for ",H1-2,"")</f>
        <v>Prior Year Actual for 2010</v>
      </c>
      <c r="C13" s="12"/>
      <c r="D13" s="23" t="str">
        <f>CONCATENATE("Current Year Estimate for ",H1-1,"")</f>
        <v>Current Year Estimate for 2011</v>
      </c>
      <c r="E13" s="12"/>
      <c r="F13" s="10" t="str">
        <f>CONCATENATE("Proposed Budget for ",H1,"")</f>
        <v>Proposed Budget for 2012</v>
      </c>
      <c r="G13" s="11"/>
      <c r="H13" s="12"/>
    </row>
    <row r="14" spans="1:8" ht="22.5" customHeight="1">
      <c r="A14" s="6"/>
      <c r="B14" s="13"/>
      <c r="C14" s="13" t="s">
        <v>81</v>
      </c>
      <c r="D14" s="13"/>
      <c r="E14" s="13" t="s">
        <v>81</v>
      </c>
      <c r="F14" s="13" t="s">
        <v>23</v>
      </c>
      <c r="G14" s="30" t="str">
        <f>CONCATENATE("Amount of ",H1-1,"")</f>
        <v>Amount of 2011</v>
      </c>
      <c r="H14" s="13" t="s">
        <v>3</v>
      </c>
    </row>
    <row r="15" spans="1:8" ht="17.25" customHeight="1">
      <c r="A15" s="24" t="s">
        <v>85</v>
      </c>
      <c r="B15" s="14" t="s">
        <v>56</v>
      </c>
      <c r="C15" s="14" t="s">
        <v>86</v>
      </c>
      <c r="D15" s="14" t="s">
        <v>2</v>
      </c>
      <c r="E15" s="14" t="s">
        <v>86</v>
      </c>
      <c r="F15" s="14" t="s">
        <v>217</v>
      </c>
      <c r="G15" s="18" t="s">
        <v>71</v>
      </c>
      <c r="H15" s="14" t="s">
        <v>86</v>
      </c>
    </row>
    <row r="16" spans="1:8" ht="15">
      <c r="A16" s="4" t="s">
        <v>40</v>
      </c>
      <c r="B16" s="384">
        <f>IF((general!$C$38)&lt;&gt;0,general!$C$38,"  ")</f>
        <v>45723</v>
      </c>
      <c r="C16" s="385">
        <f>IF(inputPrYr!D45&gt;0,inputPrYr!D45,"0.000")</f>
        <v>26.246</v>
      </c>
      <c r="D16" s="384">
        <f>IF((general!$D$38)&lt;&gt;0,general!$D$38,"  ")</f>
        <v>20853</v>
      </c>
      <c r="E16" s="385">
        <f>IF(inputOth!D21&gt;0,inputOth!D21,"0.000")</f>
        <v>28.899</v>
      </c>
      <c r="F16" s="384">
        <f>IF((general!$E$38)&lt;&gt;0,general!$E$38,"  ")</f>
        <v>32562</v>
      </c>
      <c r="G16" s="384">
        <f>IF((general!$E$45)&lt;&gt;0,(general!$E$45),"0")</f>
        <v>7501</v>
      </c>
      <c r="H16" s="385">
        <f>IF((general!E45&gt;0),ROUND(G16/$F$24*1000,3),"0.000")</f>
        <v>27.242</v>
      </c>
    </row>
    <row r="17" spans="1:8" ht="15">
      <c r="A17" s="5" t="str">
        <f>IF((inputPrYr!$B19&gt;"  "),(inputPrYr!$B19),"  ")</f>
        <v>Noxious Weed</v>
      </c>
      <c r="B17" s="384">
        <f>IF(('Noxious Weed Library'!$B$28)&lt;&gt;0,('Noxious Weed Library'!$B$28),"  ")</f>
        <v>2851</v>
      </c>
      <c r="C17" s="385">
        <f>IF(inputPrYr!D46&gt;0,inputPrYr!D46,"0.000")</f>
        <v>8.786</v>
      </c>
      <c r="D17" s="384">
        <f>IF(('Noxious Weed Library'!$C$28)&lt;&gt;0,('Noxious Weed Library'!$C$28),"  ")</f>
        <v>2740</v>
      </c>
      <c r="E17" s="385">
        <f>IF(inputOth!D22&gt;0,inputOth!D22,"0.000")</f>
        <v>8.764</v>
      </c>
      <c r="F17" s="384">
        <f>IF(('Noxious Weed Library'!$D$28)&lt;&gt;0,('Noxious Weed Library'!$D$28),"  ")</f>
        <v>2721</v>
      </c>
      <c r="G17" s="384">
        <f>IF(('Noxious Weed Library'!$D$35)&lt;&gt;0,('Noxious Weed Library'!$D$35),"0")</f>
        <v>2361</v>
      </c>
      <c r="H17" s="385">
        <f>IF('Noxious Weed Library'!D35&gt;0,ROUND(G17/$F$24*1000,3),"0.000")</f>
        <v>8.575</v>
      </c>
    </row>
    <row r="18" spans="1:8" ht="15">
      <c r="A18" s="5" t="str">
        <f>IF((inputPrYr!$B20&gt;"  "),(inputPrYr!$B20),"  ")</f>
        <v>Library</v>
      </c>
      <c r="B18" s="384">
        <f>IF(('Noxious Weed Library'!$B$59)&lt;&gt;0,('Noxious Weed Library'!$B$59),"  ")</f>
        <v>4055</v>
      </c>
      <c r="C18" s="385">
        <f>IF(inputPrYr!D47&gt;0,inputPrYr!D47,"0.000")</f>
        <v>8.402</v>
      </c>
      <c r="D18" s="384">
        <f>IF(('Noxious Weed Library'!$C$59)&lt;&gt;0,('Noxious Weed Library'!$C$59),"  ")</f>
        <v>2860</v>
      </c>
      <c r="E18" s="385">
        <f>IF(inputOth!D23&gt;0,inputOth!D23,"0.000")</f>
        <v>8.497</v>
      </c>
      <c r="F18" s="384">
        <f>IF(('Noxious Weed Library'!$D$59)&lt;&gt;0,('Noxious Weed Library'!$D$59),"  ")</f>
        <v>3495</v>
      </c>
      <c r="G18" s="384">
        <f>IF(('Noxious Weed Library'!$D$66)&lt;&gt;0,('Noxious Weed Library'!$D$66),"0")</f>
        <v>3145</v>
      </c>
      <c r="H18" s="385">
        <f>IF('Noxious Weed Library'!D66&gt;0,ROUND(G18/$F$24*1000,3),"0.000")</f>
        <v>11.422</v>
      </c>
    </row>
    <row r="19" spans="1:8" ht="15">
      <c r="A19" s="5" t="str">
        <f>IF((inputPrYr!$B26&gt;"  "),(inputPrYr!$B26),"  ")</f>
        <v>Special Highway</v>
      </c>
      <c r="B19" s="384">
        <f>IF((SpecHwy!$C$33)&lt;&gt;0,(SpecHwy!$C$33),"  ")</f>
        <v>2297</v>
      </c>
      <c r="C19" s="386"/>
      <c r="D19" s="384">
        <f>IF((SpecHwy!$D$33)&lt;&gt;0,(SpecHwy!$D$33),"  ")</f>
        <v>1150</v>
      </c>
      <c r="E19" s="386"/>
      <c r="F19" s="384">
        <f>IF((SpecHwy!$E$33)&lt;&gt;0,(SpecHwy!$E$33),"  ")</f>
        <v>1210</v>
      </c>
      <c r="G19" s="386"/>
      <c r="H19" s="386"/>
    </row>
    <row r="20" spans="1:13" ht="15">
      <c r="A20" s="362" t="s">
        <v>223</v>
      </c>
      <c r="B20" s="387">
        <f>SUM(B16:B19)</f>
        <v>54926</v>
      </c>
      <c r="C20" s="388">
        <f>SUM(C16:C18)</f>
        <v>43.434</v>
      </c>
      <c r="D20" s="387">
        <f>SUM(D16:D19)</f>
        <v>27603</v>
      </c>
      <c r="E20" s="388">
        <f>SUM(E16:E18)</f>
        <v>46.16</v>
      </c>
      <c r="F20" s="387">
        <f>SUM(F16:F19)</f>
        <v>39988</v>
      </c>
      <c r="G20" s="387">
        <f>SUM(G16:G18)</f>
        <v>13007</v>
      </c>
      <c r="H20" s="388">
        <f>SUM(H16:H19)</f>
        <v>47.239000000000004</v>
      </c>
      <c r="J20" s="468" t="str">
        <f>CONCATENATE("Impact On Keeping The Same Mill Rate As For ",H1-1,"")</f>
        <v>Impact On Keeping The Same Mill Rate As For 2011</v>
      </c>
      <c r="K20" s="471"/>
      <c r="L20" s="471"/>
      <c r="M20" s="472"/>
    </row>
    <row r="21" spans="1:13" ht="15">
      <c r="A21" s="7" t="s">
        <v>87</v>
      </c>
      <c r="B21" s="389">
        <v>0</v>
      </c>
      <c r="C21" s="390"/>
      <c r="D21" s="389">
        <v>0</v>
      </c>
      <c r="E21" s="391"/>
      <c r="F21" s="389">
        <v>0</v>
      </c>
      <c r="G21" s="392"/>
      <c r="H21" s="393"/>
      <c r="I21" s="307"/>
      <c r="J21" s="346"/>
      <c r="K21" s="342"/>
      <c r="L21" s="342"/>
      <c r="M21" s="347"/>
    </row>
    <row r="22" spans="1:13" ht="15.75" thickBot="1">
      <c r="A22" s="53" t="s">
        <v>88</v>
      </c>
      <c r="B22" s="394">
        <f>B20-B21</f>
        <v>54926</v>
      </c>
      <c r="C22" s="17"/>
      <c r="D22" s="394">
        <f>D20-D21</f>
        <v>27603</v>
      </c>
      <c r="E22" s="17"/>
      <c r="F22" s="394">
        <f>F20-F21</f>
        <v>39988</v>
      </c>
      <c r="G22" s="17"/>
      <c r="H22" s="17"/>
      <c r="J22" s="346" t="str">
        <f>CONCATENATE("",H1," Ad Valorem Tax Revenue:")</f>
        <v>2012 Ad Valorem Tax Revenue:</v>
      </c>
      <c r="K22" s="342"/>
      <c r="L22" s="342"/>
      <c r="M22" s="343">
        <f>G20</f>
        <v>13007</v>
      </c>
    </row>
    <row r="23" spans="1:13" ht="15.75" thickTop="1">
      <c r="A23" s="7" t="s">
        <v>89</v>
      </c>
      <c r="B23" s="389">
        <f>inputPrYr!E52</f>
        <v>12913</v>
      </c>
      <c r="C23" s="395"/>
      <c r="D23" s="389">
        <f>inputPrYr!E23</f>
        <v>12978</v>
      </c>
      <c r="E23" s="396"/>
      <c r="F23" s="389" t="s">
        <v>248</v>
      </c>
      <c r="G23" s="17"/>
      <c r="H23" s="17"/>
      <c r="J23" s="346" t="str">
        <f>CONCATENATE("",H1-1," Ad Valorem Tax Revenue:")</f>
        <v>2011 Ad Valorem Tax Revenue:</v>
      </c>
      <c r="K23" s="342"/>
      <c r="L23" s="342"/>
      <c r="M23" s="352" t="e">
        <f>ROUND(F24*#REF!/1000,0)</f>
        <v>#REF!</v>
      </c>
    </row>
    <row r="24" spans="1:13" ht="15">
      <c r="A24" s="7" t="s">
        <v>90</v>
      </c>
      <c r="B24" s="384">
        <f>inputPrYr!E53</f>
        <v>297299</v>
      </c>
      <c r="C24" s="397"/>
      <c r="D24" s="384">
        <f>inputOth!E28</f>
        <v>281156</v>
      </c>
      <c r="E24" s="398"/>
      <c r="F24" s="384">
        <f>inputOth!E7</f>
        <v>275349</v>
      </c>
      <c r="G24" s="17"/>
      <c r="H24" s="17"/>
      <c r="J24" s="349" t="s">
        <v>221</v>
      </c>
      <c r="K24" s="350"/>
      <c r="L24" s="350"/>
      <c r="M24" s="344" t="e">
        <f>M22-M23</f>
        <v>#REF!</v>
      </c>
    </row>
    <row r="25" spans="1:13" ht="15">
      <c r="A25" s="363"/>
      <c r="B25" s="392"/>
      <c r="C25" s="399"/>
      <c r="D25" s="392"/>
      <c r="E25" s="399"/>
      <c r="F25" s="392"/>
      <c r="G25" s="399"/>
      <c r="H25" s="17"/>
      <c r="I25" s="340"/>
      <c r="J25" s="345"/>
      <c r="K25" s="345"/>
      <c r="L25" s="345"/>
      <c r="M25" s="351"/>
    </row>
    <row r="26" spans="1:13" ht="15">
      <c r="A26" s="7" t="s">
        <v>91</v>
      </c>
      <c r="B26" s="392"/>
      <c r="C26" s="399"/>
      <c r="D26" s="392"/>
      <c r="E26" s="399"/>
      <c r="F26" s="392"/>
      <c r="G26" s="17"/>
      <c r="H26" s="17"/>
      <c r="J26" s="468" t="s">
        <v>222</v>
      </c>
      <c r="K26" s="469"/>
      <c r="L26" s="469"/>
      <c r="M26" s="470"/>
    </row>
    <row r="27" spans="1:13" ht="15">
      <c r="A27" s="7" t="s">
        <v>92</v>
      </c>
      <c r="B27" s="400">
        <f>$H$1-3</f>
        <v>2009</v>
      </c>
      <c r="C27" s="17"/>
      <c r="D27" s="400">
        <f>$H$1-2</f>
        <v>2010</v>
      </c>
      <c r="E27" s="17"/>
      <c r="F27" s="400">
        <f>$H$1-1</f>
        <v>2011</v>
      </c>
      <c r="G27" s="17"/>
      <c r="H27" s="17"/>
      <c r="J27" s="346"/>
      <c r="K27" s="342"/>
      <c r="L27" s="342"/>
      <c r="M27" s="347"/>
    </row>
    <row r="28" spans="1:13" ht="15">
      <c r="A28" s="7" t="s">
        <v>93</v>
      </c>
      <c r="B28" s="384">
        <f>inputPrYr!D56</f>
        <v>0</v>
      </c>
      <c r="C28" s="17"/>
      <c r="D28" s="384">
        <f>inputPrYr!E56</f>
        <v>0</v>
      </c>
      <c r="E28" s="17"/>
      <c r="F28" s="384">
        <v>0</v>
      </c>
      <c r="G28" s="17"/>
      <c r="H28" s="17"/>
      <c r="J28" s="346" t="str">
        <f>CONCATENATE("Current ",H1," Estimated Mill Rate:")</f>
        <v>Current 2012 Estimated Mill Rate:</v>
      </c>
      <c r="K28" s="342"/>
      <c r="L28" s="342"/>
      <c r="M28" s="348">
        <f>H20</f>
        <v>47.239000000000004</v>
      </c>
    </row>
    <row r="29" spans="1:13" ht="15">
      <c r="A29" s="7" t="s">
        <v>94</v>
      </c>
      <c r="B29" s="384">
        <f>inputPrYr!D57</f>
        <v>0</v>
      </c>
      <c r="C29" s="17"/>
      <c r="D29" s="384">
        <f>inputPrYr!E57</f>
        <v>0</v>
      </c>
      <c r="E29" s="17"/>
      <c r="F29" s="384">
        <v>0</v>
      </c>
      <c r="G29" s="17"/>
      <c r="H29" s="17"/>
      <c r="J29" s="346" t="str">
        <f>CONCATENATE("Desired ",H1," Mill Rate:")</f>
        <v>Desired 2012 Mill Rate:</v>
      </c>
      <c r="K29" s="342"/>
      <c r="L29" s="342"/>
      <c r="M29" s="341">
        <v>0</v>
      </c>
    </row>
    <row r="30" spans="1:13" ht="15">
      <c r="A30" s="27" t="s">
        <v>99</v>
      </c>
      <c r="B30" s="384">
        <f>inputPrYr!D58</f>
        <v>0</v>
      </c>
      <c r="C30" s="17"/>
      <c r="D30" s="384">
        <f>inputPrYr!E58</f>
        <v>0</v>
      </c>
      <c r="E30" s="17"/>
      <c r="F30" s="401">
        <v>0</v>
      </c>
      <c r="G30" s="17"/>
      <c r="H30" s="17"/>
      <c r="J30" s="346" t="str">
        <f>CONCATENATE("",H1," Ad Valorem Tax:")</f>
        <v>2012 Ad Valorem Tax:</v>
      </c>
      <c r="K30" s="342"/>
      <c r="L30" s="342"/>
      <c r="M30" s="352">
        <f>ROUND(F24*M29/1000,0)</f>
        <v>0</v>
      </c>
    </row>
    <row r="31" spans="1:13" ht="15">
      <c r="A31" s="7" t="s">
        <v>165</v>
      </c>
      <c r="B31" s="384">
        <f>inputPrYr!D59</f>
        <v>0</v>
      </c>
      <c r="C31" s="17"/>
      <c r="D31" s="384">
        <f>inputPrYr!E59</f>
        <v>0</v>
      </c>
      <c r="E31" s="17"/>
      <c r="F31" s="384">
        <v>0</v>
      </c>
      <c r="G31" s="17"/>
      <c r="H31" s="17"/>
      <c r="J31" s="349" t="str">
        <f>CONCATENATE("",H1," Tax Levy Fund Exp. Changed By:")</f>
        <v>2012 Tax Levy Fund Exp. Changed By:</v>
      </c>
      <c r="K31" s="350"/>
      <c r="L31" s="350"/>
      <c r="M31" s="344">
        <f>IF(M29=0,0,(M30-G20))</f>
        <v>0</v>
      </c>
    </row>
    <row r="32" spans="1:8" ht="15.75" thickBot="1">
      <c r="A32" s="7" t="s">
        <v>95</v>
      </c>
      <c r="B32" s="394">
        <f>SUM(B28:B31)</f>
        <v>0</v>
      </c>
      <c r="C32" s="17"/>
      <c r="D32" s="394">
        <f>SUM(D28:D31)</f>
        <v>0</v>
      </c>
      <c r="E32" s="17"/>
      <c r="F32" s="394">
        <f>SUM(F28:F31)</f>
        <v>0</v>
      </c>
      <c r="G32" s="17"/>
      <c r="H32" s="17"/>
    </row>
    <row r="33" spans="1:8" ht="15.75" thickTop="1">
      <c r="A33" s="7" t="s">
        <v>96</v>
      </c>
      <c r="B33" s="17"/>
      <c r="C33" s="17"/>
      <c r="D33" s="17"/>
      <c r="E33" s="17"/>
      <c r="F33" s="17"/>
      <c r="G33" s="17"/>
      <c r="H33" s="17"/>
    </row>
    <row r="34" spans="1:8" ht="15">
      <c r="A34" s="6"/>
      <c r="B34" s="6"/>
      <c r="C34" s="6"/>
      <c r="D34" s="6"/>
      <c r="E34" s="6"/>
      <c r="F34" s="6"/>
      <c r="G34" s="6"/>
      <c r="H34" s="6"/>
    </row>
    <row r="35" spans="1:8" ht="15">
      <c r="A35" s="6"/>
      <c r="B35" s="6"/>
      <c r="C35" s="6"/>
      <c r="D35" s="6"/>
      <c r="E35" s="6"/>
      <c r="F35" s="6"/>
      <c r="G35" s="6"/>
      <c r="H35" s="6"/>
    </row>
    <row r="36" spans="1:8" ht="15">
      <c r="A36" s="473"/>
      <c r="B36" s="474"/>
      <c r="C36" s="329"/>
      <c r="D36" s="6"/>
      <c r="E36" s="6"/>
      <c r="F36" s="6"/>
      <c r="G36" s="6"/>
      <c r="H36" s="6"/>
    </row>
    <row r="37" spans="1:8" ht="15">
      <c r="A37" s="328" t="s">
        <v>220</v>
      </c>
      <c r="B37" s="327" t="str">
        <f>inputBudSum!B4</f>
        <v>_______________</v>
      </c>
      <c r="C37" s="326"/>
      <c r="D37" s="6"/>
      <c r="E37" s="6"/>
      <c r="F37" s="6"/>
      <c r="G37" s="6"/>
      <c r="H37" s="6"/>
    </row>
    <row r="38" spans="1:8" ht="15">
      <c r="A38" s="16"/>
      <c r="B38" s="38"/>
      <c r="C38" s="39"/>
      <c r="D38" s="6"/>
      <c r="E38" s="6"/>
      <c r="F38" s="6"/>
      <c r="G38" s="6"/>
      <c r="H38" s="6"/>
    </row>
    <row r="39" spans="1:8" ht="15">
      <c r="A39" s="6"/>
      <c r="B39" s="6"/>
      <c r="C39" s="6"/>
      <c r="D39" s="6"/>
      <c r="E39" s="6"/>
      <c r="F39" s="6"/>
      <c r="G39" s="6"/>
      <c r="H39" s="6"/>
    </row>
    <row r="40" spans="1:8" ht="15">
      <c r="A40" s="6"/>
      <c r="B40" s="6"/>
      <c r="C40" s="6"/>
      <c r="D40" s="6"/>
      <c r="E40" s="6"/>
      <c r="F40" s="6"/>
      <c r="G40" s="6"/>
      <c r="H40" s="6"/>
    </row>
    <row r="41" spans="1:8" ht="15">
      <c r="A41" s="6"/>
      <c r="B41" s="6"/>
      <c r="C41" s="6"/>
      <c r="D41" s="6"/>
      <c r="E41" s="6"/>
      <c r="F41" s="6"/>
      <c r="G41" s="6"/>
      <c r="H41" s="6"/>
    </row>
    <row r="42" spans="1:8" ht="15">
      <c r="A42" s="6"/>
      <c r="B42" s="6"/>
      <c r="C42" s="6"/>
      <c r="D42" s="6"/>
      <c r="E42" s="6"/>
      <c r="F42" s="6"/>
      <c r="G42" s="6"/>
      <c r="H42" s="6"/>
    </row>
    <row r="43" spans="1:8" ht="15">
      <c r="A43" s="6"/>
      <c r="B43" s="6"/>
      <c r="C43" s="6"/>
      <c r="D43" s="6"/>
      <c r="E43" s="6"/>
      <c r="F43" s="6"/>
      <c r="G43" s="6"/>
      <c r="H43" s="6"/>
    </row>
    <row r="44" spans="1:8" ht="15">
      <c r="A44" s="6"/>
      <c r="B44" s="6"/>
      <c r="C44" s="6"/>
      <c r="D44" s="6"/>
      <c r="E44" s="6"/>
      <c r="F44" s="6"/>
      <c r="G44" s="6"/>
      <c r="H44" s="6"/>
    </row>
    <row r="45" spans="1:8" ht="15">
      <c r="A45" s="6"/>
      <c r="B45" s="6"/>
      <c r="C45" s="6"/>
      <c r="D45" s="6"/>
      <c r="E45" s="6"/>
      <c r="F45" s="6"/>
      <c r="G45" s="6"/>
      <c r="H45" s="6"/>
    </row>
    <row r="46" spans="1:8" ht="15">
      <c r="A46" s="6"/>
      <c r="B46" s="6"/>
      <c r="C46" s="6"/>
      <c r="D46" s="6"/>
      <c r="E46" s="6"/>
      <c r="F46" s="6"/>
      <c r="G46" s="6"/>
      <c r="H46" s="6"/>
    </row>
    <row r="47" spans="1:8" ht="15">
      <c r="A47" s="6"/>
      <c r="B47" s="6"/>
      <c r="C47" s="6"/>
      <c r="D47" s="6"/>
      <c r="E47" s="6"/>
      <c r="F47" s="6"/>
      <c r="G47" s="6"/>
      <c r="H47" s="6"/>
    </row>
    <row r="48" spans="1:8" ht="15">
      <c r="A48" s="6"/>
      <c r="B48" s="6"/>
      <c r="C48" s="6"/>
      <c r="D48" s="6"/>
      <c r="E48" s="6"/>
      <c r="F48" s="6"/>
      <c r="G48" s="6"/>
      <c r="H48" s="6"/>
    </row>
    <row r="49" spans="1:8" ht="15">
      <c r="A49" s="6"/>
      <c r="B49" s="6"/>
      <c r="C49" s="6"/>
      <c r="D49" s="6"/>
      <c r="E49" s="6"/>
      <c r="F49" s="6"/>
      <c r="G49" s="6"/>
      <c r="H49" s="6"/>
    </row>
    <row r="50" spans="1:8" ht="15">
      <c r="A50" s="6"/>
      <c r="B50" s="6"/>
      <c r="C50" s="17" t="s">
        <v>97</v>
      </c>
      <c r="D50" s="383">
        <v>7</v>
      </c>
      <c r="E50" s="6"/>
      <c r="F50" s="6"/>
      <c r="G50" s="6"/>
      <c r="H50" s="6"/>
    </row>
    <row r="51" spans="1:8" ht="15">
      <c r="A51" s="1"/>
      <c r="B51" s="1"/>
      <c r="C51" s="1"/>
      <c r="D51" s="1"/>
      <c r="E51" s="1"/>
      <c r="F51" s="1"/>
      <c r="G51" s="1"/>
      <c r="H51" s="1"/>
    </row>
    <row r="52" spans="9:13" ht="15">
      <c r="I52" s="1"/>
      <c r="J52" s="1"/>
      <c r="K52" s="1"/>
      <c r="L52" s="1"/>
      <c r="M52" s="1"/>
    </row>
    <row r="91" spans="1:8" ht="15">
      <c r="A91" s="1"/>
      <c r="B91" s="1"/>
      <c r="C91" s="1"/>
      <c r="D91" s="1"/>
      <c r="E91" s="1"/>
      <c r="F91" s="1"/>
      <c r="G91" s="1"/>
      <c r="H91" s="1"/>
    </row>
    <row r="92" ht="15">
      <c r="I92" s="1"/>
    </row>
    <row r="102" spans="1:8" ht="15">
      <c r="A102" s="1"/>
      <c r="B102" s="1"/>
      <c r="C102" s="1"/>
      <c r="D102" s="1"/>
      <c r="E102" s="1"/>
      <c r="F102" s="1"/>
      <c r="G102" s="1"/>
      <c r="H102" s="1"/>
    </row>
    <row r="124" spans="1:15" ht="15">
      <c r="A124" s="1"/>
      <c r="B124" s="1"/>
      <c r="C124" s="1"/>
      <c r="D124" s="1"/>
      <c r="E124" s="1"/>
      <c r="F124" s="1"/>
      <c r="G124" s="1"/>
      <c r="H124" s="1"/>
      <c r="I124" s="1"/>
      <c r="J124" s="1"/>
      <c r="K124" s="1"/>
      <c r="L124" s="1"/>
      <c r="M124" s="1"/>
      <c r="N124" s="1"/>
      <c r="O124" s="1"/>
    </row>
    <row r="168" spans="1:17" ht="15">
      <c r="A168" s="1"/>
      <c r="B168" s="1"/>
      <c r="C168" s="1"/>
      <c r="D168" s="1"/>
      <c r="E168" s="1"/>
      <c r="F168" s="1"/>
      <c r="G168" s="1"/>
      <c r="H168" s="1"/>
      <c r="I168" s="1"/>
      <c r="J168" s="1"/>
      <c r="K168" s="1"/>
      <c r="L168" s="1"/>
      <c r="M168" s="1"/>
      <c r="N168" s="1"/>
      <c r="O168" s="1"/>
      <c r="P168" s="1"/>
      <c r="Q168" s="1"/>
    </row>
  </sheetData>
  <sheetProtection/>
  <mergeCells count="9">
    <mergeCell ref="J26:M26"/>
    <mergeCell ref="J20:M20"/>
    <mergeCell ref="A36:B36"/>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&amp;R&amp;10State of Kansas
City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
      <selection activeCell="C25" sqref="C25"/>
    </sheetView>
  </sheetViews>
  <sheetFormatPr defaultColWidth="8.796875" defaultRowHeight="15"/>
  <cols>
    <col min="1" max="1" width="12.69921875" style="0" customWidth="1"/>
    <col min="2" max="2" width="18.09765625" style="0" customWidth="1"/>
    <col min="3" max="3" width="15.69921875" style="0" customWidth="1"/>
    <col min="4" max="5" width="11.69921875" style="0" customWidth="1"/>
  </cols>
  <sheetData>
    <row r="1" spans="1:6" ht="15">
      <c r="A1" s="402" t="str">
        <f>inputPrYr!D2</f>
        <v>City of Athol</v>
      </c>
      <c r="B1" s="3"/>
      <c r="C1" s="3"/>
      <c r="D1" s="3"/>
      <c r="E1" s="3"/>
      <c r="F1" s="3">
        <f>inputPrYr!C5</f>
        <v>2012</v>
      </c>
    </row>
    <row r="2" spans="1:6" ht="15">
      <c r="A2" s="46"/>
      <c r="B2" s="3"/>
      <c r="C2" s="3"/>
      <c r="D2" s="3"/>
      <c r="E2" s="3"/>
      <c r="F2" s="3"/>
    </row>
    <row r="3" spans="1:6" ht="15">
      <c r="A3" s="3"/>
      <c r="B3" s="3"/>
      <c r="C3" s="3"/>
      <c r="D3" s="3"/>
      <c r="E3" s="3"/>
      <c r="F3" s="3"/>
    </row>
    <row r="4" spans="1:6" ht="15">
      <c r="A4" s="6"/>
      <c r="B4" s="478" t="str">
        <f>CONCATENATE("",F1," Neighborhood Revitalization Rebate")</f>
        <v>2012 Neighborhood Revitalization Rebate</v>
      </c>
      <c r="C4" s="479"/>
      <c r="D4" s="479"/>
      <c r="E4" s="480"/>
      <c r="F4" s="3"/>
    </row>
    <row r="5" spans="1:6" ht="15">
      <c r="A5" s="6"/>
      <c r="B5" s="6"/>
      <c r="C5" s="6"/>
      <c r="D5" s="6"/>
      <c r="E5" s="6"/>
      <c r="F5" s="3"/>
    </row>
    <row r="6" spans="1:6" ht="51.75" customHeight="1">
      <c r="A6" s="6"/>
      <c r="B6" s="256" t="str">
        <f>CONCATENATE("Budgeted Funds                      for ",F1,"")</f>
        <v>Budgeted Funds                      for 2012</v>
      </c>
      <c r="C6" s="256" t="str">
        <f>CONCATENATE("",F1-1," Ad Valorem before Rebate**")</f>
        <v>2011 Ad Valorem before Rebate**</v>
      </c>
      <c r="D6" s="257" t="str">
        <f>CONCATENATE("",F1-1," Mil Rate before Rebate")</f>
        <v>2011 Mil Rate before Rebate</v>
      </c>
      <c r="E6" s="258" t="str">
        <f>CONCATENATE("Estimate ",F1," NR Rebate")</f>
        <v>Estimate 2012 NR Rebate</v>
      </c>
      <c r="F6" s="3"/>
    </row>
    <row r="7" spans="1:6" ht="15">
      <c r="A7" s="6"/>
      <c r="B7" s="4" t="s">
        <v>40</v>
      </c>
      <c r="C7" s="52">
        <v>6798</v>
      </c>
      <c r="D7" s="42">
        <f>IF(C7&gt;0,C7/$D$17,"")</f>
        <v>24.688667836091653</v>
      </c>
      <c r="E7" s="31">
        <f>IF(C7&gt;0,ROUND(D7*$D$21,0),"")</f>
        <v>703</v>
      </c>
      <c r="F7" s="3"/>
    </row>
    <row r="8" spans="1:6" ht="15">
      <c r="A8" s="6"/>
      <c r="B8" s="5" t="str">
        <f>IF((inputPrYr!$B19&gt;"  "),(inputPrYr!$B19),"  ")</f>
        <v>Noxious Weed</v>
      </c>
      <c r="C8" s="52">
        <v>2140</v>
      </c>
      <c r="D8" s="42">
        <f>IF(C8&gt;0,C8/$D$17,"")</f>
        <v>7.771954864553712</v>
      </c>
      <c r="E8" s="31">
        <f>IF(C8&gt;0,ROUND(D8*$D$21,0),"")</f>
        <v>221</v>
      </c>
      <c r="F8" s="3"/>
    </row>
    <row r="9" spans="1:6" ht="15">
      <c r="A9" s="6"/>
      <c r="B9" s="5" t="str">
        <f>IF((inputPrYr!$B20&gt;"  "),(inputPrYr!$B20),"  ")</f>
        <v>Library</v>
      </c>
      <c r="C9" s="52">
        <v>2850</v>
      </c>
      <c r="D9" s="42">
        <f>IF(C9&gt;0,C9/$D$17,"")</f>
        <v>10.350500637372935</v>
      </c>
      <c r="E9" s="31">
        <f>IF(C9&gt;0,ROUND(D9*$D$21,0),"")</f>
        <v>295</v>
      </c>
      <c r="F9" s="3"/>
    </row>
    <row r="10" spans="1:6" ht="15">
      <c r="A10" s="6"/>
      <c r="B10" s="5" t="str">
        <f>IF((inputPrYr!$B21&gt;"  "),(inputPrYr!$B21),"  ")</f>
        <v>  </v>
      </c>
      <c r="C10" s="52"/>
      <c r="D10" s="42">
        <f>IF(C10&gt;0,C10/$D$17,"")</f>
      </c>
      <c r="E10" s="31">
        <f>IF(C10&gt;0,ROUND(D10*$D$21,0),"")</f>
      </c>
      <c r="F10" s="3"/>
    </row>
    <row r="11" spans="1:6" ht="15">
      <c r="A11" s="6"/>
      <c r="B11" s="5" t="str">
        <f>IF((inputPrYr!$B22&gt;"  "),(inputPrYr!$B22),"  ")</f>
        <v>  </v>
      </c>
      <c r="C11" s="52"/>
      <c r="D11" s="42">
        <f>IF(C11&gt;0,C11/$D$17,"")</f>
      </c>
      <c r="E11" s="31">
        <f>IF(C11&gt;0,ROUND(D11*$D$21,0),"")</f>
      </c>
      <c r="F11" s="3"/>
    </row>
    <row r="12" spans="1:6" ht="15.75" thickBot="1">
      <c r="A12" s="6"/>
      <c r="B12" s="15" t="s">
        <v>65</v>
      </c>
      <c r="C12" s="32">
        <f>SUM(C7:C11)</f>
        <v>11788</v>
      </c>
      <c r="D12" s="43">
        <f>SUM(D7:D11)</f>
        <v>42.811123338018305</v>
      </c>
      <c r="E12" s="32">
        <f>SUM(E7:E11)</f>
        <v>1219</v>
      </c>
      <c r="F12" s="3"/>
    </row>
    <row r="13" spans="1:6" ht="15.75" thickTop="1">
      <c r="A13" s="6"/>
      <c r="B13" s="6"/>
      <c r="C13" s="6"/>
      <c r="D13" s="6"/>
      <c r="E13" s="6"/>
      <c r="F13" s="3"/>
    </row>
    <row r="14" spans="1:6" ht="15">
      <c r="A14" s="6"/>
      <c r="B14" s="6"/>
      <c r="C14" s="6"/>
      <c r="D14" s="6"/>
      <c r="E14" s="6"/>
      <c r="F14" s="3"/>
    </row>
    <row r="15" spans="1:6" ht="15">
      <c r="A15" s="483" t="str">
        <f>CONCATENATE("",F1-1," July 1 Valuation:")</f>
        <v>2011 July 1 Valuation:</v>
      </c>
      <c r="B15" s="482"/>
      <c r="C15" s="483"/>
      <c r="D15" s="40">
        <f>inputOth!E7</f>
        <v>275349</v>
      </c>
      <c r="E15" s="6"/>
      <c r="F15" s="3"/>
    </row>
    <row r="16" spans="1:6" ht="15">
      <c r="A16" s="6"/>
      <c r="B16" s="6"/>
      <c r="C16" s="6"/>
      <c r="D16" s="6"/>
      <c r="E16" s="6"/>
      <c r="F16" s="3"/>
    </row>
    <row r="17" spans="1:6" ht="15">
      <c r="A17" s="6"/>
      <c r="B17" s="483" t="s">
        <v>192</v>
      </c>
      <c r="C17" s="483"/>
      <c r="D17" s="47">
        <f>IF(D15&gt;0,(D15*0.001),"")</f>
        <v>275.349</v>
      </c>
      <c r="E17" s="6"/>
      <c r="F17" s="3"/>
    </row>
    <row r="18" spans="1:6" ht="15">
      <c r="A18" s="6"/>
      <c r="B18" s="17"/>
      <c r="C18" s="17"/>
      <c r="D18" s="48"/>
      <c r="E18" s="6"/>
      <c r="F18" s="3"/>
    </row>
    <row r="19" spans="1:6" ht="15">
      <c r="A19" s="481" t="s">
        <v>193</v>
      </c>
      <c r="B19" s="480"/>
      <c r="C19" s="480"/>
      <c r="D19" s="49">
        <f>inputOth!E17</f>
        <v>28462</v>
      </c>
      <c r="E19" s="29"/>
      <c r="F19" s="29"/>
    </row>
    <row r="20" spans="1:6" ht="15">
      <c r="A20" s="29"/>
      <c r="B20" s="29"/>
      <c r="C20" s="29"/>
      <c r="D20" s="50"/>
      <c r="E20" s="29"/>
      <c r="F20" s="29"/>
    </row>
    <row r="21" spans="1:6" ht="15">
      <c r="A21" s="29"/>
      <c r="B21" s="481" t="s">
        <v>194</v>
      </c>
      <c r="C21" s="482"/>
      <c r="D21" s="51">
        <f>IF(D19&gt;0,(D19*0.001),"")</f>
        <v>28.462</v>
      </c>
      <c r="E21" s="29"/>
      <c r="F21" s="29"/>
    </row>
    <row r="22" spans="1:6" ht="15">
      <c r="A22" s="29"/>
      <c r="B22" s="29"/>
      <c r="C22" s="29"/>
      <c r="D22" s="29"/>
      <c r="E22" s="29"/>
      <c r="F22" s="29"/>
    </row>
    <row r="23" spans="1:6" ht="15">
      <c r="A23" s="29"/>
      <c r="B23" s="29"/>
      <c r="C23" s="29"/>
      <c r="D23" s="29"/>
      <c r="E23" s="29"/>
      <c r="F23" s="29"/>
    </row>
    <row r="24" spans="1:6" ht="15">
      <c r="A24" s="255" t="str">
        <f>CONCATENATE("**This information comes from the ",F1," Budget Summary page.  See instructions tab #12 for completing")</f>
        <v>**This information comes from the 2012 Budget Summary page.  See instructions tab #12 for completing</v>
      </c>
      <c r="B24" s="29"/>
      <c r="C24" s="29"/>
      <c r="D24" s="29"/>
      <c r="E24" s="29"/>
      <c r="F24" s="29"/>
    </row>
    <row r="25" spans="1:6" ht="15">
      <c r="A25" s="255" t="s">
        <v>206</v>
      </c>
      <c r="B25" s="29"/>
      <c r="C25" s="29"/>
      <c r="D25" s="29"/>
      <c r="E25" s="29"/>
      <c r="F25" s="29"/>
    </row>
    <row r="26" spans="1:6" ht="15">
      <c r="A26" s="255"/>
      <c r="B26" s="29"/>
      <c r="C26" s="29"/>
      <c r="D26" s="29"/>
      <c r="E26" s="29"/>
      <c r="F26" s="29"/>
    </row>
    <row r="27" spans="1:6" ht="15">
      <c r="A27" s="255"/>
      <c r="B27" s="29"/>
      <c r="C27" s="29"/>
      <c r="D27" s="29"/>
      <c r="E27" s="29"/>
      <c r="F27" s="29"/>
    </row>
    <row r="28" spans="1:6" ht="15">
      <c r="A28" s="29"/>
      <c r="B28" s="29"/>
      <c r="C28" s="29"/>
      <c r="D28" s="29"/>
      <c r="E28" s="29"/>
      <c r="F28" s="50"/>
    </row>
    <row r="29" spans="1:6" ht="15">
      <c r="A29" s="29"/>
      <c r="B29" s="29"/>
      <c r="C29" s="29"/>
      <c r="D29" s="29"/>
      <c r="E29" s="29"/>
      <c r="F29" s="29"/>
    </row>
    <row r="30" spans="1:6" ht="15">
      <c r="A30" s="29"/>
      <c r="B30" s="29"/>
      <c r="C30" s="29"/>
      <c r="D30" s="29"/>
      <c r="E30" s="29"/>
      <c r="F30" s="29"/>
    </row>
    <row r="31" spans="1:6" ht="15">
      <c r="A31" s="29"/>
      <c r="B31" s="29"/>
      <c r="C31" s="29"/>
      <c r="D31" s="29"/>
      <c r="E31" s="29"/>
      <c r="F31" s="29"/>
    </row>
    <row r="32" spans="1:6" ht="15">
      <c r="A32" s="29"/>
      <c r="B32" s="29"/>
      <c r="C32" s="29"/>
      <c r="D32" s="29"/>
      <c r="E32" s="29"/>
      <c r="F32" s="29"/>
    </row>
    <row r="33" spans="1:6" ht="15">
      <c r="A33" s="29"/>
      <c r="B33" s="29"/>
      <c r="C33" s="29"/>
      <c r="D33" s="29"/>
      <c r="E33" s="29"/>
      <c r="F33" s="29"/>
    </row>
    <row r="34" spans="1:6" ht="15">
      <c r="A34" s="29"/>
      <c r="B34" s="29"/>
      <c r="C34" s="29"/>
      <c r="D34" s="29"/>
      <c r="E34" s="29"/>
      <c r="F34" s="29"/>
    </row>
    <row r="35" spans="1:6" ht="15">
      <c r="A35" s="29"/>
      <c r="B35" s="29"/>
      <c r="C35" s="29"/>
      <c r="D35" s="29"/>
      <c r="E35" s="29"/>
      <c r="F35" s="29"/>
    </row>
    <row r="36" spans="1:6" ht="15">
      <c r="A36" s="29"/>
      <c r="B36" s="29"/>
      <c r="C36" s="29"/>
      <c r="D36" s="29"/>
      <c r="E36" s="29"/>
      <c r="F36" s="29"/>
    </row>
    <row r="37" spans="1:6" ht="15">
      <c r="A37" s="29"/>
      <c r="B37" s="29"/>
      <c r="C37" s="29"/>
      <c r="D37" s="29"/>
      <c r="E37" s="29"/>
      <c r="F37" s="29"/>
    </row>
    <row r="38" spans="1:6" ht="15">
      <c r="A38" s="29"/>
      <c r="B38" s="29"/>
      <c r="C38" s="29"/>
      <c r="D38" s="29"/>
      <c r="E38" s="29"/>
      <c r="F38" s="29"/>
    </row>
    <row r="39" spans="1:6" ht="15">
      <c r="A39" s="29"/>
      <c r="B39" s="29"/>
      <c r="C39" s="29"/>
      <c r="D39" s="29"/>
      <c r="E39" s="29"/>
      <c r="F39" s="29"/>
    </row>
    <row r="40" spans="1:6" ht="15">
      <c r="A40" s="29"/>
      <c r="B40" s="29"/>
      <c r="C40" s="29"/>
      <c r="D40" s="29"/>
      <c r="E40" s="29"/>
      <c r="F40" s="29"/>
    </row>
    <row r="41" spans="1:6" ht="15">
      <c r="A41" s="29"/>
      <c r="B41" s="29"/>
      <c r="C41" s="29"/>
      <c r="D41" s="29"/>
      <c r="E41" s="29"/>
      <c r="F41" s="29"/>
    </row>
    <row r="42" spans="1:6" ht="15">
      <c r="A42" s="29"/>
      <c r="B42" s="29"/>
      <c r="C42" s="29"/>
      <c r="D42" s="29"/>
      <c r="E42" s="29"/>
      <c r="F42" s="29"/>
    </row>
    <row r="43" spans="1:6" ht="15">
      <c r="A43" s="29"/>
      <c r="B43" s="29"/>
      <c r="C43" s="29"/>
      <c r="D43" s="29"/>
      <c r="E43" s="29"/>
      <c r="F43" s="29"/>
    </row>
    <row r="44" spans="1:6" ht="15">
      <c r="A44" s="29"/>
      <c r="B44" s="29"/>
      <c r="C44" s="29"/>
      <c r="D44" s="29"/>
      <c r="E44" s="29"/>
      <c r="F44" s="29"/>
    </row>
    <row r="45" spans="1:6" ht="15">
      <c r="A45" s="29"/>
      <c r="B45" s="29"/>
      <c r="C45" s="29"/>
      <c r="D45" s="29"/>
      <c r="E45" s="29"/>
      <c r="F45" s="29"/>
    </row>
    <row r="46" spans="1:6" ht="15">
      <c r="A46" s="29"/>
      <c r="B46" s="29"/>
      <c r="C46" s="29"/>
      <c r="D46" s="29"/>
      <c r="E46" s="29"/>
      <c r="F46" s="29"/>
    </row>
    <row r="47" spans="1:6" ht="15">
      <c r="A47" s="29"/>
      <c r="B47" s="29"/>
      <c r="C47" s="29"/>
      <c r="D47" s="29"/>
      <c r="E47" s="29"/>
      <c r="F47" s="29"/>
    </row>
    <row r="48" spans="1:6" ht="15">
      <c r="A48" s="29"/>
      <c r="B48" s="29"/>
      <c r="C48" s="29"/>
      <c r="D48" s="29"/>
      <c r="E48" s="29"/>
      <c r="F48" s="29"/>
    </row>
    <row r="49" spans="1:6" ht="15">
      <c r="A49" s="29"/>
      <c r="B49" s="29"/>
      <c r="C49" s="29"/>
      <c r="D49" s="29"/>
      <c r="E49" s="29"/>
      <c r="F49" s="29"/>
    </row>
    <row r="50" spans="1:6" ht="15">
      <c r="A50" s="29"/>
      <c r="B50" s="29"/>
      <c r="C50" s="29"/>
      <c r="D50" s="29"/>
      <c r="E50" s="29"/>
      <c r="F50" s="29"/>
    </row>
    <row r="51" spans="1:6" ht="15">
      <c r="A51" s="29"/>
      <c r="B51" s="41" t="s">
        <v>80</v>
      </c>
      <c r="C51" s="383">
        <v>8</v>
      </c>
      <c r="D51" s="29"/>
      <c r="E51" s="29"/>
      <c r="F51" s="29"/>
    </row>
  </sheetData>
  <sheetProtection/>
  <mergeCells count="5">
    <mergeCell ref="B4:E4"/>
    <mergeCell ref="B21:C21"/>
    <mergeCell ref="A15:C15"/>
    <mergeCell ref="B17:C17"/>
    <mergeCell ref="A19:C19"/>
  </mergeCells>
  <printOptions/>
  <pageMargins left="0.5" right="0.5" top="0.5" bottom="0.5" header="0" footer="0.5"/>
  <pageSetup blackAndWhite="1" fitToHeight="1" fitToWidth="1" horizontalDpi="600" verticalDpi="600" orientation="portrait" scale="94" r:id="rId1"/>
  <headerFooter alignWithMargins="0">
    <oddHeader>&amp;R&amp;10State of Kansas
City</oddHeader>
  </headerFooter>
</worksheet>
</file>

<file path=xl/worksheets/sheet12.xml><?xml version="1.0" encoding="utf-8"?>
<worksheet xmlns="http://schemas.openxmlformats.org/spreadsheetml/2006/main" xmlns:r="http://schemas.openxmlformats.org/officeDocument/2006/relationships">
  <dimension ref="A1:N43"/>
  <sheetViews>
    <sheetView zoomScalePageLayoutView="0" workbookViewId="0" topLeftCell="A1">
      <selection activeCell="C12" sqref="C12"/>
    </sheetView>
  </sheetViews>
  <sheetFormatPr defaultColWidth="8.796875" defaultRowHeight="15"/>
  <sheetData>
    <row r="1" spans="1:7" ht="16.5" customHeight="1">
      <c r="A1" s="486" t="s">
        <v>167</v>
      </c>
      <c r="B1" s="486"/>
      <c r="C1" s="486"/>
      <c r="D1" s="486"/>
      <c r="E1" s="486"/>
      <c r="F1" s="486"/>
      <c r="G1" s="486"/>
    </row>
    <row r="2" spans="1:7" ht="16.5" customHeight="1">
      <c r="A2" s="486"/>
      <c r="B2" s="486"/>
      <c r="C2" s="486"/>
      <c r="D2" s="486"/>
      <c r="E2" s="486"/>
      <c r="F2" s="486"/>
      <c r="G2" s="486"/>
    </row>
    <row r="3" spans="1:7" ht="16.5" customHeight="1">
      <c r="A3" s="487"/>
      <c r="B3" s="487"/>
      <c r="C3" s="487"/>
      <c r="D3" s="487"/>
      <c r="E3" s="487"/>
      <c r="F3" s="487"/>
      <c r="G3" s="487"/>
    </row>
    <row r="4" spans="1:7" ht="16.5" customHeight="1">
      <c r="A4" s="484" t="str">
        <f>CONCATENATE("AN ORDINANCE ATTESTING TO AN INCREASE IN TAX REVENUES FOR BUDGET YEAR ",(inputPrYr!$C$5)," FOR THE ",(inputPrYr!$D$2))</f>
        <v>AN ORDINANCE ATTESTING TO AN INCREASE IN TAX REVENUES FOR BUDGET YEAR 2012 FOR THE City of Athol</v>
      </c>
      <c r="B4" s="484"/>
      <c r="C4" s="484"/>
      <c r="D4" s="484"/>
      <c r="E4" s="484"/>
      <c r="F4" s="484"/>
      <c r="G4" s="484"/>
    </row>
    <row r="5" spans="1:7" ht="16.5" customHeight="1">
      <c r="A5" s="484"/>
      <c r="B5" s="484"/>
      <c r="C5" s="484"/>
      <c r="D5" s="484"/>
      <c r="E5" s="484"/>
      <c r="F5" s="484"/>
      <c r="G5" s="484"/>
    </row>
    <row r="6" spans="1:7" ht="16.5" customHeight="1">
      <c r="A6" s="486"/>
      <c r="B6" s="486"/>
      <c r="C6" s="486"/>
      <c r="D6" s="486"/>
      <c r="E6" s="486"/>
      <c r="F6" s="486"/>
      <c r="G6" s="486"/>
    </row>
    <row r="7" spans="1:14" ht="16.5" customHeight="1">
      <c r="A7" s="484" t="str">
        <f>CONCATENATE("WHEREAS, the  ",(inputPrYr!$D$2)," must continue to provide services to protect the health, safety, and welfare of the citizens of this community; and")</f>
        <v>WHEREAS, the  City of Athol must continue to provide services to protect the health, safety, and welfare of the citizens of this community; and</v>
      </c>
      <c r="B7" s="484"/>
      <c r="C7" s="484"/>
      <c r="D7" s="484"/>
      <c r="E7" s="484"/>
      <c r="F7" s="484"/>
      <c r="G7" s="484"/>
      <c r="H7" s="25"/>
      <c r="I7" s="25"/>
      <c r="J7" s="25"/>
      <c r="K7" s="25"/>
      <c r="L7" s="25"/>
      <c r="M7" s="25"/>
      <c r="N7" s="25"/>
    </row>
    <row r="8" spans="1:14" ht="16.5" customHeight="1">
      <c r="A8" s="484"/>
      <c r="B8" s="484"/>
      <c r="C8" s="484"/>
      <c r="D8" s="484"/>
      <c r="E8" s="484"/>
      <c r="F8" s="484"/>
      <c r="G8" s="484"/>
      <c r="H8" s="25"/>
      <c r="I8" s="25"/>
      <c r="J8" s="25"/>
      <c r="K8" s="25"/>
      <c r="L8" s="25"/>
      <c r="M8" s="25"/>
      <c r="N8" s="25"/>
    </row>
    <row r="9" spans="1:7" ht="16.5" customHeight="1">
      <c r="A9" s="34"/>
      <c r="B9" s="34"/>
      <c r="C9" s="34"/>
      <c r="D9" s="34"/>
      <c r="E9" s="34"/>
      <c r="F9" s="34"/>
      <c r="G9" s="34"/>
    </row>
    <row r="10" spans="1:7" ht="16.5" customHeight="1">
      <c r="A10" s="484" t="s">
        <v>168</v>
      </c>
      <c r="B10" s="484"/>
      <c r="C10" s="484"/>
      <c r="D10" s="484"/>
      <c r="E10" s="484"/>
      <c r="F10" s="484"/>
      <c r="G10" s="484"/>
    </row>
    <row r="11" spans="1:7" ht="16.5" customHeight="1">
      <c r="A11" s="484"/>
      <c r="B11" s="484"/>
      <c r="C11" s="484"/>
      <c r="D11" s="484"/>
      <c r="E11" s="484"/>
      <c r="F11" s="484"/>
      <c r="G11" s="484"/>
    </row>
    <row r="12" spans="1:7" ht="16.5" customHeight="1">
      <c r="A12" s="34"/>
      <c r="B12" s="34"/>
      <c r="C12" s="34"/>
      <c r="D12" s="34"/>
      <c r="E12" s="34"/>
      <c r="F12" s="34"/>
      <c r="G12" s="34"/>
    </row>
    <row r="13" spans="1:14" ht="16.5" customHeight="1">
      <c r="A13" s="484" t="str">
        <f>CONCATENATE("NOW THEREFORE, be it ordained by the Governing Body of the ",(inputPrYr!$D$2),":")</f>
        <v>NOW THEREFORE, be it ordained by the Governing Body of the City of Athol:</v>
      </c>
      <c r="B13" s="484"/>
      <c r="C13" s="484"/>
      <c r="D13" s="484"/>
      <c r="E13" s="484"/>
      <c r="F13" s="484"/>
      <c r="G13" s="484"/>
      <c r="H13" s="25"/>
      <c r="I13" s="25"/>
      <c r="J13" s="25"/>
      <c r="K13" s="25"/>
      <c r="L13" s="25"/>
      <c r="M13" s="25"/>
      <c r="N13" s="25"/>
    </row>
    <row r="14" spans="1:14" ht="16.5" customHeight="1">
      <c r="A14" s="484"/>
      <c r="B14" s="484"/>
      <c r="C14" s="484"/>
      <c r="D14" s="484"/>
      <c r="E14" s="484"/>
      <c r="F14" s="484"/>
      <c r="G14" s="484"/>
      <c r="H14" s="25"/>
      <c r="I14" s="25"/>
      <c r="J14" s="25"/>
      <c r="K14" s="25"/>
      <c r="L14" s="25"/>
      <c r="M14" s="25"/>
      <c r="N14" s="25"/>
    </row>
    <row r="15" spans="1:14" ht="16.5" customHeight="1">
      <c r="A15" s="48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Athol  has scheduled a public hearing and has prepared the proposed budget necessary to fund city services from January 1, 2012 until December 31, 2012.</v>
      </c>
      <c r="B15" s="484"/>
      <c r="C15" s="484"/>
      <c r="D15" s="484"/>
      <c r="E15" s="484"/>
      <c r="F15" s="484"/>
      <c r="G15" s="484"/>
      <c r="H15" s="25"/>
      <c r="I15" s="25"/>
      <c r="J15" s="25"/>
      <c r="K15" s="25"/>
      <c r="L15" s="25"/>
      <c r="M15" s="25"/>
      <c r="N15" s="25"/>
    </row>
    <row r="16" spans="1:14" ht="16.5" customHeight="1">
      <c r="A16" s="484"/>
      <c r="B16" s="484"/>
      <c r="C16" s="484"/>
      <c r="D16" s="484"/>
      <c r="E16" s="484"/>
      <c r="F16" s="484"/>
      <c r="G16" s="484"/>
      <c r="H16" s="25"/>
      <c r="I16" s="25"/>
      <c r="J16" s="25"/>
      <c r="K16" s="25"/>
      <c r="L16" s="25"/>
      <c r="M16" s="25"/>
      <c r="N16" s="25"/>
    </row>
    <row r="17" spans="1:14" ht="16.5" customHeight="1">
      <c r="A17" s="484"/>
      <c r="B17" s="484"/>
      <c r="C17" s="484"/>
      <c r="D17" s="484"/>
      <c r="E17" s="484"/>
      <c r="F17" s="484"/>
      <c r="G17" s="484"/>
      <c r="H17" s="26"/>
      <c r="I17" s="26"/>
      <c r="J17" s="26"/>
      <c r="K17" s="26"/>
      <c r="L17" s="26"/>
      <c r="M17" s="26"/>
      <c r="N17" s="26"/>
    </row>
    <row r="18" spans="1:7" ht="16.5" customHeight="1">
      <c r="A18" s="35"/>
      <c r="B18" s="35"/>
      <c r="C18" s="35"/>
      <c r="D18" s="35"/>
      <c r="E18" s="35"/>
      <c r="F18" s="35"/>
      <c r="G18" s="35"/>
    </row>
    <row r="19" spans="1:7" ht="16.5" customHeight="1">
      <c r="A19" s="36" t="s">
        <v>30</v>
      </c>
      <c r="B19" s="36"/>
      <c r="C19" s="36"/>
      <c r="D19" s="36"/>
      <c r="E19" s="36"/>
      <c r="F19" s="36"/>
      <c r="G19" s="36"/>
    </row>
    <row r="20" spans="1:7" ht="16.5" customHeight="1">
      <c r="A20" s="36" t="s">
        <v>31</v>
      </c>
      <c r="B20" s="36"/>
      <c r="C20" s="36"/>
      <c r="D20" s="36"/>
      <c r="E20" s="36"/>
      <c r="F20" s="36"/>
      <c r="G20" s="36"/>
    </row>
    <row r="21" spans="1:7" ht="16.5" customHeight="1">
      <c r="A21" s="33" t="str">
        <f>CONCATENATE("necessary to budget property tax revenues in an amount exceeding the levy in the ",inputPrYr!$C$5-1,"")</f>
        <v>necessary to budget property tax revenues in an amount exceeding the levy in the 2011</v>
      </c>
      <c r="B21" s="33"/>
      <c r="C21" s="33"/>
      <c r="D21" s="33"/>
      <c r="E21" s="33"/>
      <c r="F21" s="33"/>
      <c r="G21" s="33"/>
    </row>
    <row r="22" spans="1:7" ht="16.5" customHeight="1">
      <c r="A22" s="33" t="s">
        <v>32</v>
      </c>
      <c r="B22" s="33"/>
      <c r="C22" s="33"/>
      <c r="D22" s="33"/>
      <c r="E22" s="33"/>
      <c r="F22" s="33"/>
      <c r="G22" s="33"/>
    </row>
    <row r="23" spans="1:7" ht="16.5" customHeight="1">
      <c r="A23" s="35"/>
      <c r="B23" s="35"/>
      <c r="C23" s="35"/>
      <c r="D23" s="35"/>
      <c r="E23" s="35"/>
      <c r="F23" s="35"/>
      <c r="G23" s="35"/>
    </row>
    <row r="24" spans="1:7" ht="16.5" customHeight="1">
      <c r="A24" s="484" t="s">
        <v>169</v>
      </c>
      <c r="B24" s="484"/>
      <c r="C24" s="484"/>
      <c r="D24" s="484"/>
      <c r="E24" s="484"/>
      <c r="F24" s="484"/>
      <c r="G24" s="484"/>
    </row>
    <row r="25" spans="1:7" ht="16.5" customHeight="1">
      <c r="A25" s="484"/>
      <c r="B25" s="484"/>
      <c r="C25" s="484"/>
      <c r="D25" s="484"/>
      <c r="E25" s="484"/>
      <c r="F25" s="484"/>
      <c r="G25" s="484"/>
    </row>
    <row r="26" spans="1:7" ht="16.5" customHeight="1">
      <c r="A26" s="35"/>
      <c r="B26" s="35"/>
      <c r="C26" s="35"/>
      <c r="D26" s="35"/>
      <c r="E26" s="35"/>
      <c r="F26" s="35"/>
      <c r="G26" s="35"/>
    </row>
    <row r="27" spans="1:7" ht="16.5" customHeight="1">
      <c r="A27" s="484" t="str">
        <f>CONCATENATE("Passed and approved by the Governing Body on this ______ day of __________, ",(inputPrYr!$C$5-1),".")</f>
        <v>Passed and approved by the Governing Body on this ______ day of __________, 2011.</v>
      </c>
      <c r="B27" s="484"/>
      <c r="C27" s="484"/>
      <c r="D27" s="484"/>
      <c r="E27" s="484"/>
      <c r="F27" s="484"/>
      <c r="G27" s="484"/>
    </row>
    <row r="28" spans="1:7" ht="16.5" customHeight="1">
      <c r="A28" s="484"/>
      <c r="B28" s="484"/>
      <c r="C28" s="484"/>
      <c r="D28" s="484"/>
      <c r="E28" s="484"/>
      <c r="F28" s="484"/>
      <c r="G28" s="484"/>
    </row>
    <row r="29" spans="1:7" ht="16.5" customHeight="1">
      <c r="A29" s="37"/>
      <c r="B29" s="1"/>
      <c r="C29" s="1"/>
      <c r="D29" s="1"/>
      <c r="E29" s="1"/>
      <c r="F29" s="1"/>
      <c r="G29" s="1"/>
    </row>
    <row r="30" spans="1:7" ht="16.5" customHeight="1">
      <c r="A30" s="485" t="s">
        <v>170</v>
      </c>
      <c r="B30" s="485"/>
      <c r="C30" s="485"/>
      <c r="D30" s="485"/>
      <c r="E30" s="485"/>
      <c r="F30" s="485"/>
      <c r="G30" s="485"/>
    </row>
    <row r="31" spans="1:7" ht="16.5" customHeight="1">
      <c r="A31" s="485" t="s">
        <v>171</v>
      </c>
      <c r="B31" s="485"/>
      <c r="C31" s="485"/>
      <c r="D31" s="485"/>
      <c r="E31" s="485"/>
      <c r="F31" s="485"/>
      <c r="G31" s="485"/>
    </row>
    <row r="32" spans="1:7" ht="16.5" customHeight="1">
      <c r="A32" s="37" t="s">
        <v>172</v>
      </c>
      <c r="B32" s="1"/>
      <c r="C32" s="1"/>
      <c r="D32" s="1"/>
      <c r="E32" s="1"/>
      <c r="F32" s="1"/>
      <c r="G32" s="1"/>
    </row>
    <row r="33" spans="1:7" ht="16.5" customHeight="1">
      <c r="A33" s="1"/>
      <c r="B33" s="37" t="s">
        <v>173</v>
      </c>
      <c r="C33" s="1"/>
      <c r="D33" s="1"/>
      <c r="E33" s="1"/>
      <c r="F33" s="1"/>
      <c r="G33" s="1"/>
    </row>
    <row r="34" spans="1:7" ht="16.5" customHeight="1">
      <c r="A34" s="37"/>
      <c r="B34" s="1"/>
      <c r="C34" s="1"/>
      <c r="D34" s="1"/>
      <c r="E34" s="1"/>
      <c r="F34" s="1"/>
      <c r="G34" s="1"/>
    </row>
    <row r="35" spans="1:7" ht="16.5" customHeight="1">
      <c r="A35" s="37"/>
      <c r="B35" s="1"/>
      <c r="C35" s="1"/>
      <c r="D35" s="1"/>
      <c r="E35" s="1"/>
      <c r="F35" s="1"/>
      <c r="G35" s="1"/>
    </row>
    <row r="36" spans="1:7" ht="16.5" customHeight="1">
      <c r="A36" s="37" t="s">
        <v>174</v>
      </c>
      <c r="B36" s="1"/>
      <c r="C36" s="1"/>
      <c r="D36" s="1"/>
      <c r="E36" s="1"/>
      <c r="F36" s="1"/>
      <c r="G36" s="1"/>
    </row>
    <row r="37" spans="1:7" ht="16.5" customHeight="1">
      <c r="A37" s="37"/>
      <c r="B37" s="1"/>
      <c r="C37" s="1"/>
      <c r="D37" s="1"/>
      <c r="E37" s="1"/>
      <c r="F37" s="1"/>
      <c r="G37" s="1"/>
    </row>
    <row r="38" spans="1:7" ht="16.5" customHeight="1">
      <c r="A38" s="37"/>
      <c r="B38" s="1"/>
      <c r="C38" s="1"/>
      <c r="D38" s="1"/>
      <c r="E38" s="1"/>
      <c r="F38" s="1"/>
      <c r="G38" s="1"/>
    </row>
    <row r="39" spans="1:7" ht="16.5" customHeight="1">
      <c r="A39" s="37" t="s">
        <v>175</v>
      </c>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sheetData>
  <sheetProtection/>
  <mergeCells count="13">
    <mergeCell ref="A10:G11"/>
    <mergeCell ref="A6:G6"/>
    <mergeCell ref="A13:G14"/>
    <mergeCell ref="A15:G17"/>
    <mergeCell ref="A24:G25"/>
    <mergeCell ref="A30:G30"/>
    <mergeCell ref="A31:G31"/>
    <mergeCell ref="A27:G28"/>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6">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E15" sqref="E15"/>
    </sheetView>
  </sheetViews>
  <sheetFormatPr defaultColWidth="8.8984375" defaultRowHeight="15"/>
  <cols>
    <col min="1" max="1" width="15.69921875" style="118" customWidth="1"/>
    <col min="2" max="2" width="20.69921875" style="118" customWidth="1"/>
    <col min="3" max="3" width="9.69921875" style="118" customWidth="1"/>
    <col min="4" max="4" width="15.09765625" style="118" customWidth="1"/>
    <col min="5" max="5" width="15.69921875" style="118" customWidth="1"/>
    <col min="6" max="16384" width="8.8984375" style="118" customWidth="1"/>
  </cols>
  <sheetData>
    <row r="1" spans="1:5" ht="15">
      <c r="A1" s="119" t="str">
        <f>inputPrYr!$D$2</f>
        <v>City of Athol</v>
      </c>
      <c r="B1" s="120"/>
      <c r="C1" s="120"/>
      <c r="D1" s="120"/>
      <c r="E1" s="121">
        <f>inputPrYr!C5</f>
        <v>2012</v>
      </c>
    </row>
    <row r="2" spans="1:5" ht="15">
      <c r="A2" s="120"/>
      <c r="B2" s="120"/>
      <c r="C2" s="120"/>
      <c r="D2" s="120"/>
      <c r="E2" s="120"/>
    </row>
    <row r="3" spans="1:5" ht="15">
      <c r="A3" s="427" t="s">
        <v>8</v>
      </c>
      <c r="B3" s="428"/>
      <c r="C3" s="428"/>
      <c r="D3" s="428"/>
      <c r="E3" s="428"/>
    </row>
    <row r="4" spans="1:5" ht="15">
      <c r="A4" s="67"/>
      <c r="B4" s="67"/>
      <c r="C4" s="67"/>
      <c r="D4" s="67"/>
      <c r="E4" s="67"/>
    </row>
    <row r="5" spans="1:5" ht="15">
      <c r="A5" s="67"/>
      <c r="B5" s="67"/>
      <c r="C5" s="67"/>
      <c r="D5" s="67"/>
      <c r="E5" s="67"/>
    </row>
    <row r="6" spans="1:5" ht="15">
      <c r="A6" s="70" t="s">
        <v>45</v>
      </c>
      <c r="B6" s="71"/>
      <c r="C6" s="56"/>
      <c r="D6" s="56"/>
      <c r="E6" s="80"/>
    </row>
    <row r="7" spans="1:5" ht="15">
      <c r="A7" s="122" t="str">
        <f>CONCATENATE("Total Assessed Valuation for ",E1-1,"")</f>
        <v>Total Assessed Valuation for 2011</v>
      </c>
      <c r="B7" s="107"/>
      <c r="C7" s="107"/>
      <c r="D7" s="107"/>
      <c r="E7" s="79">
        <v>275349</v>
      </c>
    </row>
    <row r="8" spans="1:5" ht="15">
      <c r="A8" s="122" t="str">
        <f>CONCATENATE("New Improvements for ",E1-1,"")</f>
        <v>New Improvements for 2011</v>
      </c>
      <c r="B8" s="107"/>
      <c r="C8" s="107"/>
      <c r="D8" s="107"/>
      <c r="E8" s="123">
        <v>97</v>
      </c>
    </row>
    <row r="9" spans="1:5" ht="15">
      <c r="A9" s="122" t="str">
        <f>CONCATENATE("Personal Property excluding oil, gas, and mobile homes  - ",E1-1,"")</f>
        <v>Personal Property excluding oil, gas, and mobile homes  - 2011</v>
      </c>
      <c r="B9" s="107"/>
      <c r="C9" s="107"/>
      <c r="D9" s="107"/>
      <c r="E9" s="123">
        <v>18336</v>
      </c>
    </row>
    <row r="10" spans="1:5" ht="15">
      <c r="A10" s="124" t="s">
        <v>161</v>
      </c>
      <c r="B10" s="107"/>
      <c r="C10" s="107"/>
      <c r="D10" s="107"/>
      <c r="E10" s="100"/>
    </row>
    <row r="11" spans="1:5" ht="15">
      <c r="A11" s="122" t="s">
        <v>151</v>
      </c>
      <c r="B11" s="107"/>
      <c r="C11" s="107"/>
      <c r="D11" s="107"/>
      <c r="E11" s="123">
        <v>0</v>
      </c>
    </row>
    <row r="12" spans="1:5" ht="15">
      <c r="A12" s="122" t="s">
        <v>152</v>
      </c>
      <c r="B12" s="107"/>
      <c r="C12" s="107"/>
      <c r="D12" s="107"/>
      <c r="E12" s="123">
        <v>0</v>
      </c>
    </row>
    <row r="13" spans="1:5" ht="15">
      <c r="A13" s="122" t="s">
        <v>153</v>
      </c>
      <c r="B13" s="107"/>
      <c r="C13" s="107"/>
      <c r="D13" s="107"/>
      <c r="E13" s="123">
        <v>0</v>
      </c>
    </row>
    <row r="14" spans="1:5" ht="15">
      <c r="A14" s="122" t="str">
        <f>CONCATENATE("Property that has changed in use for ",E1-1,"")</f>
        <v>Property that has changed in use for 2011</v>
      </c>
      <c r="B14" s="107"/>
      <c r="C14" s="107"/>
      <c r="D14" s="107"/>
      <c r="E14" s="123">
        <v>510</v>
      </c>
    </row>
    <row r="15" spans="1:5" ht="15">
      <c r="A15" s="122" t="str">
        <f>CONCATENATE("Personal Property  excluding oil, gas, and mobile homes- ",E1-2,"")</f>
        <v>Personal Property  excluding oil, gas, and mobile homes- 2010</v>
      </c>
      <c r="B15" s="107"/>
      <c r="C15" s="107"/>
      <c r="D15" s="107"/>
      <c r="E15" s="123">
        <v>20936</v>
      </c>
    </row>
    <row r="16" spans="1:5" ht="15">
      <c r="A16" s="122" t="str">
        <f>CONCATENATE("Gross earnings (intangible) tax estimate for ",E1,"")</f>
        <v>Gross earnings (intangible) tax estimate for 2012</v>
      </c>
      <c r="B16" s="107"/>
      <c r="C16" s="107"/>
      <c r="D16" s="108"/>
      <c r="E16" s="79">
        <v>170</v>
      </c>
    </row>
    <row r="17" spans="1:5" ht="15">
      <c r="A17" s="122" t="s">
        <v>16</v>
      </c>
      <c r="B17" s="107"/>
      <c r="C17" s="107"/>
      <c r="D17" s="107"/>
      <c r="E17" s="115">
        <v>28462</v>
      </c>
    </row>
    <row r="18" spans="1:5" ht="15">
      <c r="A18" s="91"/>
      <c r="B18" s="88"/>
      <c r="C18" s="88"/>
      <c r="D18" s="88"/>
      <c r="E18" s="93"/>
    </row>
    <row r="19" spans="1:5" ht="15">
      <c r="A19" s="91" t="str">
        <f>CONCATENATE("Actual Tax Rates for the ",E1-1," Budget:")</f>
        <v>Actual Tax Rates for the 2011 Budget:</v>
      </c>
      <c r="B19" s="88"/>
      <c r="C19" s="88"/>
      <c r="D19" s="88"/>
      <c r="E19" s="93"/>
    </row>
    <row r="20" spans="1:5" ht="15">
      <c r="A20" s="431" t="s">
        <v>58</v>
      </c>
      <c r="B20" s="432"/>
      <c r="C20" s="120"/>
      <c r="D20" s="125" t="s">
        <v>98</v>
      </c>
      <c r="E20" s="93"/>
    </row>
    <row r="21" spans="1:5" ht="15">
      <c r="A21" s="83" t="str">
        <f>inputPrYr!B17</f>
        <v>General</v>
      </c>
      <c r="B21" s="84"/>
      <c r="C21" s="88"/>
      <c r="D21" s="126">
        <v>28.899</v>
      </c>
      <c r="E21" s="93"/>
    </row>
    <row r="22" spans="1:5" ht="15">
      <c r="A22" s="122" t="str">
        <f>inputPrYr!B19</f>
        <v>Noxious Weed</v>
      </c>
      <c r="B22" s="107"/>
      <c r="C22" s="88"/>
      <c r="D22" s="127">
        <v>8.764</v>
      </c>
      <c r="E22" s="93"/>
    </row>
    <row r="23" spans="1:5" ht="15">
      <c r="A23" s="122" t="str">
        <f>inputPrYr!B20</f>
        <v>Library</v>
      </c>
      <c r="B23" s="107"/>
      <c r="C23" s="88"/>
      <c r="D23" s="127">
        <v>8.497</v>
      </c>
      <c r="E23" s="93"/>
    </row>
    <row r="24" spans="1:5" ht="15">
      <c r="A24" s="122">
        <f>inputPrYr!B21</f>
        <v>0</v>
      </c>
      <c r="B24" s="107"/>
      <c r="C24" s="88"/>
      <c r="D24" s="127"/>
      <c r="E24" s="93"/>
    </row>
    <row r="25" spans="1:5" ht="15">
      <c r="A25" s="122">
        <f>inputPrYr!B22</f>
        <v>0</v>
      </c>
      <c r="B25" s="128"/>
      <c r="C25" s="88"/>
      <c r="D25" s="129"/>
      <c r="E25" s="93"/>
    </row>
    <row r="26" spans="1:5" ht="15">
      <c r="A26" s="130"/>
      <c r="B26" s="78" t="s">
        <v>44</v>
      </c>
      <c r="C26" s="131"/>
      <c r="D26" s="103">
        <f>SUM(D21:D25)</f>
        <v>46.16</v>
      </c>
      <c r="E26" s="130"/>
    </row>
    <row r="27" spans="1:5" ht="15">
      <c r="A27" s="130"/>
      <c r="B27" s="130"/>
      <c r="C27" s="130"/>
      <c r="D27" s="130"/>
      <c r="E27" s="130"/>
    </row>
    <row r="28" spans="1:5" ht="15">
      <c r="A28" s="84" t="str">
        <f>CONCATENATE("Final Assessed Valuation from the November 1, ",E1-2," Abstract")</f>
        <v>Final Assessed Valuation from the November 1, 2010 Abstract</v>
      </c>
      <c r="B28" s="132"/>
      <c r="C28" s="132"/>
      <c r="D28" s="132"/>
      <c r="E28" s="115">
        <v>281156</v>
      </c>
    </row>
    <row r="29" spans="1:5" ht="15">
      <c r="A29" s="130"/>
      <c r="B29" s="130"/>
      <c r="C29" s="130"/>
      <c r="D29" s="130"/>
      <c r="E29" s="130"/>
    </row>
    <row r="30" spans="1:5" ht="15">
      <c r="A30" s="133" t="s">
        <v>162</v>
      </c>
      <c r="B30" s="69"/>
      <c r="C30" s="69"/>
      <c r="D30" s="134"/>
      <c r="E30" s="80"/>
    </row>
    <row r="31" spans="1:5" ht="15">
      <c r="A31" s="83" t="s">
        <v>46</v>
      </c>
      <c r="B31" s="84"/>
      <c r="C31" s="84"/>
      <c r="D31" s="135"/>
      <c r="E31" s="79">
        <v>1706</v>
      </c>
    </row>
    <row r="32" spans="1:5" ht="15">
      <c r="A32" s="122" t="s">
        <v>47</v>
      </c>
      <c r="B32" s="107"/>
      <c r="C32" s="107"/>
      <c r="D32" s="136"/>
      <c r="E32" s="79">
        <v>58</v>
      </c>
    </row>
    <row r="33" spans="1:5" ht="15">
      <c r="A33" s="122" t="s">
        <v>106</v>
      </c>
      <c r="B33" s="107"/>
      <c r="C33" s="107"/>
      <c r="D33" s="136"/>
      <c r="E33" s="79">
        <v>134</v>
      </c>
    </row>
    <row r="34" spans="1:5" ht="15">
      <c r="A34" s="122" t="s">
        <v>33</v>
      </c>
      <c r="B34" s="107"/>
      <c r="C34" s="107"/>
      <c r="D34" s="136"/>
      <c r="E34" s="79"/>
    </row>
    <row r="35" spans="1:5" ht="15">
      <c r="A35" s="122" t="s">
        <v>36</v>
      </c>
      <c r="B35" s="107"/>
      <c r="C35" s="107"/>
      <c r="D35" s="136"/>
      <c r="E35" s="79"/>
    </row>
    <row r="36" spans="1:5" ht="15">
      <c r="A36" s="83" t="s">
        <v>34</v>
      </c>
      <c r="B36" s="84"/>
      <c r="C36" s="84"/>
      <c r="D36" s="135"/>
      <c r="E36" s="79"/>
    </row>
    <row r="37" spans="1:5" ht="15">
      <c r="A37" s="56" t="s">
        <v>140</v>
      </c>
      <c r="B37" s="56"/>
      <c r="C37" s="56"/>
      <c r="D37" s="56"/>
      <c r="E37" s="56"/>
    </row>
    <row r="38" spans="1:5" ht="15">
      <c r="A38" s="58" t="s">
        <v>64</v>
      </c>
      <c r="B38" s="65"/>
      <c r="C38" s="65"/>
      <c r="D38" s="56"/>
      <c r="E38" s="56"/>
    </row>
    <row r="39" spans="1:5" ht="15">
      <c r="A39" s="91" t="str">
        <f>CONCATENATE("Actual Delinquency for ",E1-3," Tax - (round to three decimal places)")</f>
        <v>Actual Delinquency for 2009 Tax - (round to three decimal places)</v>
      </c>
      <c r="B39" s="88"/>
      <c r="C39" s="56"/>
      <c r="D39" s="56"/>
      <c r="E39" s="364"/>
    </row>
    <row r="40" spans="1:5" ht="15">
      <c r="A40" s="91" t="s">
        <v>4</v>
      </c>
      <c r="B40" s="91"/>
      <c r="C40" s="88"/>
      <c r="D40" s="88"/>
      <c r="E40" s="267"/>
    </row>
    <row r="41" spans="1:5" ht="15">
      <c r="A41" s="137" t="s">
        <v>5</v>
      </c>
      <c r="B41" s="137"/>
      <c r="C41" s="138"/>
      <c r="D41" s="138"/>
      <c r="E41" s="139"/>
    </row>
    <row r="42" spans="1:5" ht="15">
      <c r="A42" s="56"/>
      <c r="B42" s="56"/>
      <c r="C42" s="56"/>
      <c r="D42" s="56"/>
      <c r="E42" s="56"/>
    </row>
    <row r="43" spans="1:5" ht="15">
      <c r="A43" s="140" t="s">
        <v>15</v>
      </c>
      <c r="B43" s="141"/>
      <c r="C43" s="142"/>
      <c r="D43" s="142"/>
      <c r="E43" s="142"/>
    </row>
    <row r="44" spans="1:5" ht="15">
      <c r="A44" s="143" t="str">
        <f>CONCATENATE("",E1," State Distribution for Kansas Gas Tax")</f>
        <v>2012 State Distribution for Kansas Gas Tax</v>
      </c>
      <c r="B44" s="144"/>
      <c r="C44" s="144"/>
      <c r="D44" s="145"/>
      <c r="E44" s="115">
        <v>1210</v>
      </c>
    </row>
    <row r="45" spans="1:5" ht="15">
      <c r="A45" s="146" t="str">
        <f>CONCATENATE("",E1," County Transfers for Gas***")</f>
        <v>2012 County Transfers for Gas***</v>
      </c>
      <c r="B45" s="147"/>
      <c r="C45" s="147"/>
      <c r="D45" s="148"/>
      <c r="E45" s="115"/>
    </row>
    <row r="46" spans="1:5" ht="15">
      <c r="A46" s="146" t="str">
        <f>CONCATENATE("Adjusted ",E1-1," State Distribution for Kansas Gas Tax")</f>
        <v>Adjusted 2011 State Distribution for Kansas Gas Tax</v>
      </c>
      <c r="B46" s="147"/>
      <c r="C46" s="147"/>
      <c r="D46" s="148"/>
      <c r="E46" s="115">
        <v>1150</v>
      </c>
    </row>
    <row r="47" spans="1:5" ht="15">
      <c r="A47" s="146" t="str">
        <f>CONCATENATE("Adjusted ",E1-1," County Transfers for Gas***")</f>
        <v>Adjusted 2011 County Transfers for Gas***</v>
      </c>
      <c r="B47" s="147"/>
      <c r="C47" s="147"/>
      <c r="D47" s="148"/>
      <c r="E47" s="115"/>
    </row>
    <row r="48" spans="1:5" ht="18" customHeight="1">
      <c r="A48" s="433" t="s">
        <v>6</v>
      </c>
      <c r="B48" s="434"/>
      <c r="C48" s="434"/>
      <c r="D48" s="434"/>
      <c r="E48" s="434"/>
    </row>
    <row r="49" spans="1:5" ht="15">
      <c r="A49" s="149" t="s">
        <v>7</v>
      </c>
      <c r="B49" s="149"/>
      <c r="C49" s="149"/>
      <c r="D49" s="149"/>
      <c r="E49" s="149"/>
    </row>
    <row r="50" spans="1:5" ht="15">
      <c r="A50" s="120"/>
      <c r="B50" s="120"/>
      <c r="C50" s="120"/>
      <c r="D50" s="120"/>
      <c r="E50" s="120"/>
    </row>
    <row r="51" spans="1:5" ht="15">
      <c r="A51" s="435" t="str">
        <f>CONCATENATE("From the ",E1-2," Budget Certificate Page")</f>
        <v>From the 2010 Budget Certificate Page</v>
      </c>
      <c r="B51" s="436"/>
      <c r="C51" s="120"/>
      <c r="D51" s="120"/>
      <c r="E51" s="120"/>
    </row>
    <row r="52" spans="1:5" ht="15">
      <c r="A52" s="150"/>
      <c r="B52" s="150" t="str">
        <f>CONCATENATE("",E1-2," Expenditure Amounts")</f>
        <v>2010 Expenditure Amounts</v>
      </c>
      <c r="C52" s="429" t="str">
        <f>CONCATENATE("Note: If the ",E1-2," budget was amended, then the")</f>
        <v>Note: If the 2010 budget was amended, then the</v>
      </c>
      <c r="D52" s="430"/>
      <c r="E52" s="430"/>
    </row>
    <row r="53" spans="1:5" ht="15">
      <c r="A53" s="151" t="s">
        <v>24</v>
      </c>
      <c r="B53" s="151" t="s">
        <v>23</v>
      </c>
      <c r="C53" s="152" t="s">
        <v>21</v>
      </c>
      <c r="D53" s="153"/>
      <c r="E53" s="153"/>
    </row>
    <row r="54" spans="1:5" ht="15">
      <c r="A54" s="154" t="str">
        <f>inputPrYr!B17</f>
        <v>General</v>
      </c>
      <c r="B54" s="115">
        <v>32525</v>
      </c>
      <c r="C54" s="152" t="s">
        <v>22</v>
      </c>
      <c r="D54" s="153"/>
      <c r="E54" s="153"/>
    </row>
    <row r="55" spans="1:5" ht="15">
      <c r="A55" s="154" t="str">
        <f>inputPrYr!B19</f>
        <v>Noxious Weed</v>
      </c>
      <c r="B55" s="115">
        <v>2866</v>
      </c>
      <c r="C55" s="120"/>
      <c r="D55" s="120"/>
      <c r="E55" s="120"/>
    </row>
    <row r="56" spans="1:5" ht="15">
      <c r="A56" s="154" t="str">
        <f>inputPrYr!B20</f>
        <v>Library</v>
      </c>
      <c r="B56" s="115">
        <v>3500</v>
      </c>
      <c r="C56" s="120"/>
      <c r="D56" s="120"/>
      <c r="E56" s="120"/>
    </row>
    <row r="57" spans="1:5" ht="15">
      <c r="A57" s="154" t="str">
        <f>inputPrYr!B26</f>
        <v>Special Highway</v>
      </c>
      <c r="B57" s="115">
        <v>1300</v>
      </c>
      <c r="C57" s="120"/>
      <c r="D57" s="120"/>
      <c r="E57" s="120"/>
    </row>
    <row r="58" spans="1:5" ht="15">
      <c r="A58" s="154">
        <f>inputPrYr!B27</f>
        <v>0</v>
      </c>
      <c r="B58" s="115"/>
      <c r="C58" s="120"/>
      <c r="D58" s="120"/>
      <c r="E58" s="120"/>
    </row>
    <row r="59" spans="1:5" ht="15">
      <c r="A59" s="154">
        <f>inputPrYr!B28</f>
        <v>0</v>
      </c>
      <c r="B59" s="115"/>
      <c r="C59" s="120"/>
      <c r="D59" s="120"/>
      <c r="E59" s="120"/>
    </row>
    <row r="60" spans="1:5" ht="15">
      <c r="A60" s="154">
        <f>inputPrYr!B29</f>
        <v>0</v>
      </c>
      <c r="B60" s="115"/>
      <c r="C60" s="120"/>
      <c r="D60" s="120"/>
      <c r="E60" s="120"/>
    </row>
    <row r="61" spans="1:5" ht="15">
      <c r="A61" s="154">
        <f>inputPrYr!B30</f>
        <v>0</v>
      </c>
      <c r="B61" s="115"/>
      <c r="C61" s="120"/>
      <c r="D61" s="120"/>
      <c r="E61" s="120"/>
    </row>
    <row r="62" spans="1:5" ht="15">
      <c r="A62" s="154">
        <f>inputPrYr!B31</f>
        <v>0</v>
      </c>
      <c r="B62" s="115"/>
      <c r="C62" s="120"/>
      <c r="D62" s="120"/>
      <c r="E62" s="120"/>
    </row>
    <row r="63" spans="1:5" ht="15">
      <c r="A63" s="154">
        <f>inputPrYr!B33</f>
        <v>0</v>
      </c>
      <c r="B63" s="115"/>
      <c r="C63" s="120"/>
      <c r="D63" s="120"/>
      <c r="E63" s="120"/>
    </row>
  </sheetData>
  <sheetProtection/>
  <mergeCells count="5">
    <mergeCell ref="C52:E52"/>
    <mergeCell ref="A20:B20"/>
    <mergeCell ref="A48:E48"/>
    <mergeCell ref="A3:E3"/>
    <mergeCell ref="A51:B51"/>
  </mergeCells>
  <printOptions/>
  <pageMargins left="0.75" right="0.75" top="1" bottom="1" header="0.5" footer="0.5"/>
  <pageSetup blackAndWhite="1" fitToHeight="1" fitToWidth="1" horizontalDpi="600" verticalDpi="600" orientation="portrait" scale="64" r:id="rId1"/>
</worksheet>
</file>

<file path=xl/worksheets/sheet3.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F1">
      <selection activeCell="B6" sqref="B6"/>
    </sheetView>
  </sheetViews>
  <sheetFormatPr defaultColWidth="8.796875" defaultRowHeight="15"/>
  <cols>
    <col min="1" max="1" width="13.69921875" style="0" customWidth="1"/>
    <col min="2" max="2" width="16.09765625" style="0" customWidth="1"/>
  </cols>
  <sheetData>
    <row r="2" spans="1:6" ht="54" customHeight="1">
      <c r="A2" s="437" t="s">
        <v>195</v>
      </c>
      <c r="B2" s="438"/>
      <c r="C2" s="438"/>
      <c r="D2" s="438"/>
      <c r="E2" s="438"/>
      <c r="F2" s="438"/>
    </row>
    <row r="4" spans="1:2" ht="15">
      <c r="A4" s="1" t="s">
        <v>209</v>
      </c>
      <c r="B4" s="248" t="s">
        <v>229</v>
      </c>
    </row>
    <row r="5" spans="1:6" ht="15">
      <c r="A5" s="245"/>
      <c r="B5" s="245"/>
      <c r="C5" s="245"/>
      <c r="D5" s="247"/>
      <c r="E5" s="245"/>
      <c r="F5" s="245"/>
    </row>
    <row r="6" spans="1:6" ht="15">
      <c r="A6" s="246" t="s">
        <v>196</v>
      </c>
      <c r="B6" s="248" t="s">
        <v>229</v>
      </c>
      <c r="C6" s="249"/>
      <c r="D6" s="246" t="s">
        <v>197</v>
      </c>
      <c r="E6" s="245"/>
      <c r="F6" s="245"/>
    </row>
    <row r="7" spans="1:6" ht="15">
      <c r="A7" s="246"/>
      <c r="B7" s="250"/>
      <c r="C7" s="251"/>
      <c r="D7" s="246"/>
      <c r="E7" s="245"/>
      <c r="F7" s="245"/>
    </row>
    <row r="8" spans="1:6" ht="15">
      <c r="A8" s="246" t="s">
        <v>198</v>
      </c>
      <c r="B8" s="248" t="s">
        <v>230</v>
      </c>
      <c r="C8" s="252"/>
      <c r="D8" s="246"/>
      <c r="E8" s="245"/>
      <c r="F8" s="245"/>
    </row>
    <row r="9" spans="1:6" ht="15">
      <c r="A9" s="246"/>
      <c r="B9" s="246"/>
      <c r="C9" s="246"/>
      <c r="D9" s="246"/>
      <c r="E9" s="245"/>
      <c r="F9" s="245"/>
    </row>
    <row r="10" spans="1:6" ht="15">
      <c r="A10" s="246" t="s">
        <v>199</v>
      </c>
      <c r="B10" s="253" t="s">
        <v>229</v>
      </c>
      <c r="C10" s="253"/>
      <c r="D10" s="253"/>
      <c r="E10" s="254"/>
      <c r="F10" s="245"/>
    </row>
    <row r="11" spans="1:6" ht="15">
      <c r="A11" s="246"/>
      <c r="B11" s="246"/>
      <c r="C11" s="246"/>
      <c r="D11" s="246"/>
      <c r="E11" s="245"/>
      <c r="F11" s="245"/>
    </row>
    <row r="12" spans="1:6" ht="15">
      <c r="A12" s="246"/>
      <c r="B12" s="246"/>
      <c r="C12" s="246"/>
      <c r="D12" s="246"/>
      <c r="E12" s="245"/>
      <c r="F12" s="245"/>
    </row>
    <row r="13" spans="1:6" ht="15">
      <c r="A13" s="246" t="s">
        <v>200</v>
      </c>
      <c r="B13" s="253"/>
      <c r="C13" s="253"/>
      <c r="D13" s="253"/>
      <c r="E13" s="254"/>
      <c r="F13" s="245"/>
    </row>
    <row r="16" spans="1:6" ht="15">
      <c r="A16" s="439" t="s">
        <v>201</v>
      </c>
      <c r="B16" s="439"/>
      <c r="C16" s="246"/>
      <c r="D16" s="246"/>
      <c r="E16" s="246"/>
      <c r="F16" s="245"/>
    </row>
    <row r="17" spans="1:6" ht="15">
      <c r="A17" s="246"/>
      <c r="B17" s="246"/>
      <c r="C17" s="246"/>
      <c r="D17" s="246"/>
      <c r="E17" s="246"/>
      <c r="F17" s="245"/>
    </row>
    <row r="18" spans="1:6" ht="15">
      <c r="A18" s="246" t="s">
        <v>209</v>
      </c>
      <c r="B18" s="246" t="s">
        <v>210</v>
      </c>
      <c r="C18" s="246"/>
      <c r="D18" s="246"/>
      <c r="E18" s="246"/>
      <c r="F18" s="245"/>
    </row>
    <row r="19" spans="1:6" ht="15">
      <c r="A19" s="246"/>
      <c r="B19" s="246"/>
      <c r="C19" s="246"/>
      <c r="D19" s="246"/>
      <c r="E19" s="246"/>
      <c r="F19" s="245"/>
    </row>
    <row r="20" spans="1:5" ht="15">
      <c r="A20" s="246" t="s">
        <v>196</v>
      </c>
      <c r="B20" s="250" t="s">
        <v>202</v>
      </c>
      <c r="C20" s="246"/>
      <c r="D20" s="246"/>
      <c r="E20" s="246"/>
    </row>
    <row r="21" spans="1:5" ht="15">
      <c r="A21" s="246"/>
      <c r="B21" s="246"/>
      <c r="C21" s="246"/>
      <c r="D21" s="246"/>
      <c r="E21" s="246"/>
    </row>
    <row r="22" spans="1:5" ht="15">
      <c r="A22" s="246" t="s">
        <v>198</v>
      </c>
      <c r="B22" s="246" t="s">
        <v>203</v>
      </c>
      <c r="C22" s="246"/>
      <c r="D22" s="246"/>
      <c r="E22" s="246"/>
    </row>
    <row r="23" spans="1:5" ht="15">
      <c r="A23" s="246"/>
      <c r="B23" s="246"/>
      <c r="C23" s="246"/>
      <c r="D23" s="246"/>
      <c r="E23" s="246"/>
    </row>
    <row r="24" spans="1:5" ht="15">
      <c r="A24" s="246" t="s">
        <v>199</v>
      </c>
      <c r="B24" s="246" t="s">
        <v>204</v>
      </c>
      <c r="C24" s="246"/>
      <c r="D24" s="246"/>
      <c r="E24" s="246"/>
    </row>
    <row r="25" spans="1:5" ht="15">
      <c r="A25" s="246"/>
      <c r="B25" s="246"/>
      <c r="C25" s="246"/>
      <c r="D25" s="246"/>
      <c r="E25" s="246"/>
    </row>
    <row r="26" spans="1:5" ht="15">
      <c r="A26" s="246" t="s">
        <v>200</v>
      </c>
      <c r="B26" s="246" t="s">
        <v>204</v>
      </c>
      <c r="C26" s="246"/>
      <c r="D26" s="246"/>
      <c r="E26" s="246"/>
    </row>
  </sheetData>
  <sheetProtection/>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F48"/>
  <sheetViews>
    <sheetView workbookViewId="0" topLeftCell="A1">
      <selection activeCell="C25" sqref="C25"/>
    </sheetView>
  </sheetViews>
  <sheetFormatPr defaultColWidth="8.8984375" defaultRowHeight="15" customHeight="1"/>
  <cols>
    <col min="1" max="1" width="24.3984375" style="157" customWidth="1"/>
    <col min="2" max="2" width="11.296875" style="157" customWidth="1"/>
    <col min="3" max="3" width="5.69921875" style="157" customWidth="1"/>
    <col min="4" max="4" width="16.69921875" style="157" customWidth="1"/>
    <col min="5" max="5" width="14" style="157" customWidth="1"/>
    <col min="6" max="6" width="13" style="157" customWidth="1"/>
    <col min="7" max="16384" width="8.8984375" style="157" customWidth="1"/>
  </cols>
  <sheetData>
    <row r="1" spans="1:6" ht="15" customHeight="1">
      <c r="A1" s="155"/>
      <c r="B1" s="155"/>
      <c r="C1" s="155"/>
      <c r="D1" s="155"/>
      <c r="E1" s="155"/>
      <c r="F1" s="156">
        <f>inputPrYr!$C$5</f>
        <v>2012</v>
      </c>
    </row>
    <row r="2" spans="1:6" ht="15" customHeight="1">
      <c r="A2" s="56"/>
      <c r="B2" s="56"/>
      <c r="C2" s="58" t="s">
        <v>101</v>
      </c>
      <c r="D2" s="56"/>
      <c r="E2" s="56"/>
      <c r="F2" s="158"/>
    </row>
    <row r="3" spans="1:6" s="57" customFormat="1" ht="15" customHeight="1">
      <c r="A3" s="440" t="str">
        <f>CONCATENATE("To the Clerk of ",inputPrYr!D3,", State of Kansas")</f>
        <v>To the Clerk of Smith County, State of Kansas</v>
      </c>
      <c r="B3" s="432"/>
      <c r="C3" s="432"/>
      <c r="D3" s="432"/>
      <c r="E3" s="432"/>
      <c r="F3" s="432"/>
    </row>
    <row r="4" spans="1:6" s="57" customFormat="1" ht="15" customHeight="1">
      <c r="A4" s="66" t="s">
        <v>207</v>
      </c>
      <c r="B4" s="65"/>
      <c r="C4" s="65"/>
      <c r="D4" s="65"/>
      <c r="E4" s="65"/>
      <c r="F4" s="65"/>
    </row>
    <row r="5" spans="1:6" s="57" customFormat="1" ht="15" customHeight="1">
      <c r="A5" s="56"/>
      <c r="B5" s="56"/>
      <c r="C5" s="280" t="str">
        <f>(inputPrYr!D2)</f>
        <v>City of Athol</v>
      </c>
      <c r="D5" s="56"/>
      <c r="E5" s="56"/>
      <c r="F5" s="56"/>
    </row>
    <row r="6" spans="1:6" s="57" customFormat="1" ht="15" customHeight="1">
      <c r="A6" s="66" t="s">
        <v>48</v>
      </c>
      <c r="B6" s="65"/>
      <c r="C6" s="65"/>
      <c r="D6" s="65"/>
      <c r="E6" s="65"/>
      <c r="F6" s="65"/>
    </row>
    <row r="7" spans="1:6" s="57" customFormat="1" ht="15" customHeight="1">
      <c r="A7" s="66" t="s">
        <v>49</v>
      </c>
      <c r="B7" s="65"/>
      <c r="C7" s="65"/>
      <c r="D7" s="65"/>
      <c r="E7" s="65"/>
      <c r="F7" s="65"/>
    </row>
    <row r="8" spans="1:6" s="57" customFormat="1" ht="15" customHeight="1">
      <c r="A8" s="66" t="str">
        <f>CONCATENATE("maximum expenditure for the various funds for the year ",D11,"; and")</f>
        <v>maximum expenditure for the various funds for the year 2012; and</v>
      </c>
      <c r="B8" s="65"/>
      <c r="C8" s="65"/>
      <c r="D8" s="65"/>
      <c r="E8" s="65"/>
      <c r="F8" s="65"/>
    </row>
    <row r="9" spans="1:6" s="57" customFormat="1" ht="15" customHeight="1">
      <c r="A9" s="66" t="str">
        <f>CONCATENATE("(3) the Amount(s) of ",E12," Ad Valorem Tax are within statutory limiations.")</f>
        <v>(3) the Amount(s) of Amount of 2011 Ad Valorem Tax Ad Valorem Tax are within statutory limiations.</v>
      </c>
      <c r="B9" s="65"/>
      <c r="C9" s="65"/>
      <c r="D9" s="65"/>
      <c r="E9" s="65"/>
      <c r="F9" s="65"/>
    </row>
    <row r="10" spans="1:6" ht="15" customHeight="1">
      <c r="A10" s="159"/>
      <c r="B10" s="160"/>
      <c r="C10" s="160"/>
      <c r="D10" s="161"/>
      <c r="E10" s="160"/>
      <c r="F10" s="160"/>
    </row>
    <row r="11" spans="1:6" ht="15" customHeight="1">
      <c r="A11" s="56"/>
      <c r="B11" s="56"/>
      <c r="C11" s="162"/>
      <c r="D11" s="163">
        <f>inputPrYr!$C$5</f>
        <v>2012</v>
      </c>
      <c r="E11" s="164" t="s">
        <v>70</v>
      </c>
      <c r="F11" s="165"/>
    </row>
    <row r="12" spans="1:6" ht="16.5" customHeight="1">
      <c r="A12" s="160"/>
      <c r="B12" s="56"/>
      <c r="C12" s="166"/>
      <c r="D12" s="168"/>
      <c r="E12" s="441" t="str">
        <f>CONCATENATE("Amount of ",$F$1-1," Ad Valorem Tax")</f>
        <v>Amount of 2011 Ad Valorem Tax</v>
      </c>
      <c r="F12" s="168" t="s">
        <v>51</v>
      </c>
    </row>
    <row r="13" spans="1:6" ht="14.25" customHeight="1">
      <c r="A13" s="56"/>
      <c r="B13" s="56"/>
      <c r="C13" s="168" t="s">
        <v>52</v>
      </c>
      <c r="D13" s="169" t="s">
        <v>23</v>
      </c>
      <c r="E13" s="442"/>
      <c r="F13" s="169" t="s">
        <v>53</v>
      </c>
    </row>
    <row r="14" spans="1:6" ht="14.25" customHeight="1">
      <c r="A14" s="170" t="s">
        <v>54</v>
      </c>
      <c r="B14" s="95"/>
      <c r="C14" s="171" t="s">
        <v>55</v>
      </c>
      <c r="D14" s="171" t="s">
        <v>217</v>
      </c>
      <c r="E14" s="443"/>
      <c r="F14" s="171" t="s">
        <v>57</v>
      </c>
    </row>
    <row r="15" spans="1:6" ht="15" customHeight="1">
      <c r="A15" s="172" t="s">
        <v>180</v>
      </c>
      <c r="B15" s="173">
        <f>inputPrYr!$C$5</f>
        <v>2012</v>
      </c>
      <c r="C15" s="174">
        <v>2</v>
      </c>
      <c r="D15" s="88"/>
      <c r="E15" s="88"/>
      <c r="F15" s="175"/>
    </row>
    <row r="16" spans="1:6" ht="15" customHeight="1">
      <c r="A16" s="167" t="s">
        <v>19</v>
      </c>
      <c r="B16" s="176"/>
      <c r="C16" s="174">
        <v>3</v>
      </c>
      <c r="D16" s="88"/>
      <c r="E16" s="88"/>
      <c r="F16" s="162"/>
    </row>
    <row r="17" spans="1:6" ht="15" customHeight="1">
      <c r="A17" s="178" t="s">
        <v>58</v>
      </c>
      <c r="B17" s="179" t="s">
        <v>59</v>
      </c>
      <c r="C17" s="180"/>
      <c r="D17" s="88"/>
      <c r="E17" s="88"/>
      <c r="F17" s="162"/>
    </row>
    <row r="18" spans="1:6" ht="15" customHeight="1">
      <c r="A18" s="77" t="s">
        <v>40</v>
      </c>
      <c r="B18" s="181" t="str">
        <f>inputPrYr!C17</f>
        <v>12-101a</v>
      </c>
      <c r="C18" s="174">
        <f>general!C47</f>
        <v>4</v>
      </c>
      <c r="D18" s="277">
        <f>IF((general!$E$38)&lt;&gt;0,general!$E$38,"")</f>
        <v>32562</v>
      </c>
      <c r="E18" s="406">
        <f>IF((general!$E$45)&lt;&gt;0,(general!$E$45),0)</f>
        <v>7501</v>
      </c>
      <c r="F18" s="407">
        <f>IF($F$24=0,"",ROUND(E18/$F$24*1000,3))</f>
      </c>
    </row>
    <row r="19" spans="1:6" ht="15" customHeight="1">
      <c r="A19" s="100" t="str">
        <f>IF((inputPrYr!$B19&gt;"  "),(inputPrYr!$B19),"  ")</f>
        <v>Noxious Weed</v>
      </c>
      <c r="B19" s="181" t="str">
        <f>IF((inputPrYr!$C19&gt;"  "),(inputPrYr!$C19),"  ")</f>
        <v>2-1318</v>
      </c>
      <c r="C19" s="174">
        <f>'Noxious Weed Library'!B67</f>
        <v>5</v>
      </c>
      <c r="D19" s="277">
        <f>IF(('Noxious Weed Library'!$D$28)&lt;&gt;0,('Noxious Weed Library'!$D$28),"")</f>
        <v>2721</v>
      </c>
      <c r="E19" s="406">
        <f>IF(('Noxious Weed Library'!$D$35)&lt;&gt;0,('Noxious Weed Library'!$D$35),0)</f>
        <v>2361</v>
      </c>
      <c r="F19" s="407">
        <f>IF($F$24=0,"",ROUND(E19/$F$24*1000,3))</f>
      </c>
    </row>
    <row r="20" spans="1:6" ht="15" customHeight="1">
      <c r="A20" s="100" t="str">
        <f>IF((inputPrYr!$B20&gt;"  "),(inputPrYr!$B20),"  ")</f>
        <v>Library</v>
      </c>
      <c r="B20" s="181" t="str">
        <f>IF((inputPrYr!$C20&gt;"  "),(inputPrYr!$C20),"  ")</f>
        <v>12-1220</v>
      </c>
      <c r="C20" s="174">
        <f>IF('Noxious Weed Library'!B67&gt;0,'Noxious Weed Library'!B67," ")</f>
        <v>5</v>
      </c>
      <c r="D20" s="277">
        <f>IF(('Noxious Weed Library'!$D$59)&lt;&gt;0,('Noxious Weed Library'!$D$59),"")</f>
        <v>3495</v>
      </c>
      <c r="E20" s="406">
        <f>IF(('Noxious Weed Library'!$D$66)&lt;&gt;0,('Noxious Weed Library'!$D$66),0)</f>
        <v>3145</v>
      </c>
      <c r="F20" s="407">
        <f>IF($F$24=0,"",ROUND(E20/$F$24*1000,3))</f>
      </c>
    </row>
    <row r="21" spans="1:6" ht="15" customHeight="1">
      <c r="A21" s="183" t="str">
        <f>IF((inputPrYr!$B26&gt;"  "),(inputPrYr!$B26),"  ")</f>
        <v>Special Highway</v>
      </c>
      <c r="B21" s="108"/>
      <c r="C21" s="177">
        <f>IF(SpecHwy!C49&gt;0,SpecHwy!C49," ")</f>
        <v>6</v>
      </c>
      <c r="D21" s="277">
        <f>IF((SpecHwy!$E$33)&lt;&gt;0,(SpecHwy!$E$33),"")</f>
        <v>1210</v>
      </c>
      <c r="E21" s="214"/>
      <c r="F21" s="214"/>
    </row>
    <row r="22" spans="1:6" s="405" customFormat="1" ht="16.5" customHeight="1">
      <c r="A22" s="225" t="s">
        <v>223</v>
      </c>
      <c r="B22" s="403"/>
      <c r="C22" s="404" t="s">
        <v>60</v>
      </c>
      <c r="D22" s="408">
        <f>SUM(D18:D21)</f>
        <v>39988</v>
      </c>
      <c r="E22" s="408">
        <f>SUM(E18:E21)</f>
        <v>13007</v>
      </c>
      <c r="F22" s="409">
        <f>IF(SUM(F18:F21)=0,"",SUM(F18:F21))</f>
      </c>
    </row>
    <row r="23" spans="1:6" ht="16.5" customHeight="1">
      <c r="A23" s="286" t="s">
        <v>13</v>
      </c>
      <c r="B23" s="285"/>
      <c r="C23" s="284"/>
      <c r="D23" s="283"/>
      <c r="E23" s="282" t="str">
        <f>IF(E22&gt;computation!J40,"Yes","No")</f>
        <v>No</v>
      </c>
      <c r="F23" s="279" t="s">
        <v>166</v>
      </c>
    </row>
    <row r="24" spans="1:6" ht="15" customHeight="1">
      <c r="A24" s="167" t="s">
        <v>11</v>
      </c>
      <c r="B24" s="176"/>
      <c r="C24" s="169">
        <f>summ!D50</f>
        <v>7</v>
      </c>
      <c r="D24" s="185"/>
      <c r="E24" s="56"/>
      <c r="F24" s="281"/>
    </row>
    <row r="25" spans="1:6" ht="15" customHeight="1">
      <c r="A25" s="77" t="s">
        <v>35</v>
      </c>
      <c r="B25" s="78"/>
      <c r="C25" s="174">
        <f>IF(Nhood!C51&gt;0,Nhood!C51,"")</f>
        <v>8</v>
      </c>
      <c r="D25" s="185"/>
      <c r="E25" s="56"/>
      <c r="F25" s="446" t="str">
        <f>CONCATENATE("Nov 1, ",F1-1," Total Assessed Valuation")</f>
        <v>Nov 1, 2011 Total Assessed Valuation</v>
      </c>
    </row>
    <row r="26" spans="1:6" ht="15" customHeight="1">
      <c r="A26" s="91"/>
      <c r="B26" s="88"/>
      <c r="C26" s="186"/>
      <c r="D26" s="308"/>
      <c r="E26" s="309"/>
      <c r="F26" s="447"/>
    </row>
    <row r="27" spans="1:6" ht="15" customHeight="1">
      <c r="A27" s="91"/>
      <c r="B27" s="88"/>
      <c r="C27" s="186"/>
      <c r="D27" s="88"/>
      <c r="E27" s="56"/>
      <c r="F27" s="56"/>
    </row>
    <row r="28" spans="1:6" ht="15" customHeight="1">
      <c r="A28" s="61" t="s">
        <v>61</v>
      </c>
      <c r="B28" s="56"/>
      <c r="C28" s="56"/>
      <c r="D28" s="88"/>
      <c r="E28" s="56"/>
      <c r="F28" s="56"/>
    </row>
    <row r="29" spans="1:6" ht="15" customHeight="1">
      <c r="A29" s="371" t="s">
        <v>231</v>
      </c>
      <c r="B29" s="56"/>
      <c r="C29" s="161"/>
      <c r="D29" s="84"/>
      <c r="E29" s="161"/>
      <c r="F29" s="161"/>
    </row>
    <row r="30" spans="1:6" ht="15" customHeight="1">
      <c r="A30" s="372" t="s">
        <v>232</v>
      </c>
      <c r="B30" s="88"/>
      <c r="C30" s="88"/>
      <c r="D30" s="88"/>
      <c r="E30" s="88"/>
      <c r="F30" s="88"/>
    </row>
    <row r="31" spans="1:6" ht="15" customHeight="1">
      <c r="A31" s="56" t="s">
        <v>176</v>
      </c>
      <c r="B31" s="243"/>
      <c r="C31" s="84"/>
      <c r="D31" s="84"/>
      <c r="E31" s="84"/>
      <c r="F31" s="84"/>
    </row>
    <row r="32" spans="1:6" ht="15" customHeight="1">
      <c r="A32" s="371" t="s">
        <v>233</v>
      </c>
      <c r="B32" s="88"/>
      <c r="C32" s="61"/>
      <c r="D32" s="56"/>
      <c r="E32" s="56"/>
      <c r="F32" s="56"/>
    </row>
    <row r="33" spans="1:6" ht="15" customHeight="1">
      <c r="A33" s="372" t="s">
        <v>234</v>
      </c>
      <c r="B33" s="56"/>
      <c r="C33" s="84"/>
      <c r="D33" s="84"/>
      <c r="E33" s="94"/>
      <c r="F33" s="94"/>
    </row>
    <row r="34" spans="1:6" ht="15" customHeight="1">
      <c r="A34" s="244"/>
      <c r="B34" s="61"/>
      <c r="C34" s="56"/>
      <c r="D34" s="56"/>
      <c r="E34" s="110"/>
      <c r="F34" s="110"/>
    </row>
    <row r="35" spans="1:6" ht="15" customHeight="1">
      <c r="A35" s="243"/>
      <c r="B35" s="56"/>
      <c r="C35" s="84"/>
      <c r="D35" s="84"/>
      <c r="E35" s="94"/>
      <c r="F35" s="94"/>
    </row>
    <row r="36" spans="1:6" ht="15" customHeight="1">
      <c r="A36" s="56"/>
      <c r="B36" s="56"/>
      <c r="C36" s="56"/>
      <c r="D36" s="56"/>
      <c r="E36" s="110"/>
      <c r="F36" s="110"/>
    </row>
    <row r="37" spans="1:6" ht="15" customHeight="1">
      <c r="A37" s="62" t="s">
        <v>10</v>
      </c>
      <c r="B37" s="187">
        <f>inputPrYr!$C$5-1</f>
        <v>2011</v>
      </c>
      <c r="C37" s="84"/>
      <c r="D37" s="84"/>
      <c r="E37" s="94"/>
      <c r="F37" s="94"/>
    </row>
    <row r="38" spans="1:6" ht="15" customHeight="1">
      <c r="A38" s="56"/>
      <c r="B38" s="56"/>
      <c r="C38" s="110"/>
      <c r="D38" s="110"/>
      <c r="E38" s="188"/>
      <c r="F38" s="189"/>
    </row>
    <row r="39" spans="1:6" ht="15" customHeight="1">
      <c r="A39" s="365"/>
      <c r="B39" s="56"/>
      <c r="C39" s="84"/>
      <c r="D39" s="84"/>
      <c r="E39" s="94"/>
      <c r="F39" s="94"/>
    </row>
    <row r="40" spans="1:6" ht="15" customHeight="1">
      <c r="A40" s="75" t="s">
        <v>63</v>
      </c>
      <c r="B40" s="56"/>
      <c r="C40" s="444" t="s">
        <v>62</v>
      </c>
      <c r="D40" s="445"/>
      <c r="E40" s="445"/>
      <c r="F40" s="445"/>
    </row>
    <row r="41" spans="1:2" ht="15" customHeight="1">
      <c r="A41" s="54"/>
      <c r="B41" s="190"/>
    </row>
    <row r="43" ht="15" customHeight="1">
      <c r="D43" s="191"/>
    </row>
    <row r="44" spans="1:6" ht="15" customHeight="1">
      <c r="A44" s="54"/>
      <c r="B44" s="54"/>
      <c r="C44" s="54"/>
      <c r="D44" s="54"/>
      <c r="E44" s="54"/>
      <c r="F44" s="54"/>
    </row>
    <row r="45" spans="1:6" ht="15" customHeight="1">
      <c r="A45" s="54"/>
      <c r="B45" s="54"/>
      <c r="C45" s="54"/>
      <c r="D45" s="54"/>
      <c r="E45" s="54"/>
      <c r="F45" s="54"/>
    </row>
    <row r="46" ht="15" customHeight="1">
      <c r="A46" s="54"/>
    </row>
    <row r="47" ht="15" customHeight="1">
      <c r="A47" s="54"/>
    </row>
    <row r="48" ht="15" customHeight="1" hidden="1">
      <c r="D48" s="288" t="e">
        <f>inputOth!#REF!</f>
        <v>#REF!</v>
      </c>
    </row>
  </sheetData>
  <sheetProtection/>
  <mergeCells count="4">
    <mergeCell ref="A3:F3"/>
    <mergeCell ref="E12:E14"/>
    <mergeCell ref="C40:F40"/>
    <mergeCell ref="F25:F26"/>
  </mergeCells>
  <printOptions/>
  <pageMargins left="0.5" right="0.5" top="1" bottom="0.5" header="0.5" footer="0.5"/>
  <pageSetup blackAndWhite="1" fitToHeight="1" fitToWidth="1" horizontalDpi="120" verticalDpi="120" orientation="portrait" scale="87" r:id="rId1"/>
  <headerFooter alignWithMargins="0">
    <oddHeader>&amp;R&amp;10State of Kansas
City
</oddHeader>
    <oddFooter>&amp;C&amp;10Page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F27" sqref="F27"/>
    </sheetView>
  </sheetViews>
  <sheetFormatPr defaultColWidth="8.8984375" defaultRowHeight="15.75" customHeight="1"/>
  <cols>
    <col min="1" max="2" width="3.296875" style="54" customWidth="1"/>
    <col min="3" max="3" width="31.296875" style="54" customWidth="1"/>
    <col min="4" max="4" width="2.296875" style="54" customWidth="1"/>
    <col min="5" max="5" width="15.69921875" style="54" customWidth="1"/>
    <col min="6" max="6" width="2" style="54" customWidth="1"/>
    <col min="7" max="7" width="15.69921875" style="54" customWidth="1"/>
    <col min="8" max="8" width="1.8984375" style="54" customWidth="1"/>
    <col min="9" max="9" width="1.69921875" style="54" customWidth="1"/>
    <col min="10" max="10" width="15.69921875" style="54" customWidth="1"/>
    <col min="11" max="16384" width="8.8984375" style="54" customWidth="1"/>
  </cols>
  <sheetData>
    <row r="1" spans="1:10" ht="15.75" customHeight="1">
      <c r="A1" s="56"/>
      <c r="B1" s="56"/>
      <c r="C1" s="374" t="str">
        <f>inputPrYr!D2</f>
        <v>City of Athol</v>
      </c>
      <c r="D1" s="56"/>
      <c r="E1" s="56"/>
      <c r="F1" s="56"/>
      <c r="G1" s="56"/>
      <c r="H1" s="56"/>
      <c r="I1" s="56"/>
      <c r="J1" s="156">
        <f>inputPrYr!$C$5</f>
        <v>2012</v>
      </c>
    </row>
    <row r="2" spans="1:10" ht="15.75" customHeight="1">
      <c r="A2" s="56"/>
      <c r="B2" s="56"/>
      <c r="C2" s="56"/>
      <c r="D2" s="56"/>
      <c r="E2" s="56"/>
      <c r="F2" s="56"/>
      <c r="G2" s="56"/>
      <c r="H2" s="56"/>
      <c r="I2" s="56"/>
      <c r="J2" s="56"/>
    </row>
    <row r="3" spans="1:10" ht="15">
      <c r="A3" s="450" t="str">
        <f>CONCATENATE("Computation to Determine Limit for ",J1)</f>
        <v>Computation to Determine Limit for 2012</v>
      </c>
      <c r="B3" s="451"/>
      <c r="C3" s="451"/>
      <c r="D3" s="451"/>
      <c r="E3" s="451"/>
      <c r="F3" s="451"/>
      <c r="G3" s="451"/>
      <c r="H3" s="451"/>
      <c r="I3" s="451"/>
      <c r="J3" s="451"/>
    </row>
    <row r="4" spans="1:10" ht="15">
      <c r="A4" s="56"/>
      <c r="B4" s="56"/>
      <c r="C4" s="56"/>
      <c r="D4" s="56"/>
      <c r="E4" s="451"/>
      <c r="F4" s="451"/>
      <c r="G4" s="451"/>
      <c r="H4" s="193"/>
      <c r="I4" s="56"/>
      <c r="J4" s="194" t="s">
        <v>112</v>
      </c>
    </row>
    <row r="5" spans="1:10" ht="15">
      <c r="A5" s="195" t="s">
        <v>113</v>
      </c>
      <c r="B5" s="56" t="str">
        <f>CONCATENATE("Total Tax Levy Amount in ",J1-1," Budget")</f>
        <v>Total Tax Levy Amount in 2011 Budget</v>
      </c>
      <c r="C5" s="56"/>
      <c r="D5" s="56"/>
      <c r="E5" s="80"/>
      <c r="F5" s="80"/>
      <c r="G5" s="80"/>
      <c r="H5" s="196" t="s">
        <v>114</v>
      </c>
      <c r="I5" s="80" t="s">
        <v>115</v>
      </c>
      <c r="J5" s="197">
        <f>inputPrYr!E23</f>
        <v>12978</v>
      </c>
    </row>
    <row r="6" spans="1:10" ht="15">
      <c r="A6" s="195" t="s">
        <v>116</v>
      </c>
      <c r="B6" s="56" t="str">
        <f>CONCATENATE("Debt Service Levy in ",J1-1," Budget")</f>
        <v>Debt Service Levy in 2011 Budget</v>
      </c>
      <c r="C6" s="56"/>
      <c r="D6" s="56"/>
      <c r="E6" s="80"/>
      <c r="F6" s="80"/>
      <c r="G6" s="80"/>
      <c r="H6" s="196" t="s">
        <v>117</v>
      </c>
      <c r="I6" s="80" t="s">
        <v>115</v>
      </c>
      <c r="J6" s="198">
        <v>0</v>
      </c>
    </row>
    <row r="7" spans="1:10" ht="15">
      <c r="A7" s="195" t="s">
        <v>138</v>
      </c>
      <c r="B7" s="73" t="s">
        <v>141</v>
      </c>
      <c r="C7" s="56"/>
      <c r="D7" s="56"/>
      <c r="E7" s="80"/>
      <c r="F7" s="80"/>
      <c r="G7" s="80"/>
      <c r="H7" s="80"/>
      <c r="I7" s="80" t="s">
        <v>115</v>
      </c>
      <c r="J7" s="85">
        <f>J5-J6</f>
        <v>12978</v>
      </c>
    </row>
    <row r="8" spans="1:10" ht="15">
      <c r="A8" s="56"/>
      <c r="B8" s="56"/>
      <c r="C8" s="56"/>
      <c r="D8" s="56"/>
      <c r="E8" s="80"/>
      <c r="F8" s="80"/>
      <c r="G8" s="80"/>
      <c r="H8" s="80"/>
      <c r="I8" s="80"/>
      <c r="J8" s="80"/>
    </row>
    <row r="9" spans="1:10" ht="15">
      <c r="A9" s="56"/>
      <c r="B9" s="73" t="str">
        <f>CONCATENATE(J1-1," Valuation Information for Valuation Adjustments:")</f>
        <v>2011 Valuation Information for Valuation Adjustments:</v>
      </c>
      <c r="C9" s="56"/>
      <c r="D9" s="56"/>
      <c r="E9" s="80"/>
      <c r="F9" s="80"/>
      <c r="G9" s="80"/>
      <c r="H9" s="80"/>
      <c r="I9" s="80"/>
      <c r="J9" s="80"/>
    </row>
    <row r="10" spans="1:10" ht="15">
      <c r="A10" s="56"/>
      <c r="B10" s="56"/>
      <c r="C10" s="73"/>
      <c r="D10" s="56"/>
      <c r="E10" s="80"/>
      <c r="F10" s="80"/>
      <c r="G10" s="80"/>
      <c r="H10" s="80"/>
      <c r="I10" s="80"/>
      <c r="J10" s="80"/>
    </row>
    <row r="11" spans="1:10" ht="15">
      <c r="A11" s="195" t="s">
        <v>118</v>
      </c>
      <c r="B11" s="73" t="str">
        <f>CONCATENATE("New Improvements for ",J1-1," :")</f>
        <v>New Improvements for 2011 :</v>
      </c>
      <c r="C11" s="56"/>
      <c r="D11" s="56"/>
      <c r="E11" s="196"/>
      <c r="F11" s="196" t="s">
        <v>114</v>
      </c>
      <c r="G11" s="197">
        <f>inputOth!E8</f>
        <v>97</v>
      </c>
      <c r="H11" s="199"/>
      <c r="I11" s="80"/>
      <c r="J11" s="80"/>
    </row>
    <row r="12" spans="1:10" ht="15">
      <c r="A12" s="195"/>
      <c r="B12" s="200"/>
      <c r="C12" s="56"/>
      <c r="D12" s="56"/>
      <c r="E12" s="196"/>
      <c r="F12" s="196"/>
      <c r="G12" s="199"/>
      <c r="H12" s="199"/>
      <c r="I12" s="80"/>
      <c r="J12" s="80"/>
    </row>
    <row r="13" spans="1:10" ht="15">
      <c r="A13" s="195" t="s">
        <v>119</v>
      </c>
      <c r="B13" s="73" t="str">
        <f>CONCATENATE("Increase in Personal Property for ",J1-1," :")</f>
        <v>Increase in Personal Property for 2011 :</v>
      </c>
      <c r="C13" s="56"/>
      <c r="D13" s="56"/>
      <c r="E13" s="196"/>
      <c r="F13" s="196"/>
      <c r="G13" s="199"/>
      <c r="H13" s="199"/>
      <c r="I13" s="80"/>
      <c r="J13" s="80"/>
    </row>
    <row r="14" spans="1:10" ht="15">
      <c r="A14" s="201"/>
      <c r="B14" s="56" t="s">
        <v>120</v>
      </c>
      <c r="C14" s="56" t="str">
        <f>CONCATENATE("Personal Property ",J1-1)</f>
        <v>Personal Property 2011</v>
      </c>
      <c r="D14" s="200" t="s">
        <v>114</v>
      </c>
      <c r="E14" s="197">
        <f>inputOth!E9</f>
        <v>18336</v>
      </c>
      <c r="F14" s="196"/>
      <c r="G14" s="80"/>
      <c r="H14" s="80"/>
      <c r="I14" s="199"/>
      <c r="J14" s="80"/>
    </row>
    <row r="15" spans="1:10" ht="15">
      <c r="A15" s="200"/>
      <c r="B15" s="56" t="s">
        <v>121</v>
      </c>
      <c r="C15" s="56" t="str">
        <f>CONCATENATE("Personal Property ",J1-2)</f>
        <v>Personal Property 2010</v>
      </c>
      <c r="D15" s="200" t="s">
        <v>117</v>
      </c>
      <c r="E15" s="85">
        <f>inputOth!E15</f>
        <v>20936</v>
      </c>
      <c r="F15" s="196"/>
      <c r="G15" s="199"/>
      <c r="H15" s="199"/>
      <c r="I15" s="80"/>
      <c r="J15" s="80"/>
    </row>
    <row r="16" spans="1:10" ht="15">
      <c r="A16" s="200"/>
      <c r="B16" s="56" t="s">
        <v>122</v>
      </c>
      <c r="C16" s="56" t="s">
        <v>142</v>
      </c>
      <c r="D16" s="56"/>
      <c r="E16" s="80"/>
      <c r="F16" s="80" t="s">
        <v>114</v>
      </c>
      <c r="G16" s="197">
        <f>IF(E14&gt;E15,E14-E15,0)</f>
        <v>0</v>
      </c>
      <c r="H16" s="199"/>
      <c r="I16" s="80"/>
      <c r="J16" s="80"/>
    </row>
    <row r="17" spans="1:10" ht="15">
      <c r="A17" s="200"/>
      <c r="B17" s="200"/>
      <c r="C17" s="56"/>
      <c r="D17" s="56"/>
      <c r="E17" s="80"/>
      <c r="F17" s="80"/>
      <c r="G17" s="199" t="s">
        <v>135</v>
      </c>
      <c r="H17" s="199"/>
      <c r="I17" s="80"/>
      <c r="J17" s="80"/>
    </row>
    <row r="18" spans="1:10" ht="15">
      <c r="A18" s="200" t="s">
        <v>123</v>
      </c>
      <c r="B18" s="73" t="str">
        <f>CONCATENATE("Valuation of annexed territory for ",J1-1," :")</f>
        <v>Valuation of annexed territory for 2011 :</v>
      </c>
      <c r="C18" s="56"/>
      <c r="D18" s="56"/>
      <c r="E18" s="199"/>
      <c r="F18" s="80"/>
      <c r="G18" s="80"/>
      <c r="H18" s="80"/>
      <c r="I18" s="80"/>
      <c r="J18" s="80"/>
    </row>
    <row r="19" spans="1:10" ht="15">
      <c r="A19" s="200"/>
      <c r="B19" s="56" t="s">
        <v>124</v>
      </c>
      <c r="C19" s="56" t="s">
        <v>143</v>
      </c>
      <c r="D19" s="200" t="s">
        <v>114</v>
      </c>
      <c r="E19" s="197">
        <f>inputOth!E11</f>
        <v>0</v>
      </c>
      <c r="F19" s="80"/>
      <c r="G19" s="80"/>
      <c r="H19" s="80"/>
      <c r="I19" s="80"/>
      <c r="J19" s="80"/>
    </row>
    <row r="20" spans="1:10" ht="15">
      <c r="A20" s="200"/>
      <c r="B20" s="56" t="s">
        <v>125</v>
      </c>
      <c r="C20" s="56" t="s">
        <v>144</v>
      </c>
      <c r="D20" s="200" t="s">
        <v>114</v>
      </c>
      <c r="E20" s="85">
        <f>inputOth!E12</f>
        <v>0</v>
      </c>
      <c r="F20" s="80"/>
      <c r="G20" s="199"/>
      <c r="H20" s="199"/>
      <c r="I20" s="80"/>
      <c r="J20" s="80"/>
    </row>
    <row r="21" spans="1:10" ht="15">
      <c r="A21" s="200"/>
      <c r="B21" s="56" t="s">
        <v>126</v>
      </c>
      <c r="C21" s="56" t="s">
        <v>145</v>
      </c>
      <c r="D21" s="200" t="s">
        <v>117</v>
      </c>
      <c r="E21" s="85">
        <f>inputOth!E13</f>
        <v>0</v>
      </c>
      <c r="F21" s="80"/>
      <c r="G21" s="199"/>
      <c r="H21" s="199"/>
      <c r="I21" s="80"/>
      <c r="J21" s="80"/>
    </row>
    <row r="22" spans="1:10" ht="15">
      <c r="A22" s="200"/>
      <c r="B22" s="56" t="s">
        <v>127</v>
      </c>
      <c r="C22" s="56" t="s">
        <v>146</v>
      </c>
      <c r="D22" s="200"/>
      <c r="E22" s="199"/>
      <c r="F22" s="80" t="s">
        <v>114</v>
      </c>
      <c r="G22" s="197">
        <f>E19+E20-E21</f>
        <v>0</v>
      </c>
      <c r="H22" s="199"/>
      <c r="I22" s="80"/>
      <c r="J22" s="80"/>
    </row>
    <row r="23" spans="1:10" ht="15">
      <c r="A23" s="200"/>
      <c r="B23" s="200"/>
      <c r="C23" s="56"/>
      <c r="D23" s="200"/>
      <c r="E23" s="199"/>
      <c r="F23" s="80"/>
      <c r="G23" s="199"/>
      <c r="H23" s="199"/>
      <c r="I23" s="80"/>
      <c r="J23" s="80"/>
    </row>
    <row r="24" spans="1:10" ht="15">
      <c r="A24" s="200" t="s">
        <v>128</v>
      </c>
      <c r="B24" s="73" t="str">
        <f>CONCATENATE("Valuation of Property that has Changed in Use during ",J1-1," :")</f>
        <v>Valuation of Property that has Changed in Use during 2011 :</v>
      </c>
      <c r="C24" s="56"/>
      <c r="D24" s="56"/>
      <c r="E24" s="80"/>
      <c r="F24" s="196" t="s">
        <v>114</v>
      </c>
      <c r="G24" s="197">
        <f>inputOth!E14</f>
        <v>510</v>
      </c>
      <c r="H24" s="80"/>
      <c r="I24" s="80"/>
      <c r="J24" s="80"/>
    </row>
    <row r="25" spans="1:10" ht="15">
      <c r="A25" s="56" t="s">
        <v>50</v>
      </c>
      <c r="B25" s="56"/>
      <c r="C25" s="56"/>
      <c r="D25" s="200"/>
      <c r="E25" s="199"/>
      <c r="F25" s="80"/>
      <c r="G25" s="80"/>
      <c r="H25" s="80"/>
      <c r="I25" s="80"/>
      <c r="J25" s="80"/>
    </row>
    <row r="26" spans="1:10" ht="15">
      <c r="A26" s="200" t="s">
        <v>129</v>
      </c>
      <c r="B26" s="73" t="s">
        <v>147</v>
      </c>
      <c r="C26" s="56"/>
      <c r="D26" s="56"/>
      <c r="E26" s="80"/>
      <c r="F26" s="80"/>
      <c r="G26" s="197">
        <f>G11+G16+G22+G24</f>
        <v>607</v>
      </c>
      <c r="H26" s="199"/>
      <c r="I26" s="80"/>
      <c r="J26" s="80"/>
    </row>
    <row r="27" spans="1:10" ht="15">
      <c r="A27" s="200"/>
      <c r="B27" s="200"/>
      <c r="C27" s="73"/>
      <c r="D27" s="56"/>
      <c r="E27" s="80"/>
      <c r="F27" s="80"/>
      <c r="G27" s="199"/>
      <c r="H27" s="199"/>
      <c r="I27" s="80"/>
      <c r="J27" s="80"/>
    </row>
    <row r="28" spans="1:10" ht="15">
      <c r="A28" s="200" t="s">
        <v>130</v>
      </c>
      <c r="B28" s="56" t="str">
        <f>CONCATENATE("Total Estimated Valuation July 1, ",J1-1)</f>
        <v>Total Estimated Valuation July 1, 2011</v>
      </c>
      <c r="C28" s="56"/>
      <c r="D28" s="56"/>
      <c r="E28" s="197">
        <f>inputOth!E7</f>
        <v>275349</v>
      </c>
      <c r="F28" s="80"/>
      <c r="G28" s="80"/>
      <c r="H28" s="80"/>
      <c r="I28" s="196"/>
      <c r="J28" s="80"/>
    </row>
    <row r="29" spans="1:10" ht="15">
      <c r="A29" s="200"/>
      <c r="B29" s="200"/>
      <c r="C29" s="56"/>
      <c r="D29" s="56"/>
      <c r="E29" s="199"/>
      <c r="F29" s="80"/>
      <c r="G29" s="80"/>
      <c r="H29" s="80"/>
      <c r="I29" s="196"/>
      <c r="J29" s="80"/>
    </row>
    <row r="30" spans="1:10" ht="15">
      <c r="A30" s="200" t="s">
        <v>131</v>
      </c>
      <c r="B30" s="73" t="s">
        <v>148</v>
      </c>
      <c r="C30" s="56"/>
      <c r="D30" s="56"/>
      <c r="E30" s="80"/>
      <c r="F30" s="80"/>
      <c r="G30" s="197">
        <f>E28-G26</f>
        <v>274742</v>
      </c>
      <c r="H30" s="199"/>
      <c r="I30" s="196"/>
      <c r="J30" s="80"/>
    </row>
    <row r="31" spans="1:10" ht="15">
      <c r="A31" s="200"/>
      <c r="B31" s="200"/>
      <c r="C31" s="73"/>
      <c r="D31" s="56"/>
      <c r="E31" s="80"/>
      <c r="F31" s="80"/>
      <c r="G31" s="202"/>
      <c r="H31" s="199"/>
      <c r="I31" s="196"/>
      <c r="J31" s="80"/>
    </row>
    <row r="32" spans="1:10" ht="15">
      <c r="A32" s="200" t="s">
        <v>132</v>
      </c>
      <c r="B32" s="56" t="s">
        <v>149</v>
      </c>
      <c r="C32" s="56"/>
      <c r="D32" s="56"/>
      <c r="E32" s="56"/>
      <c r="F32" s="56"/>
      <c r="G32" s="203">
        <f>IF(G26&gt;0,G26/G30,0)</f>
        <v>0.0022093454950462615</v>
      </c>
      <c r="H32" s="88"/>
      <c r="I32" s="56"/>
      <c r="J32" s="56"/>
    </row>
    <row r="33" spans="1:10" ht="15">
      <c r="A33" s="200"/>
      <c r="B33" s="200"/>
      <c r="C33" s="56"/>
      <c r="D33" s="56"/>
      <c r="E33" s="56"/>
      <c r="F33" s="56"/>
      <c r="G33" s="88"/>
      <c r="H33" s="88"/>
      <c r="I33" s="56"/>
      <c r="J33" s="56"/>
    </row>
    <row r="34" spans="1:10" ht="15">
      <c r="A34" s="200" t="s">
        <v>133</v>
      </c>
      <c r="B34" s="56" t="s">
        <v>150</v>
      </c>
      <c r="C34" s="56"/>
      <c r="D34" s="56"/>
      <c r="E34" s="56"/>
      <c r="F34" s="56"/>
      <c r="G34" s="88"/>
      <c r="H34" s="204" t="s">
        <v>114</v>
      </c>
      <c r="I34" s="56" t="s">
        <v>115</v>
      </c>
      <c r="J34" s="197">
        <f>ROUND(G32*J7,0)</f>
        <v>29</v>
      </c>
    </row>
    <row r="35" spans="1:10" ht="15">
      <c r="A35" s="200"/>
      <c r="B35" s="200"/>
      <c r="C35" s="56"/>
      <c r="D35" s="56"/>
      <c r="E35" s="56"/>
      <c r="F35" s="56"/>
      <c r="G35" s="88"/>
      <c r="H35" s="204"/>
      <c r="I35" s="56"/>
      <c r="J35" s="199"/>
    </row>
    <row r="36" spans="1:10" ht="15.75" thickBot="1">
      <c r="A36" s="200" t="s">
        <v>134</v>
      </c>
      <c r="B36" s="73" t="s">
        <v>156</v>
      </c>
      <c r="C36" s="56"/>
      <c r="D36" s="56"/>
      <c r="E36" s="56"/>
      <c r="F36" s="56"/>
      <c r="G36" s="56"/>
      <c r="H36" s="56"/>
      <c r="I36" s="56" t="s">
        <v>115</v>
      </c>
      <c r="J36" s="205">
        <f>J7+J34</f>
        <v>13007</v>
      </c>
    </row>
    <row r="37" spans="1:10" ht="15.75" thickTop="1">
      <c r="A37" s="56"/>
      <c r="B37" s="56"/>
      <c r="C37" s="56"/>
      <c r="D37" s="56"/>
      <c r="E37" s="56"/>
      <c r="F37" s="56"/>
      <c r="G37" s="56"/>
      <c r="H37" s="56"/>
      <c r="I37" s="56"/>
      <c r="J37" s="199"/>
    </row>
    <row r="38" spans="1:10" ht="15">
      <c r="A38" s="200" t="s">
        <v>154</v>
      </c>
      <c r="B38" s="73" t="str">
        <f>CONCATENATE("Debt Service Levy in this ",J1," Budget")</f>
        <v>Debt Service Levy in this 2012 Budget</v>
      </c>
      <c r="C38" s="56"/>
      <c r="D38" s="56"/>
      <c r="E38" s="56"/>
      <c r="F38" s="56"/>
      <c r="G38" s="56"/>
      <c r="H38" s="56"/>
      <c r="I38" s="56"/>
      <c r="J38" s="206">
        <v>0</v>
      </c>
    </row>
    <row r="39" spans="1:10" ht="15">
      <c r="A39" s="200"/>
      <c r="B39" s="73"/>
      <c r="C39" s="56"/>
      <c r="D39" s="56"/>
      <c r="E39" s="56"/>
      <c r="F39" s="56"/>
      <c r="G39" s="56"/>
      <c r="H39" s="56"/>
      <c r="I39" s="56"/>
      <c r="J39" s="199"/>
    </row>
    <row r="40" spans="1:10" ht="15.75" thickBot="1">
      <c r="A40" s="200" t="s">
        <v>155</v>
      </c>
      <c r="B40" s="73" t="s">
        <v>157</v>
      </c>
      <c r="C40" s="56"/>
      <c r="D40" s="56"/>
      <c r="E40" s="56"/>
      <c r="F40" s="56"/>
      <c r="G40" s="56"/>
      <c r="H40" s="56"/>
      <c r="I40" s="56"/>
      <c r="J40" s="205">
        <f>J36+J38</f>
        <v>13007</v>
      </c>
    </row>
    <row r="41" spans="1:10" ht="18" thickTop="1">
      <c r="A41" s="449"/>
      <c r="B41" s="449"/>
      <c r="C41" s="449"/>
      <c r="D41" s="449"/>
      <c r="E41" s="449"/>
      <c r="F41" s="449"/>
      <c r="G41" s="449"/>
      <c r="H41" s="449"/>
      <c r="I41" s="449"/>
      <c r="J41" s="449"/>
    </row>
    <row r="42" spans="1:10" s="207" customFormat="1" ht="18">
      <c r="A42" s="449" t="str">
        <f>CONCATENATE("If the ",J1," budget includes tax levies exceeding the total on line 15, you must")</f>
        <v>If the 2012 budget includes tax levies exceeding the total on line 15, you must</v>
      </c>
      <c r="B42" s="449"/>
      <c r="C42" s="449"/>
      <c r="D42" s="449"/>
      <c r="E42" s="449"/>
      <c r="F42" s="449"/>
      <c r="G42" s="449"/>
      <c r="H42" s="449"/>
      <c r="I42" s="449"/>
      <c r="J42" s="449"/>
    </row>
    <row r="43" spans="1:10" s="207" customFormat="1" ht="18">
      <c r="A43" s="449" t="s">
        <v>0</v>
      </c>
      <c r="B43" s="449"/>
      <c r="C43" s="449"/>
      <c r="D43" s="449"/>
      <c r="E43" s="449"/>
      <c r="F43" s="449"/>
      <c r="G43" s="449"/>
      <c r="H43" s="449"/>
      <c r="I43" s="449"/>
      <c r="J43" s="449"/>
    </row>
    <row r="44" spans="1:10" ht="15.75" customHeight="1">
      <c r="A44" s="448" t="s">
        <v>1</v>
      </c>
      <c r="B44" s="448"/>
      <c r="C44" s="448"/>
      <c r="D44" s="448"/>
      <c r="E44" s="448"/>
      <c r="F44" s="448"/>
      <c r="G44" s="448"/>
      <c r="H44" s="448"/>
      <c r="I44" s="448"/>
      <c r="J44" s="448"/>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&amp;R&amp;10State of Kansas
City
&amp;12
</oddHeader>
    <oddFooter>&amp;C&amp;10Page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25" sqref="C25"/>
    </sheetView>
  </sheetViews>
  <sheetFormatPr defaultColWidth="8.8984375" defaultRowHeight="15" customHeight="1"/>
  <cols>
    <col min="1" max="1" width="17.3984375" style="57" customWidth="1"/>
    <col min="2" max="2" width="18.69921875" style="57" customWidth="1"/>
    <col min="3" max="3" width="10.69921875" style="57" customWidth="1"/>
    <col min="4" max="4" width="11" style="57" customWidth="1"/>
    <col min="5" max="6" width="10.69921875" style="57" customWidth="1"/>
    <col min="7" max="16384" width="8.8984375" style="57" customWidth="1"/>
  </cols>
  <sheetData>
    <row r="1" spans="1:6" ht="15" customHeight="1">
      <c r="A1" s="374" t="str">
        <f>inputPrYr!D2</f>
        <v>City of Athol</v>
      </c>
      <c r="B1" s="56"/>
      <c r="C1" s="56"/>
      <c r="D1" s="56"/>
      <c r="E1" s="208"/>
      <c r="F1" s="156"/>
    </row>
    <row r="2" spans="1:6" ht="15" customHeight="1">
      <c r="A2" s="56"/>
      <c r="B2" s="56"/>
      <c r="C2" s="56"/>
      <c r="D2" s="56"/>
      <c r="E2" s="56"/>
      <c r="F2" s="156">
        <f>inputPrYr!$C$5</f>
        <v>2012</v>
      </c>
    </row>
    <row r="3" spans="1:6" ht="20.25" customHeight="1">
      <c r="A3" s="450" t="s">
        <v>20</v>
      </c>
      <c r="B3" s="450"/>
      <c r="C3" s="450"/>
      <c r="D3" s="450"/>
      <c r="E3" s="450"/>
      <c r="F3" s="56"/>
    </row>
    <row r="4" spans="1:6" ht="15" customHeight="1">
      <c r="A4" s="66"/>
      <c r="B4" s="65"/>
      <c r="C4" s="65"/>
      <c r="D4" s="65"/>
      <c r="E4" s="56"/>
      <c r="F4" s="56"/>
    </row>
    <row r="5" spans="1:6" ht="15" customHeight="1">
      <c r="A5" s="56"/>
      <c r="B5" s="56"/>
      <c r="C5" s="56"/>
      <c r="D5" s="56"/>
      <c r="E5" s="56"/>
      <c r="F5" s="56"/>
    </row>
    <row r="6" spans="1:6" ht="15.75" customHeight="1">
      <c r="A6" s="209" t="s">
        <v>181</v>
      </c>
      <c r="B6" s="168" t="s">
        <v>182</v>
      </c>
      <c r="C6" s="452" t="str">
        <f>CONCATENATE("Allocation for Year ",F1,"")</f>
        <v>Allocation for Year </v>
      </c>
      <c r="D6" s="453"/>
      <c r="E6" s="454"/>
      <c r="F6" s="455"/>
    </row>
    <row r="7" spans="1:6" ht="23.25" customHeight="1">
      <c r="A7" s="210">
        <f>SUM(Mvalloc!F2-1)</f>
        <v>2011</v>
      </c>
      <c r="B7" s="210">
        <f>SUM(Mvalloc!F2-2)</f>
        <v>2010</v>
      </c>
      <c r="C7" s="171" t="s">
        <v>111</v>
      </c>
      <c r="D7" s="171" t="s">
        <v>110</v>
      </c>
      <c r="E7" s="171" t="s">
        <v>109</v>
      </c>
      <c r="F7" s="180" t="s">
        <v>34</v>
      </c>
    </row>
    <row r="8" spans="1:6" ht="15" customHeight="1">
      <c r="A8" s="77" t="s">
        <v>40</v>
      </c>
      <c r="B8" s="277">
        <f>IF((inputPrYr!E17)&gt;0,(inputPrYr!E17),"  ")</f>
        <v>8125</v>
      </c>
      <c r="C8" s="277">
        <f>IF(inputPrYr!E17&gt;0,C15-SUM(C9:C12),0)</f>
        <v>1068</v>
      </c>
      <c r="D8" s="277">
        <f>IF(inputPrYr!E17=0,0,D17-SUM(D9:D12))</f>
        <v>36</v>
      </c>
      <c r="E8" s="277">
        <f>IF(inputPrYr!E17=0,0,E19-SUM(E9:E12))</f>
        <v>84</v>
      </c>
      <c r="F8" s="277">
        <f>IF(inputPrYr!E17=0,0,F21-SUM(F9:F12))</f>
        <v>0</v>
      </c>
    </row>
    <row r="9" spans="1:6" ht="15" customHeight="1">
      <c r="A9" s="100" t="str">
        <f>IF((inputPrYr!$B19&gt;"  "),(inputPrYr!$B19),"  ")</f>
        <v>Noxious Weed</v>
      </c>
      <c r="B9" s="277">
        <f>IF((inputPrYr!E19)&gt;0,(inputPrYr!E19),"  ")</f>
        <v>2464</v>
      </c>
      <c r="C9" s="277">
        <f>IF(inputPrYr!$E19&gt;0,ROUND(B9*C$23,0),"  ")</f>
        <v>324</v>
      </c>
      <c r="D9" s="277">
        <f>IF(inputPrYr!$E19&gt;0,ROUND(+B9*D$25,0),"  ")</f>
        <v>11</v>
      </c>
      <c r="E9" s="277">
        <f>IF(inputPrYr!E19&gt;0,ROUND(B9*E$27,0),"  ")</f>
        <v>25</v>
      </c>
      <c r="F9" s="277">
        <f>IF(inputPrYr!E19&gt;0,ROUND(B9*F$29,0),"0")</f>
        <v>0</v>
      </c>
    </row>
    <row r="10" spans="1:6" ht="15" customHeight="1">
      <c r="A10" s="100" t="str">
        <f>IF((inputPrYr!$B20&gt;"  "),(inputPrYr!$B20),"  ")</f>
        <v>Library</v>
      </c>
      <c r="B10" s="277">
        <f>IF((inputPrYr!E20)&gt;0,(inputPrYr!E20),"  ")</f>
        <v>2389</v>
      </c>
      <c r="C10" s="277">
        <f>IF(inputPrYr!$E20&gt;0,ROUND(B10*C$23,0),"  ")</f>
        <v>314</v>
      </c>
      <c r="D10" s="277">
        <f>IF(inputPrYr!$E20&gt;0,ROUND(+B10*D$25,0),"  ")</f>
        <v>11</v>
      </c>
      <c r="E10" s="277">
        <f>IF(inputPrYr!E20&gt;0,ROUND(B10*E$27,0),"  ")</f>
        <v>25</v>
      </c>
      <c r="F10" s="277">
        <f>IF(inputPrYr!E20&gt;0,ROUND(B10*F$29,0),"0")</f>
        <v>0</v>
      </c>
    </row>
    <row r="11" spans="1:6" ht="15" customHeight="1">
      <c r="A11" s="100" t="str">
        <f>IF((inputPrYr!$B21&gt;"  "),(inputPrYr!$B21),"  ")</f>
        <v>  </v>
      </c>
      <c r="B11" s="277" t="str">
        <f>IF((inputPrYr!E21)&gt;0,(inputPrYr!E21),"  ")</f>
        <v>  </v>
      </c>
      <c r="C11" s="277" t="str">
        <f>IF(inputPrYr!$E21&gt;0,ROUND(B11*C$23,0),"  ")</f>
        <v>  </v>
      </c>
      <c r="D11" s="277" t="str">
        <f>IF(inputPrYr!$E21&gt;0,ROUND(+B11*D$25,0),"  ")</f>
        <v>  </v>
      </c>
      <c r="E11" s="277" t="str">
        <f>IF(inputPrYr!E21&gt;0,ROUND(B11*E$27,0),"  ")</f>
        <v>  </v>
      </c>
      <c r="F11" s="277" t="str">
        <f>IF(inputPrYr!E21&gt;0,ROUND(B11*F$29,0),"  ")</f>
        <v>  </v>
      </c>
    </row>
    <row r="12" spans="1:6" ht="15" customHeight="1">
      <c r="A12" s="100" t="str">
        <f>IF((inputPrYr!$B22&gt;"  "),(inputPrYr!$B22),"  ")</f>
        <v>  </v>
      </c>
      <c r="B12" s="277" t="str">
        <f>IF((inputPrYr!E22)&gt;0,(inputPrYr!E22),"  ")</f>
        <v>  </v>
      </c>
      <c r="C12" s="277" t="str">
        <f>IF(inputPrYr!$E22&gt;0,ROUND(B12*C$23,0),"  ")</f>
        <v>  </v>
      </c>
      <c r="D12" s="277" t="str">
        <f>IF(inputPrYr!$E22&gt;0,ROUND(+B12*D$25,0),"  ")</f>
        <v>  </v>
      </c>
      <c r="E12" s="277" t="str">
        <f>IF(inputPrYr!E22&gt;0,ROUND(B12*E$27,0),"  ")</f>
        <v>  </v>
      </c>
      <c r="F12" s="277" t="str">
        <f>IF(inputPrYr!E22&gt;0,ROUND(B12*F$29,0),"  ")</f>
        <v>  </v>
      </c>
    </row>
    <row r="13" spans="1:6" s="375" customFormat="1" ht="16.5" customHeight="1" thickBot="1">
      <c r="A13" s="410" t="s">
        <v>65</v>
      </c>
      <c r="B13" s="411">
        <f>SUM(B8:B12)</f>
        <v>12978</v>
      </c>
      <c r="C13" s="411">
        <f>SUM(C8:C12)</f>
        <v>1706</v>
      </c>
      <c r="D13" s="411">
        <f>SUM(D8:D12)</f>
        <v>58</v>
      </c>
      <c r="E13" s="411">
        <f>SUM(E8:E12)</f>
        <v>134</v>
      </c>
      <c r="F13" s="411">
        <f>SUM(F8:F12)</f>
        <v>0</v>
      </c>
    </row>
    <row r="14" spans="1:6" ht="15" customHeight="1" thickTop="1">
      <c r="A14" s="56"/>
      <c r="B14" s="56"/>
      <c r="C14" s="56"/>
      <c r="D14" s="56"/>
      <c r="E14" s="56"/>
      <c r="F14" s="56"/>
    </row>
    <row r="15" spans="1:6" ht="15" customHeight="1">
      <c r="A15" s="61" t="s">
        <v>66</v>
      </c>
      <c r="B15" s="211"/>
      <c r="C15" s="197">
        <f>(inputOth!E31)</f>
        <v>1706</v>
      </c>
      <c r="D15" s="211"/>
      <c r="E15" s="56"/>
      <c r="F15" s="56"/>
    </row>
    <row r="16" spans="1:6" ht="15" customHeight="1">
      <c r="A16" s="56"/>
      <c r="B16" s="56"/>
      <c r="C16" s="56"/>
      <c r="D16" s="56"/>
      <c r="E16" s="56"/>
      <c r="F16" s="56"/>
    </row>
    <row r="17" spans="1:6" ht="15" customHeight="1">
      <c r="A17" s="61" t="s">
        <v>67</v>
      </c>
      <c r="B17" s="56"/>
      <c r="C17" s="56"/>
      <c r="D17" s="197">
        <f>(inputOth!E32)</f>
        <v>58</v>
      </c>
      <c r="E17" s="56"/>
      <c r="F17" s="56"/>
    </row>
    <row r="18" spans="1:6" ht="15" customHeight="1">
      <c r="A18" s="56"/>
      <c r="B18" s="56"/>
      <c r="C18" s="56"/>
      <c r="D18" s="56"/>
      <c r="E18" s="56"/>
      <c r="F18" s="56"/>
    </row>
    <row r="19" spans="1:6" ht="15" customHeight="1">
      <c r="A19" s="61" t="s">
        <v>108</v>
      </c>
      <c r="B19" s="56"/>
      <c r="C19" s="56"/>
      <c r="D19" s="56"/>
      <c r="E19" s="197">
        <f>inputOth!E33</f>
        <v>134</v>
      </c>
      <c r="F19" s="56"/>
    </row>
    <row r="20" spans="1:6" ht="15" customHeight="1">
      <c r="A20" s="56"/>
      <c r="B20" s="56"/>
      <c r="C20" s="56"/>
      <c r="D20" s="56"/>
      <c r="E20" s="56"/>
      <c r="F20" s="56"/>
    </row>
    <row r="21" spans="1:6" ht="15" customHeight="1">
      <c r="A21" s="56" t="s">
        <v>17</v>
      </c>
      <c r="B21" s="56"/>
      <c r="C21" s="56"/>
      <c r="D21" s="56"/>
      <c r="E21" s="56"/>
      <c r="F21" s="197">
        <f>inputOth!E36</f>
        <v>0</v>
      </c>
    </row>
    <row r="22" spans="1:6" ht="15" customHeight="1">
      <c r="A22" s="56"/>
      <c r="B22" s="56"/>
      <c r="C22" s="56"/>
      <c r="D22" s="56"/>
      <c r="E22" s="56"/>
      <c r="F22" s="56"/>
    </row>
    <row r="23" spans="1:6" ht="15" customHeight="1">
      <c r="A23" s="61" t="s">
        <v>68</v>
      </c>
      <c r="B23" s="56"/>
      <c r="C23" s="203">
        <f>IF(B13=0,0,C15/B13)</f>
        <v>0.13145322854060718</v>
      </c>
      <c r="D23" s="56"/>
      <c r="E23" s="56"/>
      <c r="F23" s="56"/>
    </row>
    <row r="24" spans="1:6" ht="15" customHeight="1">
      <c r="A24" s="56"/>
      <c r="B24" s="56"/>
      <c r="C24" s="56"/>
      <c r="D24" s="56"/>
      <c r="E24" s="56"/>
      <c r="F24" s="56"/>
    </row>
    <row r="25" spans="1:6" ht="15" customHeight="1">
      <c r="A25" s="61" t="s">
        <v>69</v>
      </c>
      <c r="B25" s="56"/>
      <c r="C25" s="56"/>
      <c r="D25" s="203">
        <f>IF(B13=0,0,D17/B13)</f>
        <v>0.0044691015564801975</v>
      </c>
      <c r="E25" s="56"/>
      <c r="F25" s="56"/>
    </row>
    <row r="26" spans="1:6" ht="15" customHeight="1">
      <c r="A26" s="56"/>
      <c r="B26" s="56"/>
      <c r="C26" s="56"/>
      <c r="D26" s="56"/>
      <c r="E26" s="56"/>
      <c r="F26" s="56"/>
    </row>
    <row r="27" spans="1:6" ht="15" customHeight="1">
      <c r="A27" s="56" t="s">
        <v>107</v>
      </c>
      <c r="B27" s="56"/>
      <c r="C27" s="56"/>
      <c r="D27" s="56"/>
      <c r="E27" s="203">
        <f>IF(B13=0,0,E19/B13)</f>
        <v>0.01032516566497149</v>
      </c>
      <c r="F27" s="56"/>
    </row>
    <row r="28" spans="1:6" ht="15" customHeight="1">
      <c r="A28" s="110"/>
      <c r="B28" s="110"/>
      <c r="C28" s="110"/>
      <c r="D28" s="110"/>
      <c r="E28" s="110"/>
      <c r="F28" s="110"/>
    </row>
    <row r="29" spans="1:6" ht="15" customHeight="1">
      <c r="A29" s="110" t="s">
        <v>18</v>
      </c>
      <c r="B29" s="110"/>
      <c r="C29" s="110"/>
      <c r="D29" s="110"/>
      <c r="E29" s="110"/>
      <c r="F29" s="203">
        <f>IF(B13=0,0,F21/B13)</f>
        <v>0</v>
      </c>
    </row>
    <row r="30" spans="1:6" ht="15" customHeight="1">
      <c r="A30" s="110"/>
      <c r="B30" s="110"/>
      <c r="C30" s="110"/>
      <c r="D30" s="110"/>
      <c r="E30" s="110"/>
      <c r="F30" s="110"/>
    </row>
    <row r="34" ht="16.5" customHeight="1"/>
    <row r="35" ht="15.75" customHeight="1"/>
    <row r="36" s="212" customFormat="1" ht="15.75" customHeight="1"/>
    <row r="37" ht="18.75" customHeight="1"/>
    <row r="43"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scale="94" r:id="rId1"/>
  <headerFooter alignWithMargins="0">
    <oddHeader>&amp;R&amp;10State of Kansas
City
</oddHeader>
    <oddFooter>&amp;C&amp;10Page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P55"/>
  <sheetViews>
    <sheetView zoomScalePageLayoutView="0" workbookViewId="0" topLeftCell="A18">
      <selection activeCell="C25" sqref="C25"/>
    </sheetView>
  </sheetViews>
  <sheetFormatPr defaultColWidth="8.8984375" defaultRowHeight="15"/>
  <cols>
    <col min="1" max="1" width="2.3984375" style="57" customWidth="1"/>
    <col min="2" max="2" width="35.69921875" style="57" customWidth="1"/>
    <col min="3" max="4" width="15.69921875" style="57" customWidth="1"/>
    <col min="5" max="5" width="16.19921875" style="57" customWidth="1"/>
    <col min="6" max="6" width="7.19921875" style="57" customWidth="1"/>
    <col min="7" max="7" width="7.09765625" style="57" customWidth="1"/>
    <col min="8" max="8" width="8.8984375" style="57" customWidth="1"/>
    <col min="9" max="9" width="5" style="57" customWidth="1"/>
    <col min="10" max="10" width="7.69921875" style="57" customWidth="1"/>
    <col min="11" max="16384" width="8.8984375" style="57" customWidth="1"/>
  </cols>
  <sheetData>
    <row r="1" spans="2:5" ht="15">
      <c r="B1" s="374" t="str">
        <f>(inputPrYr!D2)</f>
        <v>City of Athol</v>
      </c>
      <c r="C1" s="56"/>
      <c r="D1" s="56"/>
      <c r="E1" s="156">
        <f>inputPrYr!$C$5</f>
        <v>2012</v>
      </c>
    </row>
    <row r="2" spans="2:5" ht="15">
      <c r="B2" s="56"/>
      <c r="C2" s="56"/>
      <c r="D2" s="56"/>
      <c r="E2" s="208"/>
    </row>
    <row r="3" spans="2:5" ht="15">
      <c r="B3" s="73" t="s">
        <v>244</v>
      </c>
      <c r="C3" s="215"/>
      <c r="D3" s="215"/>
      <c r="E3" s="215"/>
    </row>
    <row r="4" spans="2:5" ht="15">
      <c r="B4" s="61" t="s">
        <v>70</v>
      </c>
      <c r="C4" s="366" t="s">
        <v>84</v>
      </c>
      <c r="D4" s="367" t="s">
        <v>178</v>
      </c>
      <c r="E4" s="368" t="s">
        <v>179</v>
      </c>
    </row>
    <row r="5" spans="2:5" ht="15">
      <c r="B5" s="298" t="str">
        <f>+(inputPrYr!B17)</f>
        <v>General</v>
      </c>
      <c r="C5" s="264">
        <f>inputPrYr!$C$5-2</f>
        <v>2010</v>
      </c>
      <c r="D5" s="264">
        <f>inputPrYr!$C$5-1</f>
        <v>2011</v>
      </c>
      <c r="E5" s="213">
        <f>inputPrYr!$C$5</f>
        <v>2012</v>
      </c>
    </row>
    <row r="6" spans="2:5" s="375" customFormat="1" ht="15">
      <c r="B6" s="225" t="s">
        <v>158</v>
      </c>
      <c r="C6" s="421">
        <v>42874</v>
      </c>
      <c r="D6" s="422">
        <f>C39</f>
        <v>24203</v>
      </c>
      <c r="E6" s="423">
        <f>D39</f>
        <v>18103</v>
      </c>
    </row>
    <row r="7" spans="2:5" ht="15">
      <c r="B7" s="373" t="s">
        <v>160</v>
      </c>
      <c r="C7" s="273"/>
      <c r="D7" s="289"/>
      <c r="E7" s="216"/>
    </row>
    <row r="8" spans="2:5" ht="15">
      <c r="B8" s="172" t="s">
        <v>71</v>
      </c>
      <c r="C8" s="272">
        <v>7584</v>
      </c>
      <c r="D8" s="289">
        <f>ROUND(inputPrYr!E17*inputPrYr!E14,0)</f>
        <v>7963</v>
      </c>
      <c r="E8" s="217" t="s">
        <v>60</v>
      </c>
    </row>
    <row r="9" spans="2:5" ht="15">
      <c r="B9" s="172" t="s">
        <v>72</v>
      </c>
      <c r="C9" s="272">
        <f>65+42</f>
        <v>107</v>
      </c>
      <c r="D9" s="274">
        <v>0</v>
      </c>
      <c r="E9" s="218">
        <v>0</v>
      </c>
    </row>
    <row r="10" spans="2:5" ht="15">
      <c r="B10" s="172" t="s">
        <v>73</v>
      </c>
      <c r="C10" s="272">
        <v>796</v>
      </c>
      <c r="D10" s="274">
        <v>862</v>
      </c>
      <c r="E10" s="219">
        <f>Mvalloc!C8</f>
        <v>1068</v>
      </c>
    </row>
    <row r="11" spans="2:5" ht="15">
      <c r="B11" s="172" t="s">
        <v>74</v>
      </c>
      <c r="C11" s="272">
        <v>22</v>
      </c>
      <c r="D11" s="274">
        <v>36</v>
      </c>
      <c r="E11" s="219">
        <f>Mvalloc!D8</f>
        <v>36</v>
      </c>
    </row>
    <row r="12" spans="2:5" ht="15">
      <c r="B12" s="220" t="s">
        <v>100</v>
      </c>
      <c r="C12" s="272">
        <v>3</v>
      </c>
      <c r="D12" s="274">
        <v>71</v>
      </c>
      <c r="E12" s="219">
        <f>Mvalloc!E8</f>
        <v>84</v>
      </c>
    </row>
    <row r="13" spans="2:5" ht="15">
      <c r="B13" s="220" t="s">
        <v>139</v>
      </c>
      <c r="C13" s="272">
        <v>367</v>
      </c>
      <c r="D13" s="274">
        <v>221</v>
      </c>
      <c r="E13" s="219">
        <f>inputOth!E16</f>
        <v>170</v>
      </c>
    </row>
    <row r="14" spans="2:5" ht="15">
      <c r="B14" s="220" t="s">
        <v>36</v>
      </c>
      <c r="C14" s="272">
        <v>0</v>
      </c>
      <c r="D14" s="274">
        <v>0</v>
      </c>
      <c r="E14" s="219">
        <f>inputOth!E35</f>
        <v>0</v>
      </c>
    </row>
    <row r="15" spans="2:5" ht="15">
      <c r="B15" s="220" t="s">
        <v>34</v>
      </c>
      <c r="C15" s="272">
        <v>0</v>
      </c>
      <c r="D15" s="274">
        <v>0</v>
      </c>
      <c r="E15" s="219">
        <f>Mvalloc!F8</f>
        <v>0</v>
      </c>
    </row>
    <row r="16" spans="2:5" ht="15">
      <c r="B16" s="221" t="s">
        <v>235</v>
      </c>
      <c r="C16" s="272">
        <f>9036+2500</f>
        <v>11536</v>
      </c>
      <c r="D16" s="274">
        <v>5600</v>
      </c>
      <c r="E16" s="218">
        <v>5600</v>
      </c>
    </row>
    <row r="17" spans="2:5" ht="15">
      <c r="B17" s="290" t="s">
        <v>136</v>
      </c>
      <c r="C17" s="272">
        <v>355</v>
      </c>
      <c r="D17" s="274">
        <v>0</v>
      </c>
      <c r="E17" s="218">
        <v>0</v>
      </c>
    </row>
    <row r="18" spans="2:5" ht="15">
      <c r="B18" s="221" t="s">
        <v>236</v>
      </c>
      <c r="C18" s="272">
        <v>299</v>
      </c>
      <c r="D18" s="274">
        <v>0</v>
      </c>
      <c r="E18" s="222">
        <v>0</v>
      </c>
    </row>
    <row r="19" spans="2:5" ht="15">
      <c r="B19" s="221" t="s">
        <v>237</v>
      </c>
      <c r="C19" s="272">
        <f>1658+1652+500</f>
        <v>3810</v>
      </c>
      <c r="D19" s="274">
        <v>0</v>
      </c>
      <c r="E19" s="218">
        <v>0</v>
      </c>
    </row>
    <row r="20" spans="2:5" ht="15">
      <c r="B20" s="221" t="s">
        <v>238</v>
      </c>
      <c r="C20" s="272">
        <v>160</v>
      </c>
      <c r="D20" s="274">
        <v>0</v>
      </c>
      <c r="E20" s="218">
        <v>0</v>
      </c>
    </row>
    <row r="21" spans="2:5" ht="15">
      <c r="B21" s="221" t="s">
        <v>247</v>
      </c>
      <c r="C21" s="272">
        <v>500</v>
      </c>
      <c r="D21" s="274">
        <v>0</v>
      </c>
      <c r="E21" s="218">
        <v>0</v>
      </c>
    </row>
    <row r="22" spans="2:5" ht="15">
      <c r="B22" s="44"/>
      <c r="C22" s="272"/>
      <c r="D22" s="274"/>
      <c r="E22" s="218"/>
    </row>
    <row r="23" spans="2:5" ht="15">
      <c r="B23" s="184" t="s">
        <v>137</v>
      </c>
      <c r="C23" s="270">
        <f>13+1500</f>
        <v>1513</v>
      </c>
      <c r="D23" s="274">
        <v>0</v>
      </c>
      <c r="E23" s="223">
        <v>0</v>
      </c>
    </row>
    <row r="24" spans="2:5" ht="15">
      <c r="B24" s="184" t="s">
        <v>212</v>
      </c>
      <c r="C24" s="263">
        <f>IF(C25*0.1&lt;C23,"Exceed 10% Rule","")</f>
      </c>
      <c r="D24" s="275">
        <f>IF(D25*0.1&lt;D23,"Exceed 10% Rule","")</f>
      </c>
      <c r="E24" s="224">
        <f>IF(E25*0.1+E45&lt;E23,"Exceed 10% Rule","")</f>
      </c>
    </row>
    <row r="25" spans="2:5" ht="15">
      <c r="B25" s="225" t="s">
        <v>75</v>
      </c>
      <c r="C25" s="269">
        <f>SUM(C8:C23)</f>
        <v>27052</v>
      </c>
      <c r="D25" s="276">
        <f>SUM(D8:D23)</f>
        <v>14753</v>
      </c>
      <c r="E25" s="226">
        <f>SUM(E8:E23)</f>
        <v>6958</v>
      </c>
    </row>
    <row r="26" spans="2:5" ht="15">
      <c r="B26" s="225" t="s">
        <v>76</v>
      </c>
      <c r="C26" s="269">
        <f>C6+C25</f>
        <v>69926</v>
      </c>
      <c r="D26" s="276">
        <f>D6+D25</f>
        <v>38956</v>
      </c>
      <c r="E26" s="227">
        <f>E6+E25</f>
        <v>25061</v>
      </c>
    </row>
    <row r="27" spans="2:5" ht="15">
      <c r="B27" s="373" t="s">
        <v>77</v>
      </c>
      <c r="C27" s="271"/>
      <c r="D27" s="277"/>
      <c r="E27" s="219"/>
    </row>
    <row r="28" spans="2:5" ht="15">
      <c r="B28" s="228" t="s">
        <v>239</v>
      </c>
      <c r="C28" s="270">
        <v>2928</v>
      </c>
      <c r="D28" s="274">
        <v>3600</v>
      </c>
      <c r="E28" s="287">
        <v>3600</v>
      </c>
    </row>
    <row r="29" spans="2:5" ht="15">
      <c r="B29" s="228" t="s">
        <v>240</v>
      </c>
      <c r="C29" s="270">
        <v>16881</v>
      </c>
      <c r="D29" s="274">
        <v>4300</v>
      </c>
      <c r="E29" s="287">
        <v>4300</v>
      </c>
    </row>
    <row r="30" spans="2:5" ht="15">
      <c r="B30" s="45" t="s">
        <v>241</v>
      </c>
      <c r="C30" s="270">
        <f>4310+217+56+76+12+255+175</f>
        <v>5101</v>
      </c>
      <c r="D30" s="274">
        <v>5000</v>
      </c>
      <c r="E30" s="287">
        <v>5000</v>
      </c>
    </row>
    <row r="31" spans="2:5" ht="15">
      <c r="B31" s="45" t="s">
        <v>208</v>
      </c>
      <c r="C31" s="270">
        <f>5026+9200+5000+201+426</f>
        <v>19853</v>
      </c>
      <c r="D31" s="274">
        <v>7000</v>
      </c>
      <c r="E31" s="287">
        <v>18959</v>
      </c>
    </row>
    <row r="32" spans="2:5" ht="15">
      <c r="B32" s="45" t="s">
        <v>242</v>
      </c>
      <c r="C32" s="270">
        <v>0</v>
      </c>
      <c r="D32" s="274">
        <v>0</v>
      </c>
      <c r="E32" s="287">
        <v>0</v>
      </c>
    </row>
    <row r="33" spans="2:5" ht="15">
      <c r="B33" s="45" t="s">
        <v>243</v>
      </c>
      <c r="C33" s="270">
        <v>0</v>
      </c>
      <c r="D33" s="274">
        <v>0</v>
      </c>
      <c r="E33" s="287">
        <v>0</v>
      </c>
    </row>
    <row r="34" spans="2:5" ht="15">
      <c r="B34" s="228"/>
      <c r="C34" s="270"/>
      <c r="D34" s="274"/>
      <c r="E34" s="218"/>
    </row>
    <row r="35" spans="2:5" ht="15">
      <c r="B35" s="184" t="s">
        <v>25</v>
      </c>
      <c r="C35" s="270">
        <v>960</v>
      </c>
      <c r="D35" s="274">
        <v>953</v>
      </c>
      <c r="E35" s="219">
        <f>Nhood!E7</f>
        <v>703</v>
      </c>
    </row>
    <row r="36" spans="2:5" ht="15">
      <c r="B36" s="184" t="s">
        <v>137</v>
      </c>
      <c r="C36" s="270">
        <v>0</v>
      </c>
      <c r="D36" s="274">
        <v>0</v>
      </c>
      <c r="E36" s="218">
        <v>0</v>
      </c>
    </row>
    <row r="37" spans="2:10" ht="15">
      <c r="B37" s="184" t="s">
        <v>211</v>
      </c>
      <c r="C37" s="263">
        <f>IF(C38*0.1&lt;C36,"Exceed 10% Rule","")</f>
      </c>
      <c r="D37" s="275">
        <f>IF(D38*0.1&lt;D36,"Exceed 10% Rule","")</f>
      </c>
      <c r="E37" s="224">
        <f>IF(E38*0.1&lt;E36,"Exceed 10% Rule","")</f>
      </c>
      <c r="G37" s="456" t="str">
        <f>CONCATENATE("Projected Carryover Into ",E1+1,"")</f>
        <v>Projected Carryover Into 2013</v>
      </c>
      <c r="H37" s="457"/>
      <c r="I37" s="457"/>
      <c r="J37" s="458"/>
    </row>
    <row r="38" spans="2:10" ht="15">
      <c r="B38" s="225" t="s">
        <v>78</v>
      </c>
      <c r="C38" s="269">
        <f>SUM(C28:C36)</f>
        <v>45723</v>
      </c>
      <c r="D38" s="276">
        <f>SUM(D28:D36)</f>
        <v>20853</v>
      </c>
      <c r="E38" s="226">
        <f>SUM(E28:E36)</f>
        <v>32562</v>
      </c>
      <c r="G38" s="92"/>
      <c r="H38" s="88"/>
      <c r="I38" s="88"/>
      <c r="J38" s="162"/>
    </row>
    <row r="39" spans="2:10" s="375" customFormat="1" ht="15">
      <c r="B39" s="225" t="s">
        <v>159</v>
      </c>
      <c r="C39" s="269">
        <f>C26-C38</f>
        <v>24203</v>
      </c>
      <c r="D39" s="276">
        <f>D26-D38</f>
        <v>18103</v>
      </c>
      <c r="E39" s="376" t="s">
        <v>60</v>
      </c>
      <c r="G39" s="377">
        <f>D39</f>
        <v>18103</v>
      </c>
      <c r="H39" s="378" t="str">
        <f>CONCATENATE("",E1-1," Ending Cash Balance (est.)")</f>
        <v>2011 Ending Cash Balance (est.)</v>
      </c>
      <c r="I39" s="379"/>
      <c r="J39" s="380"/>
    </row>
    <row r="40" spans="2:10" ht="15">
      <c r="B40" s="201" t="str">
        <f>CONCATENATE("",E1-2,"/",E1-1," Budget Authority Amount:")</f>
        <v>2010/2011 Budget Authority Amount:</v>
      </c>
      <c r="C40" s="277">
        <f>inputOth!B54</f>
        <v>32525</v>
      </c>
      <c r="D40" s="277">
        <f>inputPrYr!D17</f>
        <v>40832</v>
      </c>
      <c r="E40" s="217" t="s">
        <v>60</v>
      </c>
      <c r="F40" s="229"/>
      <c r="G40" s="316">
        <f>E25</f>
        <v>6958</v>
      </c>
      <c r="H40" s="318" t="str">
        <f>CONCATENATE("",E1," Non-AV Receipts (est.)")</f>
        <v>2012 Non-AV Receipts (est.)</v>
      </c>
      <c r="I40" s="317"/>
      <c r="J40" s="162"/>
    </row>
    <row r="41" spans="2:10" ht="15">
      <c r="B41" s="201"/>
      <c r="C41" s="464" t="s">
        <v>213</v>
      </c>
      <c r="D41" s="465"/>
      <c r="E41" s="79"/>
      <c r="F41" s="310">
        <f>IF(E38/0.95-E38&lt;E41,"Exceeds 5%","")</f>
      </c>
      <c r="G41" s="319">
        <f>E45</f>
        <v>7501</v>
      </c>
      <c r="H41" s="318" t="str">
        <f>CONCATENATE("",E1," Ad Valorem Tax (est.)")</f>
        <v>2012 Ad Valorem Tax (est.)</v>
      </c>
      <c r="I41" s="317"/>
      <c r="J41" s="162"/>
    </row>
    <row r="42" spans="2:10" ht="15">
      <c r="B42" s="278"/>
      <c r="C42" s="466" t="s">
        <v>214</v>
      </c>
      <c r="D42" s="467"/>
      <c r="E42" s="182">
        <f>E38+E41</f>
        <v>32562</v>
      </c>
      <c r="G42" s="316">
        <f>SUM(G39:G41)</f>
        <v>32562</v>
      </c>
      <c r="H42" s="318" t="str">
        <f>CONCATENATE("Total ",E1," Resources Available")</f>
        <v>Total 2012 Resources Available</v>
      </c>
      <c r="I42" s="317"/>
      <c r="J42" s="162"/>
    </row>
    <row r="43" spans="2:10" ht="15">
      <c r="B43" s="278" t="str">
        <f>CONCATENATE(C55,"     ",D55)</f>
        <v>     </v>
      </c>
      <c r="C43" s="230"/>
      <c r="D43" s="208" t="s">
        <v>79</v>
      </c>
      <c r="E43" s="86">
        <f>IF(E42-E26&gt;0,E42-E26,0)</f>
        <v>7501</v>
      </c>
      <c r="G43" s="320"/>
      <c r="H43" s="318"/>
      <c r="I43" s="318"/>
      <c r="J43" s="162"/>
    </row>
    <row r="44" spans="2:10" ht="15">
      <c r="B44" s="231"/>
      <c r="C44" s="291" t="s">
        <v>215</v>
      </c>
      <c r="D44" s="292">
        <f>inputOth!E40</f>
        <v>0</v>
      </c>
      <c r="E44" s="182">
        <f>ROUND(IF(inputOth!E40&gt;0,(E43*inputOth!E40),0),0)</f>
        <v>0</v>
      </c>
      <c r="G44" s="319">
        <f>C38*0.05+C38</f>
        <v>48009.15</v>
      </c>
      <c r="H44" s="318" t="str">
        <f>CONCATENATE("Less ",E1-2," Expenditures + 5%")</f>
        <v>Less 2010 Expenditures + 5%</v>
      </c>
      <c r="I44" s="317"/>
      <c r="J44" s="162"/>
    </row>
    <row r="45" spans="2:10" ht="15">
      <c r="B45" s="56"/>
      <c r="C45" s="462" t="str">
        <f>CONCATENATE("Amount of  ",E1-1," Ad Valorem Tax")</f>
        <v>Amount of  2011 Ad Valorem Tax</v>
      </c>
      <c r="D45" s="463"/>
      <c r="E45" s="232">
        <f>E43+E44</f>
        <v>7501</v>
      </c>
      <c r="G45" s="325">
        <f>G42-G44</f>
        <v>-15447.150000000001</v>
      </c>
      <c r="H45" s="321" t="str">
        <f>CONCATENATE("Projected ",E1+1," Carryover (est.)")</f>
        <v>Projected 2013 Carryover (est.)</v>
      </c>
      <c r="I45" s="322"/>
      <c r="J45" s="323"/>
    </row>
    <row r="46" spans="2:5" ht="15">
      <c r="B46" s="208"/>
      <c r="C46" s="56"/>
      <c r="D46" s="56"/>
      <c r="E46" s="56"/>
    </row>
    <row r="47" spans="2:16" ht="15">
      <c r="B47" s="201" t="s">
        <v>80</v>
      </c>
      <c r="C47" s="382">
        <v>4</v>
      </c>
      <c r="D47" s="56"/>
      <c r="E47" s="56"/>
      <c r="G47" s="338">
        <f>IF(inputOth!E7=0,"",ROUND(general!E45/inputOth!E7*1000,3))</f>
        <v>27.242</v>
      </c>
      <c r="H47" s="337" t="str">
        <f>CONCATENATE("Projected ",E1-1," Mill Rate (est.)")</f>
        <v>Projected 2011 Mill Rate (est.)</v>
      </c>
      <c r="I47" s="335"/>
      <c r="J47" s="336"/>
      <c r="M47" s="459"/>
      <c r="N47" s="459"/>
      <c r="O47" s="459"/>
      <c r="P47" s="460"/>
    </row>
    <row r="48" spans="7:16" ht="15">
      <c r="G48" s="330"/>
      <c r="H48" s="330"/>
      <c r="I48" s="330"/>
      <c r="J48" s="330"/>
      <c r="M48" s="330"/>
      <c r="N48" s="330"/>
      <c r="O48" s="330"/>
      <c r="P48" s="330"/>
    </row>
    <row r="49" spans="3:16" ht="15">
      <c r="C49" s="265"/>
      <c r="D49" s="265"/>
      <c r="E49" s="311"/>
      <c r="F49" s="305"/>
      <c r="G49" s="456" t="str">
        <f>CONCATENATE("Desired Carryover Into ",E1+1,"")</f>
        <v>Desired Carryover Into 2013</v>
      </c>
      <c r="H49" s="461"/>
      <c r="I49" s="461"/>
      <c r="J49" s="458"/>
      <c r="L49" s="339"/>
      <c r="M49" s="331"/>
      <c r="N49" s="332"/>
      <c r="O49" s="332"/>
      <c r="P49" s="333"/>
    </row>
    <row r="50" spans="3:16" ht="15">
      <c r="C50" s="312"/>
      <c r="D50" s="268"/>
      <c r="E50" s="311"/>
      <c r="F50" s="268"/>
      <c r="G50" s="353"/>
      <c r="H50" s="88"/>
      <c r="I50" s="318"/>
      <c r="J50" s="354"/>
      <c r="M50" s="312"/>
      <c r="N50" s="268"/>
      <c r="O50" s="312"/>
      <c r="P50" s="333"/>
    </row>
    <row r="51" spans="3:16" ht="15">
      <c r="C51" s="313"/>
      <c r="D51" s="314"/>
      <c r="E51" s="311"/>
      <c r="F51" s="268"/>
      <c r="G51" s="324" t="s">
        <v>219</v>
      </c>
      <c r="H51" s="318"/>
      <c r="I51" s="318"/>
      <c r="J51" s="315">
        <v>0</v>
      </c>
      <c r="M51" s="312"/>
      <c r="N51" s="268"/>
      <c r="O51" s="312"/>
      <c r="P51" s="334"/>
    </row>
    <row r="52" spans="3:10" ht="14.25" customHeight="1">
      <c r="C52" s="266"/>
      <c r="D52" s="268"/>
      <c r="E52" s="268"/>
      <c r="F52" s="268"/>
      <c r="G52" s="353" t="s">
        <v>218</v>
      </c>
      <c r="H52" s="88"/>
      <c r="I52" s="88"/>
      <c r="J52" s="358">
        <f>IF(general!J51=0,"",ROUND((J51+E45-G45)/inputOth!E7*1000,3)-G47)</f>
      </c>
    </row>
    <row r="53" spans="3:10" ht="15">
      <c r="C53" s="266"/>
      <c r="D53" s="268"/>
      <c r="E53" s="268"/>
      <c r="F53" s="268"/>
      <c r="G53" s="355" t="str">
        <f>CONCATENATE("",E1," Total Expenditures Must Be:")</f>
        <v>2012 Total Expenditures Must Be:</v>
      </c>
      <c r="H53" s="356"/>
      <c r="I53" s="357"/>
      <c r="J53" s="359">
        <f>IF((J51&gt;0),(E38+J51-G45),0)</f>
        <v>0</v>
      </c>
    </row>
    <row r="54" spans="3:6" ht="15" hidden="1">
      <c r="C54" s="304" t="str">
        <f>IF(C38&gt;C40,"See Tab A","")</f>
        <v>See Tab A</v>
      </c>
      <c r="D54" s="303">
        <f>IF(D38&gt;D40,"See Tab C","")</f>
      </c>
      <c r="E54" s="268"/>
      <c r="F54" s="268"/>
    </row>
    <row r="55" spans="3:4" ht="15" hidden="1">
      <c r="C55" s="302">
        <f>IF(C39&lt;0,"See Tab B","")</f>
      </c>
      <c r="D55" s="302">
        <f>IF(D39&lt;0,"See Tab D","")</f>
      </c>
    </row>
  </sheetData>
  <sheetProtection/>
  <mergeCells count="6">
    <mergeCell ref="G37:J37"/>
    <mergeCell ref="M47:P47"/>
    <mergeCell ref="G49:J49"/>
    <mergeCell ref="C45:D45"/>
    <mergeCell ref="C41:D41"/>
    <mergeCell ref="C42:D42"/>
  </mergeCells>
  <conditionalFormatting sqref="E36">
    <cfRule type="cellIs" priority="3" dxfId="31" operator="greaterThan" stopIfTrue="1">
      <formula>$E$38*0.1</formula>
    </cfRule>
  </conditionalFormatting>
  <conditionalFormatting sqref="E41">
    <cfRule type="cellIs" priority="4" dxfId="31" operator="greaterThan" stopIfTrue="1">
      <formula>$E$38/0.95-$E$38</formula>
    </cfRule>
  </conditionalFormatting>
  <conditionalFormatting sqref="C39">
    <cfRule type="cellIs" priority="5" dxfId="5" operator="lessThan" stopIfTrue="1">
      <formula>0</formula>
    </cfRule>
  </conditionalFormatting>
  <conditionalFormatting sqref="D38">
    <cfRule type="cellIs" priority="6" dxfId="5" operator="greaterThan" stopIfTrue="1">
      <formula>$D$40</formula>
    </cfRule>
  </conditionalFormatting>
  <conditionalFormatting sqref="C36">
    <cfRule type="cellIs" priority="8" dxfId="5" operator="greaterThan" stopIfTrue="1">
      <formula>$C$38*0.1</formula>
    </cfRule>
  </conditionalFormatting>
  <conditionalFormatting sqref="D36">
    <cfRule type="cellIs" priority="9" dxfId="5" operator="greaterThan" stopIfTrue="1">
      <formula>$D$38*0.1</formula>
    </cfRule>
  </conditionalFormatting>
  <conditionalFormatting sqref="C23">
    <cfRule type="cellIs" priority="10" dxfId="5" operator="greaterThan" stopIfTrue="1">
      <formula>$C$25*0.1</formula>
    </cfRule>
  </conditionalFormatting>
  <conditionalFormatting sqref="D23">
    <cfRule type="cellIs" priority="11" dxfId="5" operator="greaterThan" stopIfTrue="1">
      <formula>$D$25*0.1</formula>
    </cfRule>
  </conditionalFormatting>
  <conditionalFormatting sqref="E23">
    <cfRule type="cellIs" priority="12" dxfId="31" operator="greaterThan" stopIfTrue="1">
      <formula>$E$25*0.1+E45</formula>
    </cfRule>
  </conditionalFormatting>
  <conditionalFormatting sqref="D39">
    <cfRule type="cellIs" priority="2" dxfId="0" operator="lessThan" stopIfTrue="1">
      <formula>0</formula>
    </cfRule>
  </conditionalFormatting>
  <conditionalFormatting sqref="C38">
    <cfRule type="cellIs" priority="1" dxfId="0" operator="greaterThan" stopIfTrue="1">
      <formula>$C$40</formula>
    </cfRule>
  </conditionalFormatting>
  <printOptions/>
  <pageMargins left="0.5" right="0.5" top="1" bottom="0.5" header="0.5" footer="0.5"/>
  <pageSetup blackAndWhite="1" fitToHeight="1" fitToWidth="1" horizontalDpi="120" verticalDpi="120" orientation="portrait" scale="89" r:id="rId1"/>
  <headerFooter alignWithMargins="0">
    <oddHeader>&amp;R&amp;10State of Kansas
City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81"/>
  <sheetViews>
    <sheetView zoomScalePageLayoutView="0" workbookViewId="0" topLeftCell="A22">
      <selection activeCell="C25" sqref="C25"/>
    </sheetView>
  </sheetViews>
  <sheetFormatPr defaultColWidth="8.8984375" defaultRowHeight="15"/>
  <cols>
    <col min="1" max="1" width="40.69921875" style="57" customWidth="1"/>
    <col min="2" max="4" width="20.69921875" style="57" customWidth="1"/>
    <col min="5" max="16384" width="8.8984375" style="57" customWidth="1"/>
  </cols>
  <sheetData>
    <row r="1" spans="1:4" ht="15">
      <c r="A1" s="374" t="str">
        <f>(inputPrYr!D2)</f>
        <v>City of Athol</v>
      </c>
      <c r="B1" s="192"/>
      <c r="C1" s="56"/>
      <c r="D1" s="156">
        <f>inputPrYr!$C$5</f>
        <v>2012</v>
      </c>
    </row>
    <row r="2" spans="1:4" ht="15">
      <c r="A2" s="56"/>
      <c r="B2" s="56"/>
      <c r="C2" s="56"/>
      <c r="D2" s="208"/>
    </row>
    <row r="3" spans="1:4" ht="15">
      <c r="A3" s="73" t="s">
        <v>104</v>
      </c>
      <c r="B3" s="73"/>
      <c r="C3" s="215"/>
      <c r="D3" s="158"/>
    </row>
    <row r="4" spans="1:4" ht="15">
      <c r="A4" s="61" t="s">
        <v>70</v>
      </c>
      <c r="B4" s="366" t="s">
        <v>84</v>
      </c>
      <c r="C4" s="367" t="s">
        <v>178</v>
      </c>
      <c r="D4" s="368" t="s">
        <v>179</v>
      </c>
    </row>
    <row r="5" spans="1:4" ht="15">
      <c r="A5" s="297" t="str">
        <f>inputPrYr!B19</f>
        <v>Noxious Weed</v>
      </c>
      <c r="B5" s="264">
        <f>inputPrYr!$C$5-2</f>
        <v>2010</v>
      </c>
      <c r="C5" s="264">
        <f>inputPrYr!$C$5-1</f>
        <v>2011</v>
      </c>
      <c r="D5" s="213">
        <f>inputPrYr!$C$5</f>
        <v>2012</v>
      </c>
    </row>
    <row r="6" spans="1:4" s="375" customFormat="1" ht="15">
      <c r="A6" s="225" t="s">
        <v>158</v>
      </c>
      <c r="B6" s="421">
        <v>0</v>
      </c>
      <c r="C6" s="412">
        <f>B29</f>
        <v>0</v>
      </c>
      <c r="D6" s="416">
        <f>C29</f>
        <v>0</v>
      </c>
    </row>
    <row r="7" spans="1:4" ht="15">
      <c r="A7" s="225" t="s">
        <v>160</v>
      </c>
      <c r="B7" s="172"/>
      <c r="C7" s="271"/>
      <c r="D7" s="277"/>
    </row>
    <row r="8" spans="1:4" ht="15">
      <c r="A8" s="172" t="s">
        <v>71</v>
      </c>
      <c r="B8" s="272">
        <v>2539</v>
      </c>
      <c r="C8" s="271">
        <f>ROUND(inputPrYr!E19*inputPrYr!E14,0)</f>
        <v>2415</v>
      </c>
      <c r="D8" s="217" t="s">
        <v>60</v>
      </c>
    </row>
    <row r="9" spans="1:4" ht="15">
      <c r="A9" s="172" t="s">
        <v>72</v>
      </c>
      <c r="B9" s="272">
        <f>20+11</f>
        <v>31</v>
      </c>
      <c r="C9" s="272">
        <v>0</v>
      </c>
      <c r="D9" s="274">
        <v>0</v>
      </c>
    </row>
    <row r="10" spans="1:4" ht="15">
      <c r="A10" s="172" t="s">
        <v>73</v>
      </c>
      <c r="B10" s="272">
        <v>270</v>
      </c>
      <c r="C10" s="272">
        <v>289</v>
      </c>
      <c r="D10" s="277">
        <f>Mvalloc!C9</f>
        <v>324</v>
      </c>
    </row>
    <row r="11" spans="1:4" ht="15">
      <c r="A11" s="172" t="s">
        <v>74</v>
      </c>
      <c r="B11" s="272">
        <v>9</v>
      </c>
      <c r="C11" s="272">
        <v>12</v>
      </c>
      <c r="D11" s="277">
        <f>Mvalloc!D9</f>
        <v>11</v>
      </c>
    </row>
    <row r="12" spans="1:4" ht="15">
      <c r="A12" s="184" t="s">
        <v>100</v>
      </c>
      <c r="B12" s="272">
        <v>2</v>
      </c>
      <c r="C12" s="272">
        <v>24</v>
      </c>
      <c r="D12" s="277">
        <f>Mvalloc!E9</f>
        <v>25</v>
      </c>
    </row>
    <row r="13" spans="1:4" ht="15">
      <c r="A13" s="184" t="s">
        <v>34</v>
      </c>
      <c r="B13" s="272">
        <v>0</v>
      </c>
      <c r="C13" s="272">
        <v>0</v>
      </c>
      <c r="D13" s="277">
        <f>Mvalloc!F9</f>
        <v>0</v>
      </c>
    </row>
    <row r="14" spans="1:4" ht="15">
      <c r="A14" s="242"/>
      <c r="B14" s="272"/>
      <c r="C14" s="272"/>
      <c r="D14" s="420"/>
    </row>
    <row r="15" spans="1:4" ht="15">
      <c r="A15" s="242"/>
      <c r="B15" s="272"/>
      <c r="C15" s="272"/>
      <c r="D15" s="420"/>
    </row>
    <row r="16" spans="1:4" ht="15">
      <c r="A16" s="172" t="s">
        <v>137</v>
      </c>
      <c r="B16" s="272">
        <v>0</v>
      </c>
      <c r="C16" s="272">
        <v>0</v>
      </c>
      <c r="D16" s="420">
        <v>0</v>
      </c>
    </row>
    <row r="17" spans="1:4" ht="15">
      <c r="A17" s="172" t="s">
        <v>212</v>
      </c>
      <c r="B17" s="296">
        <f>IF(B18*0.1&lt;B16,"Exceed 10% Rule","")</f>
      </c>
      <c r="C17" s="414">
        <f>IF(C18*0.1&lt;C16,"Exceed 10% Rule","")</f>
      </c>
      <c r="D17" s="415">
        <f>IF(D18*0.1+D35&lt;D16,"Exceed 10% Rule","")</f>
      </c>
    </row>
    <row r="18" spans="1:4" ht="15">
      <c r="A18" s="225" t="s">
        <v>75</v>
      </c>
      <c r="B18" s="412">
        <f>SUM(B8:B16)</f>
        <v>2851</v>
      </c>
      <c r="C18" s="412">
        <f>SUM(C8:C16)</f>
        <v>2740</v>
      </c>
      <c r="D18" s="416">
        <f>SUM(D8:D16)</f>
        <v>360</v>
      </c>
    </row>
    <row r="19" spans="1:4" ht="15">
      <c r="A19" s="225" t="s">
        <v>76</v>
      </c>
      <c r="B19" s="412">
        <f>B6+B18</f>
        <v>2851</v>
      </c>
      <c r="C19" s="412">
        <f>C6+C18</f>
        <v>2740</v>
      </c>
      <c r="D19" s="416">
        <f>D6+D18</f>
        <v>360</v>
      </c>
    </row>
    <row r="20" spans="1:4" ht="15">
      <c r="A20" s="225" t="s">
        <v>77</v>
      </c>
      <c r="B20" s="413"/>
      <c r="C20" s="271"/>
      <c r="D20" s="277"/>
    </row>
    <row r="21" spans="1:4" ht="15">
      <c r="A21" s="242" t="s">
        <v>241</v>
      </c>
      <c r="B21" s="272">
        <f>2145+226</f>
        <v>2371</v>
      </c>
      <c r="C21" s="272">
        <v>2451</v>
      </c>
      <c r="D21" s="420">
        <v>2500</v>
      </c>
    </row>
    <row r="22" spans="1:4" ht="15">
      <c r="A22" s="242" t="s">
        <v>245</v>
      </c>
      <c r="B22" s="272">
        <v>159</v>
      </c>
      <c r="C22" s="272">
        <v>0</v>
      </c>
      <c r="D22" s="420">
        <v>0</v>
      </c>
    </row>
    <row r="23" spans="1:4" ht="15">
      <c r="A23" s="242"/>
      <c r="B23" s="272"/>
      <c r="C23" s="272"/>
      <c r="D23" s="420"/>
    </row>
    <row r="24" spans="1:4" ht="15">
      <c r="A24" s="242"/>
      <c r="B24" s="272"/>
      <c r="C24" s="272"/>
      <c r="D24" s="420"/>
    </row>
    <row r="25" spans="1:4" ht="15">
      <c r="A25" s="240" t="s">
        <v>25</v>
      </c>
      <c r="B25" s="272">
        <v>321</v>
      </c>
      <c r="C25" s="272">
        <v>289</v>
      </c>
      <c r="D25" s="182">
        <f>Nhood!E8</f>
        <v>221</v>
      </c>
    </row>
    <row r="26" spans="1:4" ht="15">
      <c r="A26" s="240" t="s">
        <v>137</v>
      </c>
      <c r="B26" s="272">
        <v>0</v>
      </c>
      <c r="C26" s="272">
        <v>0</v>
      </c>
      <c r="D26" s="420">
        <v>0</v>
      </c>
    </row>
    <row r="27" spans="1:4" ht="15">
      <c r="A27" s="240" t="s">
        <v>216</v>
      </c>
      <c r="B27" s="417">
        <f>IF(B28*0.1&lt;B26,"Exceed 10% Rule","")</f>
      </c>
      <c r="C27" s="418">
        <f>IF(C28*0.1&lt;C26,"Exceed 10% Rule","")</f>
      </c>
      <c r="D27" s="419">
        <f>IF(D28*0.1&lt;D26,"Exceed 10% Rule","")</f>
      </c>
    </row>
    <row r="28" spans="1:4" ht="15">
      <c r="A28" s="225" t="s">
        <v>78</v>
      </c>
      <c r="B28" s="269">
        <f>SUM(B21:B26)</f>
        <v>2851</v>
      </c>
      <c r="C28" s="269">
        <f>SUM(C21:C26)</f>
        <v>2740</v>
      </c>
      <c r="D28" s="276">
        <f>SUM(D21:D26)</f>
        <v>2721</v>
      </c>
    </row>
    <row r="29" spans="1:4" s="375" customFormat="1" ht="15">
      <c r="A29" s="225" t="s">
        <v>159</v>
      </c>
      <c r="B29" s="269">
        <f>B19-B28</f>
        <v>0</v>
      </c>
      <c r="C29" s="269">
        <f>C19-C28</f>
        <v>0</v>
      </c>
      <c r="D29" s="376" t="s">
        <v>60</v>
      </c>
    </row>
    <row r="30" spans="1:5" ht="15">
      <c r="A30" s="201" t="str">
        <f>CONCATENATE("",D1-2,"/",D1-1," Budget Authority Amount:")</f>
        <v>2010/2011 Budget Authority Amount:</v>
      </c>
      <c r="B30" s="271">
        <f>inputOth!B55</f>
        <v>2866</v>
      </c>
      <c r="C30" s="277">
        <f>inputPrYr!D19</f>
        <v>2789</v>
      </c>
      <c r="D30" s="217" t="s">
        <v>60</v>
      </c>
      <c r="E30" s="229"/>
    </row>
    <row r="31" spans="1:5" ht="15">
      <c r="A31" s="201"/>
      <c r="B31" s="464" t="s">
        <v>213</v>
      </c>
      <c r="C31" s="465"/>
      <c r="D31" s="79"/>
      <c r="E31" s="229">
        <f>IF(D28/0.95-D28&lt;D31,"Exceeds 5%","")</f>
      </c>
    </row>
    <row r="32" spans="1:4" ht="15">
      <c r="A32" s="278" t="str">
        <f>CONCATENATE(B78,"     ",C78)</f>
        <v>     </v>
      </c>
      <c r="B32" s="466" t="s">
        <v>214</v>
      </c>
      <c r="C32" s="467"/>
      <c r="D32" s="182">
        <f>D28+D31</f>
        <v>2721</v>
      </c>
    </row>
    <row r="33" spans="1:4" ht="15">
      <c r="A33" s="278" t="str">
        <f>CONCATENATE(B79,"     ",C79)</f>
        <v>     </v>
      </c>
      <c r="B33" s="230"/>
      <c r="C33" s="208" t="s">
        <v>79</v>
      </c>
      <c r="D33" s="86">
        <f>IF(D32-D19&gt;0,D32-D19,0)</f>
        <v>2361</v>
      </c>
    </row>
    <row r="34" spans="1:4" ht="15">
      <c r="A34" s="208"/>
      <c r="B34" s="291" t="s">
        <v>215</v>
      </c>
      <c r="C34" s="300">
        <f>inputOth!$E$40</f>
        <v>0</v>
      </c>
      <c r="D34" s="182">
        <f>ROUND(IF(C34&gt;0,(D33*C34),0),0)</f>
        <v>0</v>
      </c>
    </row>
    <row r="35" spans="1:4" ht="15">
      <c r="A35" s="56"/>
      <c r="B35" s="462" t="str">
        <f>CONCATENATE("Amount of  ",D1-1," Ad Valorem Tax")</f>
        <v>Amount of  2011 Ad Valorem Tax</v>
      </c>
      <c r="C35" s="463"/>
      <c r="D35" s="241">
        <f>D33+D34</f>
        <v>2361</v>
      </c>
    </row>
    <row r="36" spans="1:4" ht="15">
      <c r="A36" s="61" t="s">
        <v>70</v>
      </c>
      <c r="B36" s="61"/>
      <c r="C36" s="215"/>
      <c r="D36" s="215"/>
    </row>
    <row r="37" spans="1:4" ht="15">
      <c r="A37" s="56"/>
      <c r="B37" s="366" t="s">
        <v>84</v>
      </c>
      <c r="C37" s="367" t="s">
        <v>178</v>
      </c>
      <c r="D37" s="368" t="s">
        <v>179</v>
      </c>
    </row>
    <row r="38" spans="1:4" ht="15">
      <c r="A38" s="298" t="str">
        <f>(inputPrYr!B20)</f>
        <v>Library</v>
      </c>
      <c r="B38" s="264">
        <f>inputPrYr!$C$5-2</f>
        <v>2010</v>
      </c>
      <c r="C38" s="264">
        <f>inputPrYr!$C$5-1</f>
        <v>2011</v>
      </c>
      <c r="D38" s="213">
        <f>inputPrYr!$C$5</f>
        <v>2012</v>
      </c>
    </row>
    <row r="39" spans="1:4" s="375" customFormat="1" ht="15">
      <c r="A39" s="225" t="s">
        <v>158</v>
      </c>
      <c r="B39" s="421">
        <v>1428</v>
      </c>
      <c r="C39" s="424">
        <f>B60</f>
        <v>243</v>
      </c>
      <c r="D39" s="425">
        <f>C60</f>
        <v>0</v>
      </c>
    </row>
    <row r="40" spans="1:4" ht="15">
      <c r="A40" s="373" t="s">
        <v>160</v>
      </c>
      <c r="B40" s="172"/>
      <c r="C40" s="295"/>
      <c r="D40" s="182"/>
    </row>
    <row r="41" spans="1:4" ht="15">
      <c r="A41" s="172" t="s">
        <v>71</v>
      </c>
      <c r="B41" s="272">
        <f>2428+25</f>
        <v>2453</v>
      </c>
      <c r="C41" s="295">
        <f>ROUND(inputPrYr!E20*inputPrYr!E14,0)</f>
        <v>2341</v>
      </c>
      <c r="D41" s="217" t="s">
        <v>60</v>
      </c>
    </row>
    <row r="42" spans="1:4" ht="15">
      <c r="A42" s="172" t="s">
        <v>72</v>
      </c>
      <c r="B42" s="272">
        <f>27+14</f>
        <v>41</v>
      </c>
      <c r="C42" s="272">
        <v>0</v>
      </c>
      <c r="D42" s="79">
        <v>0</v>
      </c>
    </row>
    <row r="43" spans="1:4" ht="15">
      <c r="A43" s="172" t="s">
        <v>73</v>
      </c>
      <c r="B43" s="272">
        <v>327</v>
      </c>
      <c r="C43" s="272">
        <v>276</v>
      </c>
      <c r="D43" s="277">
        <f>Mvalloc!C10</f>
        <v>314</v>
      </c>
    </row>
    <row r="44" spans="1:4" ht="15">
      <c r="A44" s="172" t="s">
        <v>74</v>
      </c>
      <c r="B44" s="272">
        <v>8</v>
      </c>
      <c r="C44" s="272">
        <v>0</v>
      </c>
      <c r="D44" s="277">
        <f>Mvalloc!D10</f>
        <v>11</v>
      </c>
    </row>
    <row r="45" spans="1:4" ht="15">
      <c r="A45" s="184" t="s">
        <v>100</v>
      </c>
      <c r="B45" s="272">
        <v>1</v>
      </c>
      <c r="C45" s="272">
        <v>0</v>
      </c>
      <c r="D45" s="277">
        <f>Mvalloc!E10</f>
        <v>25</v>
      </c>
    </row>
    <row r="46" spans="1:4" ht="15">
      <c r="A46" s="184" t="s">
        <v>34</v>
      </c>
      <c r="B46" s="272">
        <v>0</v>
      </c>
      <c r="C46" s="272">
        <v>0</v>
      </c>
      <c r="D46" s="277">
        <f>Mvalloc!F10</f>
        <v>0</v>
      </c>
    </row>
    <row r="47" spans="1:4" ht="15">
      <c r="A47" s="242" t="s">
        <v>246</v>
      </c>
      <c r="B47" s="272">
        <v>40</v>
      </c>
      <c r="C47" s="272">
        <v>0</v>
      </c>
      <c r="D47" s="420">
        <v>0</v>
      </c>
    </row>
    <row r="48" spans="1:4" ht="15">
      <c r="A48" s="242"/>
      <c r="B48" s="272"/>
      <c r="C48" s="272"/>
      <c r="D48" s="420"/>
    </row>
    <row r="49" spans="1:4" ht="15">
      <c r="A49" s="172" t="s">
        <v>137</v>
      </c>
      <c r="B49" s="272">
        <v>0</v>
      </c>
      <c r="C49" s="272">
        <v>0</v>
      </c>
      <c r="D49" s="420">
        <v>0</v>
      </c>
    </row>
    <row r="50" spans="1:4" ht="15">
      <c r="A50" s="172" t="s">
        <v>212</v>
      </c>
      <c r="B50" s="293">
        <f>IF(B51*0.1&lt;B49,"Exceed 10% Rule","")</f>
      </c>
      <c r="C50" s="299">
        <f>IF(C51*0.1&lt;C49,"Exceed 10% Rule","")</f>
      </c>
      <c r="D50" s="237">
        <f>IF(D51*0.1+D65&lt;D49,"Exceed 10% Rule","")</f>
      </c>
    </row>
    <row r="51" spans="1:4" ht="15">
      <c r="A51" s="225" t="s">
        <v>75</v>
      </c>
      <c r="B51" s="294">
        <f>SUM(B41:B49)</f>
        <v>2870</v>
      </c>
      <c r="C51" s="294">
        <f>SUM(C41:C49)</f>
        <v>2617</v>
      </c>
      <c r="D51" s="238">
        <f>SUM(D41:D49)</f>
        <v>350</v>
      </c>
    </row>
    <row r="52" spans="1:4" ht="15">
      <c r="A52" s="225" t="s">
        <v>76</v>
      </c>
      <c r="B52" s="294">
        <f>B39+B51</f>
        <v>4298</v>
      </c>
      <c r="C52" s="294">
        <f>C39+C51</f>
        <v>2860</v>
      </c>
      <c r="D52" s="238">
        <f>D39+D51</f>
        <v>350</v>
      </c>
    </row>
    <row r="53" spans="1:4" ht="15">
      <c r="A53" s="225" t="s">
        <v>77</v>
      </c>
      <c r="B53" s="172"/>
      <c r="C53" s="295"/>
      <c r="D53" s="182"/>
    </row>
    <row r="54" spans="1:4" ht="15">
      <c r="A54" s="242" t="s">
        <v>241</v>
      </c>
      <c r="B54" s="272">
        <f>1035+1329+884</f>
        <v>3248</v>
      </c>
      <c r="C54" s="272">
        <v>2580</v>
      </c>
      <c r="D54" s="420">
        <v>3200</v>
      </c>
    </row>
    <row r="55" spans="1:4" ht="15">
      <c r="A55" s="242" t="s">
        <v>245</v>
      </c>
      <c r="B55" s="272">
        <v>500</v>
      </c>
      <c r="C55" s="272">
        <v>0</v>
      </c>
      <c r="D55" s="420">
        <v>0</v>
      </c>
    </row>
    <row r="56" spans="1:4" ht="15">
      <c r="A56" s="184" t="s">
        <v>25</v>
      </c>
      <c r="B56" s="272">
        <v>307</v>
      </c>
      <c r="C56" s="272">
        <v>280</v>
      </c>
      <c r="D56" s="182">
        <f>Nhood!E9</f>
        <v>295</v>
      </c>
    </row>
    <row r="57" spans="1:4" ht="15">
      <c r="A57" s="184" t="s">
        <v>137</v>
      </c>
      <c r="B57" s="272">
        <v>0</v>
      </c>
      <c r="C57" s="272">
        <v>0</v>
      </c>
      <c r="D57" s="420">
        <v>0</v>
      </c>
    </row>
    <row r="58" spans="1:4" ht="15">
      <c r="A58" s="184" t="s">
        <v>211</v>
      </c>
      <c r="B58" s="293">
        <f>IF(B59*0.1&lt;B57,"Exceed 10% Rule","")</f>
      </c>
      <c r="C58" s="299">
        <f>IF(C59*0.1&lt;C57,"Exceed 10% Rule","")</f>
      </c>
      <c r="D58" s="237">
        <f>IF(D59*0.1&lt;D57,"Exceed 10% Rule","")</f>
      </c>
    </row>
    <row r="59" spans="1:4" ht="15">
      <c r="A59" s="225" t="s">
        <v>78</v>
      </c>
      <c r="B59" s="294">
        <f>SUM(B54:B57)</f>
        <v>4055</v>
      </c>
      <c r="C59" s="294">
        <f>SUM(C54:C57)</f>
        <v>2860</v>
      </c>
      <c r="D59" s="238">
        <f>SUM(D54:D57)</f>
        <v>3495</v>
      </c>
    </row>
    <row r="60" spans="1:4" s="375" customFormat="1" ht="15">
      <c r="A60" s="225" t="s">
        <v>159</v>
      </c>
      <c r="B60" s="294">
        <f>B52-B59</f>
        <v>243</v>
      </c>
      <c r="C60" s="294">
        <f>C52-C59</f>
        <v>0</v>
      </c>
      <c r="D60" s="376" t="s">
        <v>60</v>
      </c>
    </row>
    <row r="61" spans="1:5" ht="15">
      <c r="A61" s="201" t="str">
        <f>CONCATENATE("",D1-2,"/",D1-1," Budget Authority Amount:")</f>
        <v>2010/2011 Budget Authority Amount:</v>
      </c>
      <c r="B61" s="271">
        <f>inputOth!B56</f>
        <v>3500</v>
      </c>
      <c r="C61" s="271">
        <f>inputPrYr!D20</f>
        <v>3430</v>
      </c>
      <c r="D61" s="217" t="s">
        <v>60</v>
      </c>
      <c r="E61" s="229"/>
    </row>
    <row r="62" spans="1:5" ht="15">
      <c r="A62" s="201"/>
      <c r="B62" s="464" t="s">
        <v>213</v>
      </c>
      <c r="C62" s="465"/>
      <c r="D62" s="79"/>
      <c r="E62" s="229">
        <f>IF(D59/0.95-D59&lt;D62,"Exceeds 5%","")</f>
      </c>
    </row>
    <row r="63" spans="1:4" ht="15">
      <c r="A63" s="278"/>
      <c r="B63" s="466" t="s">
        <v>214</v>
      </c>
      <c r="C63" s="467"/>
      <c r="D63" s="182">
        <f>D59+D62</f>
        <v>3495</v>
      </c>
    </row>
    <row r="64" spans="1:4" ht="15">
      <c r="A64" s="278" t="str">
        <f>CONCATENATE(B81,"     ",C81)</f>
        <v>     </v>
      </c>
      <c r="B64" s="230"/>
      <c r="C64" s="208" t="s">
        <v>79</v>
      </c>
      <c r="D64" s="86">
        <f>IF(D63-D52&gt;0,D63-D52,0)</f>
        <v>3145</v>
      </c>
    </row>
    <row r="65" spans="1:4" ht="15">
      <c r="A65" s="208"/>
      <c r="B65" s="291" t="s">
        <v>215</v>
      </c>
      <c r="C65" s="300">
        <f>inputOth!E40</f>
        <v>0</v>
      </c>
      <c r="D65" s="182">
        <f>ROUND(IF(C65&gt;0,(D64*C65),0),0)</f>
        <v>0</v>
      </c>
    </row>
    <row r="66" spans="1:4" ht="15">
      <c r="A66" s="56"/>
      <c r="B66" s="462" t="str">
        <f>CONCATENATE("Amount of  ",D1-1," Ad Valorem Tax")</f>
        <v>Amount of  2011 Ad Valorem Tax</v>
      </c>
      <c r="C66" s="463"/>
      <c r="D66" s="241">
        <f>D64+D65</f>
        <v>3145</v>
      </c>
    </row>
    <row r="67" spans="1:4" ht="15">
      <c r="A67" s="208" t="s">
        <v>80</v>
      </c>
      <c r="B67" s="381">
        <v>5</v>
      </c>
      <c r="C67" s="110"/>
      <c r="D67" s="56"/>
    </row>
    <row r="69" spans="1:2" ht="15">
      <c r="A69" s="118"/>
      <c r="B69" s="118"/>
    </row>
    <row r="78" spans="2:3" ht="15" hidden="1">
      <c r="B78" s="307">
        <f>IF(B28&gt;B30,"See Tab A","")</f>
      </c>
      <c r="C78" s="307">
        <f>IF(C28&gt;C30,"See Tab C","")</f>
      </c>
    </row>
    <row r="79" spans="2:3" ht="15" hidden="1">
      <c r="B79" s="307">
        <f>IF(B29&lt;0,"See Tab B","")</f>
      </c>
      <c r="C79" s="307">
        <f>IF(C29&lt;0,"See Tab D","")</f>
      </c>
    </row>
    <row r="80" spans="2:3" ht="15" hidden="1">
      <c r="B80" s="301" t="str">
        <f>IF(B59&gt;B61,"See Tab A","")</f>
        <v>See Tab A</v>
      </c>
      <c r="C80" s="301">
        <f>IF(C59&gt;C61,"See Tab C","")</f>
      </c>
    </row>
    <row r="81" spans="2:3" ht="15" hidden="1">
      <c r="B81" s="301">
        <f>IF(B60&lt;0,"See Tab B","")</f>
      </c>
      <c r="C81" s="301">
        <f>IF(C60&lt;0,"See Tab D","")</f>
      </c>
    </row>
  </sheetData>
  <sheetProtection/>
  <mergeCells count="6">
    <mergeCell ref="B31:C31"/>
    <mergeCell ref="B32:C32"/>
    <mergeCell ref="B35:C35"/>
    <mergeCell ref="B66:C66"/>
    <mergeCell ref="B62:C62"/>
    <mergeCell ref="B63:C63"/>
  </mergeCells>
  <conditionalFormatting sqref="D62">
    <cfRule type="cellIs" priority="4" dxfId="31" operator="greaterThan" stopIfTrue="1">
      <formula>$D$59/0.95-$D$59</formula>
    </cfRule>
  </conditionalFormatting>
  <conditionalFormatting sqref="D31">
    <cfRule type="cellIs" priority="6" dxfId="31" operator="greaterThan" stopIfTrue="1">
      <formula>$D$28/0.95-$D$28</formula>
    </cfRule>
  </conditionalFormatting>
  <conditionalFormatting sqref="B59">
    <cfRule type="cellIs" priority="7" dxfId="5" operator="greaterThan" stopIfTrue="1">
      <formula>$B$61</formula>
    </cfRule>
  </conditionalFormatting>
  <conditionalFormatting sqref="B60 B29">
    <cfRule type="cellIs" priority="8" dxfId="5" operator="lessThan" stopIfTrue="1">
      <formula>0</formula>
    </cfRule>
  </conditionalFormatting>
  <conditionalFormatting sqref="C59">
    <cfRule type="cellIs" priority="9" dxfId="5" operator="greaterThan" stopIfTrue="1">
      <formula>$C$61</formula>
    </cfRule>
  </conditionalFormatting>
  <conditionalFormatting sqref="B28">
    <cfRule type="cellIs" priority="10" dxfId="5" operator="greaterThan" stopIfTrue="1">
      <formula>$B$30</formula>
    </cfRule>
  </conditionalFormatting>
  <conditionalFormatting sqref="C28">
    <cfRule type="cellIs" priority="11" dxfId="5" operator="greaterThan" stopIfTrue="1">
      <formula>$C$30</formula>
    </cfRule>
  </conditionalFormatting>
  <conditionalFormatting sqref="C60 C29">
    <cfRule type="cellIs" priority="2" dxfId="0" operator="lessThan" stopIfTrue="1">
      <formula>0</formula>
    </cfRule>
  </conditionalFormatting>
  <printOptions/>
  <pageMargins left="0.5" right="0.5" top="0.89" bottom="0.5" header="0.5" footer="0.5"/>
  <pageSetup blackAndWhite="1" fitToHeight="1" fitToWidth="1" horizontalDpi="120" verticalDpi="120" orientation="portrait" scale="72" r:id="rId1"/>
  <headerFooter alignWithMargins="0">
    <oddHeader>&amp;R&amp;10State of Kansas
City
</oddHeader>
  </headerFooter>
</worksheet>
</file>

<file path=xl/worksheets/sheet9.xml><?xml version="1.0" encoding="utf-8"?>
<worksheet xmlns="http://schemas.openxmlformats.org/spreadsheetml/2006/main" xmlns:r="http://schemas.openxmlformats.org/officeDocument/2006/relationships">
  <sheetPr>
    <pageSetUpPr fitToPage="1"/>
  </sheetPr>
  <dimension ref="B1:E49"/>
  <sheetViews>
    <sheetView zoomScalePageLayoutView="0" workbookViewId="0" topLeftCell="A1">
      <selection activeCell="C25" sqref="C25"/>
    </sheetView>
  </sheetViews>
  <sheetFormatPr defaultColWidth="8.8984375" defaultRowHeight="15"/>
  <cols>
    <col min="1" max="1" width="2.3984375" style="57" customWidth="1"/>
    <col min="2" max="2" width="31.09765625" style="57" customWidth="1"/>
    <col min="3" max="4" width="15.69921875" style="57" customWidth="1"/>
    <col min="5" max="5" width="16.09765625" style="57" customWidth="1"/>
    <col min="6" max="16384" width="8.8984375" style="57" customWidth="1"/>
  </cols>
  <sheetData>
    <row r="1" spans="2:5" ht="15">
      <c r="B1" s="374" t="str">
        <f>(inputPrYr!D2)</f>
        <v>City of Athol</v>
      </c>
      <c r="C1" s="56"/>
      <c r="D1" s="56"/>
      <c r="E1" s="156">
        <f>inputPrYr!$C$5</f>
        <v>2012</v>
      </c>
    </row>
    <row r="2" spans="2:5" ht="15">
      <c r="B2" s="56"/>
      <c r="C2" s="56"/>
      <c r="D2" s="56"/>
      <c r="E2" s="208"/>
    </row>
    <row r="3" spans="2:5" ht="15">
      <c r="B3" s="73" t="s">
        <v>105</v>
      </c>
      <c r="C3" s="233"/>
      <c r="D3" s="233"/>
      <c r="E3" s="234"/>
    </row>
    <row r="4" spans="2:5" ht="15">
      <c r="B4" s="61" t="s">
        <v>70</v>
      </c>
      <c r="C4" s="369" t="s">
        <v>84</v>
      </c>
      <c r="D4" s="368" t="s">
        <v>178</v>
      </c>
      <c r="E4" s="368" t="s">
        <v>179</v>
      </c>
    </row>
    <row r="5" spans="2:5" ht="15">
      <c r="B5" s="298" t="str">
        <f>(inputPrYr!B26)</f>
        <v>Special Highway</v>
      </c>
      <c r="C5" s="235">
        <f>inputPrYr!$C$5-2</f>
        <v>2010</v>
      </c>
      <c r="D5" s="235">
        <f>inputPrYr!$C$5-1</f>
        <v>2011</v>
      </c>
      <c r="E5" s="213">
        <f>inputPrYr!$C$5</f>
        <v>2012</v>
      </c>
    </row>
    <row r="6" spans="2:5" s="375" customFormat="1" ht="15">
      <c r="B6" s="225" t="s">
        <v>158</v>
      </c>
      <c r="C6" s="426">
        <v>1143</v>
      </c>
      <c r="D6" s="425">
        <f>C34</f>
        <v>0</v>
      </c>
      <c r="E6" s="425">
        <f>D34</f>
        <v>0</v>
      </c>
    </row>
    <row r="7" spans="2:5" ht="15">
      <c r="B7" s="373" t="s">
        <v>160</v>
      </c>
      <c r="C7" s="182"/>
      <c r="D7" s="182"/>
      <c r="E7" s="182"/>
    </row>
    <row r="8" spans="2:5" ht="15">
      <c r="B8" s="240" t="s">
        <v>82</v>
      </c>
      <c r="C8" s="79">
        <v>1154</v>
      </c>
      <c r="D8" s="182">
        <f>inputOth!E46</f>
        <v>1150</v>
      </c>
      <c r="E8" s="182">
        <f>inputOth!E44</f>
        <v>1210</v>
      </c>
    </row>
    <row r="9" spans="2:5" ht="15">
      <c r="B9" s="240" t="s">
        <v>187</v>
      </c>
      <c r="C9" s="79">
        <v>0</v>
      </c>
      <c r="D9" s="182">
        <f>inputOth!E47</f>
        <v>0</v>
      </c>
      <c r="E9" s="182">
        <f>inputOth!E45</f>
        <v>0</v>
      </c>
    </row>
    <row r="10" spans="2:5" ht="15">
      <c r="B10" s="228"/>
      <c r="C10" s="79"/>
      <c r="D10" s="79"/>
      <c r="E10" s="79"/>
    </row>
    <row r="11" spans="2:5" ht="15">
      <c r="B11" s="228"/>
      <c r="C11" s="79"/>
      <c r="D11" s="79"/>
      <c r="E11" s="79"/>
    </row>
    <row r="12" spans="2:5" ht="15">
      <c r="B12" s="228"/>
      <c r="C12" s="79"/>
      <c r="D12" s="79"/>
      <c r="E12" s="79"/>
    </row>
    <row r="13" spans="2:5" ht="15">
      <c r="B13" s="228"/>
      <c r="C13" s="79"/>
      <c r="D13" s="79"/>
      <c r="E13" s="79"/>
    </row>
    <row r="14" spans="2:5" ht="15">
      <c r="B14" s="228"/>
      <c r="C14" s="79"/>
      <c r="D14" s="79"/>
      <c r="E14" s="79"/>
    </row>
    <row r="15" spans="2:5" ht="15">
      <c r="B15" s="228"/>
      <c r="C15" s="79"/>
      <c r="D15" s="79"/>
      <c r="E15" s="79"/>
    </row>
    <row r="16" spans="2:5" ht="15">
      <c r="B16" s="236"/>
      <c r="C16" s="79"/>
      <c r="D16" s="79"/>
      <c r="E16" s="79"/>
    </row>
    <row r="17" spans="2:5" ht="15">
      <c r="B17" s="239" t="s">
        <v>137</v>
      </c>
      <c r="C17" s="79">
        <v>0</v>
      </c>
      <c r="D17" s="79">
        <v>0</v>
      </c>
      <c r="E17" s="79">
        <v>0</v>
      </c>
    </row>
    <row r="18" spans="2:5" ht="15">
      <c r="B18" s="239" t="s">
        <v>212</v>
      </c>
      <c r="C18" s="299">
        <f>IF(C19*0.1&lt;C17,"Exceed 10% Rule","")</f>
      </c>
      <c r="D18" s="237">
        <f>IF(D19*0.1&lt;D17,"Exceed 10% Rule","")</f>
      </c>
      <c r="E18" s="237">
        <f>IF(E19*0.1&lt;E17,"Exceed 10% Rule","")</f>
      </c>
    </row>
    <row r="19" spans="2:5" ht="15">
      <c r="B19" s="225" t="s">
        <v>75</v>
      </c>
      <c r="C19" s="238">
        <f>SUM(C8:C17)</f>
        <v>1154</v>
      </c>
      <c r="D19" s="238">
        <f>SUM(D8:D17)</f>
        <v>1150</v>
      </c>
      <c r="E19" s="238">
        <f>SUM(E8:E17)</f>
        <v>1210</v>
      </c>
    </row>
    <row r="20" spans="2:5" ht="15">
      <c r="B20" s="225" t="s">
        <v>76</v>
      </c>
      <c r="C20" s="238">
        <f>C6+C19</f>
        <v>2297</v>
      </c>
      <c r="D20" s="238">
        <f>D6+D19</f>
        <v>1150</v>
      </c>
      <c r="E20" s="238">
        <f>E6+E19</f>
        <v>1210</v>
      </c>
    </row>
    <row r="21" spans="2:5" ht="15">
      <c r="B21" s="225" t="s">
        <v>77</v>
      </c>
      <c r="C21" s="182"/>
      <c r="D21" s="182"/>
      <c r="E21" s="182"/>
    </row>
    <row r="22" spans="2:5" ht="15">
      <c r="B22" s="228" t="s">
        <v>241</v>
      </c>
      <c r="C22" s="79">
        <v>401</v>
      </c>
      <c r="D22" s="79">
        <v>1150</v>
      </c>
      <c r="E22" s="79">
        <v>1210</v>
      </c>
    </row>
    <row r="23" spans="2:5" ht="15">
      <c r="B23" s="259" t="s">
        <v>240</v>
      </c>
      <c r="C23" s="79">
        <v>1896</v>
      </c>
      <c r="D23" s="79">
        <v>0</v>
      </c>
      <c r="E23" s="79">
        <v>0</v>
      </c>
    </row>
    <row r="24" spans="2:5" ht="15">
      <c r="B24" s="228"/>
      <c r="C24" s="79"/>
      <c r="D24" s="79"/>
      <c r="E24" s="79"/>
    </row>
    <row r="25" spans="2:5" ht="15">
      <c r="B25" s="228"/>
      <c r="C25" s="79"/>
      <c r="D25" s="79"/>
      <c r="E25" s="79"/>
    </row>
    <row r="26" spans="2:5" ht="15">
      <c r="B26" s="228"/>
      <c r="C26" s="79"/>
      <c r="D26" s="79"/>
      <c r="E26" s="79"/>
    </row>
    <row r="27" spans="2:5" ht="15">
      <c r="B27" s="228"/>
      <c r="C27" s="79"/>
      <c r="D27" s="79"/>
      <c r="E27" s="79"/>
    </row>
    <row r="28" spans="2:5" ht="15">
      <c r="B28" s="228"/>
      <c r="C28" s="79"/>
      <c r="D28" s="79"/>
      <c r="E28" s="79"/>
    </row>
    <row r="29" spans="2:5" ht="15">
      <c r="B29" s="228"/>
      <c r="C29" s="79"/>
      <c r="D29" s="79"/>
      <c r="E29" s="79"/>
    </row>
    <row r="30" spans="2:5" ht="15">
      <c r="B30" s="228"/>
      <c r="C30" s="79"/>
      <c r="D30" s="79"/>
      <c r="E30" s="79"/>
    </row>
    <row r="31" spans="2:5" ht="15">
      <c r="B31" s="184" t="s">
        <v>137</v>
      </c>
      <c r="C31" s="79">
        <v>0</v>
      </c>
      <c r="D31" s="79">
        <v>0</v>
      </c>
      <c r="E31" s="79">
        <v>0</v>
      </c>
    </row>
    <row r="32" spans="2:5" ht="15">
      <c r="B32" s="78" t="s">
        <v>211</v>
      </c>
      <c r="C32" s="299">
        <f>IF(C33*0.1&lt;C31,"Exceed 10% Rule","")</f>
      </c>
      <c r="D32" s="237">
        <f>IF(D33*0.1&lt;D31,"Exceed 10% Rule","")</f>
      </c>
      <c r="E32" s="237">
        <f>IF(E33*0.1&lt;E31,"Exceed 10% Rule","")</f>
      </c>
    </row>
    <row r="33" spans="2:5" ht="15">
      <c r="B33" s="225" t="s">
        <v>78</v>
      </c>
      <c r="C33" s="238">
        <f>SUM(C22:C31)</f>
        <v>2297</v>
      </c>
      <c r="D33" s="238">
        <f>SUM(D22:D31)</f>
        <v>1150</v>
      </c>
      <c r="E33" s="238">
        <f>SUM(E22:E31)</f>
        <v>1210</v>
      </c>
    </row>
    <row r="34" spans="2:5" ht="15">
      <c r="B34" s="225" t="s">
        <v>159</v>
      </c>
      <c r="C34" s="86">
        <f>C20-C33</f>
        <v>0</v>
      </c>
      <c r="D34" s="86">
        <f>D20-D33</f>
        <v>0</v>
      </c>
      <c r="E34" s="86">
        <f>E20-E33</f>
        <v>0</v>
      </c>
    </row>
    <row r="35" spans="2:5" ht="15">
      <c r="B35" s="201" t="str">
        <f>CONCATENATE("",E1-2,"/",E1-1," Budget Authority Amount:")</f>
        <v>2010/2011 Budget Authority Amount:</v>
      </c>
      <c r="C35" s="277">
        <f>inputOth!B57</f>
        <v>1300</v>
      </c>
      <c r="D35" s="277">
        <f>inputPrYr!D26</f>
        <v>1220</v>
      </c>
      <c r="E35" s="306">
        <f>IF(E34&lt;0,"See Tab E","")</f>
      </c>
    </row>
    <row r="36" spans="2:5" ht="15">
      <c r="B36" s="201"/>
      <c r="C36" s="230"/>
      <c r="D36" s="230">
        <f>IF(D33&gt;D35,"See Tab C","")</f>
      </c>
      <c r="E36" s="199"/>
    </row>
    <row r="37" spans="2:5" ht="15">
      <c r="B37" s="201"/>
      <c r="C37" s="230">
        <f>IF(C34&lt;0,"See Tab B","")</f>
      </c>
      <c r="D37" s="230">
        <f>IF(D34&lt;0,"See Tab D","")</f>
      </c>
      <c r="E37" s="199"/>
    </row>
    <row r="38" spans="2:5" ht="15">
      <c r="B38" s="56"/>
      <c r="C38" s="199"/>
      <c r="D38" s="199"/>
      <c r="E38" s="199"/>
    </row>
    <row r="39" spans="2:5" ht="15">
      <c r="B39" s="56"/>
      <c r="C39" s="199"/>
      <c r="D39" s="199"/>
      <c r="E39" s="199"/>
    </row>
    <row r="40" spans="2:5" ht="15">
      <c r="B40" s="56"/>
      <c r="C40" s="199"/>
      <c r="D40" s="199"/>
      <c r="E40" s="199"/>
    </row>
    <row r="41" spans="2:5" ht="15">
      <c r="B41" s="56"/>
      <c r="C41" s="199"/>
      <c r="D41" s="199"/>
      <c r="E41" s="199"/>
    </row>
    <row r="42" spans="2:5" ht="15">
      <c r="B42" s="56"/>
      <c r="C42" s="199"/>
      <c r="D42" s="199"/>
      <c r="E42" s="199"/>
    </row>
    <row r="43" spans="2:5" ht="15">
      <c r="B43" s="56"/>
      <c r="C43" s="199"/>
      <c r="D43" s="199"/>
      <c r="E43" s="199"/>
    </row>
    <row r="44" spans="2:5" ht="15">
      <c r="B44" s="56"/>
      <c r="C44" s="199"/>
      <c r="D44" s="199"/>
      <c r="E44" s="199"/>
    </row>
    <row r="45" spans="2:5" ht="15">
      <c r="B45" s="56"/>
      <c r="C45" s="199"/>
      <c r="D45" s="199"/>
      <c r="E45" s="199"/>
    </row>
    <row r="46" spans="2:5" ht="15">
      <c r="B46" s="56"/>
      <c r="C46" s="199"/>
      <c r="D46" s="199"/>
      <c r="E46" s="199"/>
    </row>
    <row r="47" spans="2:5" ht="15">
      <c r="B47" s="56"/>
      <c r="C47" s="199"/>
      <c r="D47" s="199"/>
      <c r="E47" s="199"/>
    </row>
    <row r="48" spans="2:5" ht="15">
      <c r="B48" s="56"/>
      <c r="C48" s="199"/>
      <c r="D48" s="199"/>
      <c r="E48" s="199"/>
    </row>
    <row r="49" spans="2:5" ht="15">
      <c r="B49" s="208" t="s">
        <v>80</v>
      </c>
      <c r="C49" s="382">
        <v>6</v>
      </c>
      <c r="D49" s="56"/>
      <c r="E49" s="56"/>
    </row>
  </sheetData>
  <sheetProtection/>
  <conditionalFormatting sqref="C17">
    <cfRule type="cellIs" priority="9" dxfId="31" operator="greaterThan" stopIfTrue="1">
      <formula>$C$19*0.1</formula>
    </cfRule>
  </conditionalFormatting>
  <conditionalFormatting sqref="D17">
    <cfRule type="cellIs" priority="11" dxfId="31" operator="greaterThan" stopIfTrue="1">
      <formula>$D$19*0.1</formula>
    </cfRule>
  </conditionalFormatting>
  <conditionalFormatting sqref="E17">
    <cfRule type="cellIs" priority="12" dxfId="31" operator="greaterThan" stopIfTrue="1">
      <formula>$E$19*0.1</formula>
    </cfRule>
  </conditionalFormatting>
  <conditionalFormatting sqref="C31">
    <cfRule type="cellIs" priority="15" dxfId="31" operator="greaterThan" stopIfTrue="1">
      <formula>$C$33*0.1</formula>
    </cfRule>
  </conditionalFormatting>
  <conditionalFormatting sqref="D31">
    <cfRule type="cellIs" priority="16" dxfId="31" operator="greaterThan" stopIfTrue="1">
      <formula>$D$33*0.1</formula>
    </cfRule>
  </conditionalFormatting>
  <conditionalFormatting sqref="E31">
    <cfRule type="cellIs" priority="17" dxfId="31" operator="greaterThan" stopIfTrue="1">
      <formula>$E$33*0.1</formula>
    </cfRule>
  </conditionalFormatting>
  <conditionalFormatting sqref="E34">
    <cfRule type="cellIs" priority="21" dxfId="5" operator="lessThan" stopIfTrue="1">
      <formula>0</formula>
    </cfRule>
  </conditionalFormatting>
  <conditionalFormatting sqref="D34">
    <cfRule type="cellIs" priority="6" dxfId="0" operator="lessThan" stopIfTrue="1">
      <formula>0</formula>
    </cfRule>
    <cfRule type="cellIs" priority="8" dxfId="0" operator="lessThan" stopIfTrue="1">
      <formula>0</formula>
    </cfRule>
  </conditionalFormatting>
  <conditionalFormatting sqref="C34">
    <cfRule type="cellIs" priority="5" dxfId="0" operator="lessThan" stopIfTrue="1">
      <formula>0</formula>
    </cfRule>
  </conditionalFormatting>
  <conditionalFormatting sqref="D33">
    <cfRule type="cellIs" priority="3" dxfId="0" operator="greaterThan" stopIfTrue="1">
      <formula>$D$35</formula>
    </cfRule>
  </conditionalFormatting>
  <conditionalFormatting sqref="C33">
    <cfRule type="cellIs" priority="2" dxfId="0" operator="greaterThan" stopIfTrue="1">
      <formula>$C$35</formula>
    </cfRule>
  </conditionalFormatting>
  <printOptions/>
  <pageMargins left="0.5" right="0.5" top="1" bottom="0.5" header="0.5" footer="0.5"/>
  <pageSetup blackAndWhite="1" fitToHeight="1" fitToWidth="1" horizontalDpi="120" verticalDpi="120" orientation="portrait" scale="92" r:id="rId1"/>
  <headerFooter alignWithMargins="0">
    <oddHeader>&amp;R&amp;10State of Kansas
City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2011-07-26T19:00:07Z</cp:lastPrinted>
  <dcterms:created xsi:type="dcterms:W3CDTF">1998-12-22T16:13:18Z</dcterms:created>
  <dcterms:modified xsi:type="dcterms:W3CDTF">2014-01-21T17:46:55Z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A</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