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activeTab="0"/>
  </bookViews>
  <sheets>
    <sheet name="instructions" sheetId="1" r:id="rId1"/>
    <sheet name="inputPrYr" sheetId="2" r:id="rId2"/>
    <sheet name="inputOth" sheetId="3" r:id="rId3"/>
    <sheet name="inputBudSum" sheetId="4" r:id="rId4"/>
    <sheet name="CPA Summary" sheetId="5" r:id="rId5"/>
    <sheet name="cert" sheetId="6" r:id="rId6"/>
    <sheet name="computationSpecial" sheetId="7" r:id="rId7"/>
    <sheet name="Special" sheetId="8" r:id="rId8"/>
    <sheet name="computationTown" sheetId="9" r:id="rId9"/>
    <sheet name="mvalloc" sheetId="10" r:id="rId10"/>
    <sheet name="transfers" sheetId="11" r:id="rId11"/>
    <sheet name="TransferStatutes" sheetId="12" r:id="rId12"/>
    <sheet name="debt" sheetId="13" r:id="rId13"/>
    <sheet name="Library Grant" sheetId="14" r:id="rId14"/>
    <sheet name="gen" sheetId="15" r:id="rId15"/>
    <sheet name="DebtSvs-Library" sheetId="16" r:id="rId16"/>
    <sheet name="road" sheetId="17" r:id="rId17"/>
    <sheet name="levypage11" sheetId="18" r:id="rId18"/>
    <sheet name="levypage12" sheetId="19" r:id="rId19"/>
    <sheet name="levypage13" sheetId="20" r:id="rId20"/>
    <sheet name="levypage14" sheetId="21" r:id="rId21"/>
    <sheet name="nolevypage15" sheetId="22" r:id="rId22"/>
    <sheet name="nolevypage16" sheetId="23" r:id="rId23"/>
    <sheet name="nonbud" sheetId="24" r:id="rId24"/>
    <sheet name="NonBudFunds" sheetId="25" r:id="rId25"/>
    <sheet name="summ" sheetId="26" r:id="rId26"/>
    <sheet name="nhood" sheetId="27" r:id="rId27"/>
    <sheet name="Notice of Vote" sheetId="28" r:id="rId28"/>
    <sheet name="Resolution"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fn.BAHTTEXT" hidden="1">#NAME?</definedName>
    <definedName name="_xlnm.Print_Area" localSheetId="15">'DebtSvs-Library'!$B$1:$E$88</definedName>
    <definedName name="_xlnm.Print_Area" localSheetId="14">'gen'!$B$1:$E$62</definedName>
    <definedName name="_xlnm.Print_Area" localSheetId="1">'inputPrYr'!$A$1:$E$104</definedName>
    <definedName name="_xlnm.Print_Area" localSheetId="20">'levypage14'!$B$1:$E$88</definedName>
    <definedName name="_xlnm.Print_Area" localSheetId="13">'Library Grant'!$A$1:$J$40</definedName>
    <definedName name="_xlnm.Print_Area" localSheetId="28">'Resolution'!$B$5:$B$16</definedName>
    <definedName name="_xlnm.Print_Area" localSheetId="16">'road'!$B$1:$E$70</definedName>
    <definedName name="_xlnm.Print_Area" localSheetId="25">'summ'!$B$2:$I$64</definedName>
  </definedNames>
  <calcPr fullCalcOnLoad="1"/>
</workbook>
</file>

<file path=xl/sharedStrings.xml><?xml version="1.0" encoding="utf-8"?>
<sst xmlns="http://schemas.openxmlformats.org/spreadsheetml/2006/main" count="1854" uniqueCount="992">
  <si>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</si>
  <si>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</si>
  <si>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Townships can use the township.xls,  township1.xls, or township2.xls files.   You must choose a form that meets the needs for the number of funds.  If you don't need all the funds, just leave the pages blank and number the completed pages sequentially. </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</si>
  <si>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</si>
  <si>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</si>
  <si>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</si>
  <si>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</si>
  <si>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</si>
  <si>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</si>
  <si>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</si>
  <si>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</si>
  <si>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</si>
  <si>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</si>
  <si>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</si>
  <si>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</si>
  <si>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Township</t>
  </si>
  <si>
    <t xml:space="preserve">FUND PAGE </t>
  </si>
  <si>
    <t>19-2716</t>
  </si>
  <si>
    <t>Total Tax Levied:</t>
  </si>
  <si>
    <t>xxxxx</t>
  </si>
  <si>
    <t>1b. K.S.A. 19-2716 allows a township to provide street lighting or fire protection to an unincorporated town. This spreadsheet allows the township to account for the provision of the statute.</t>
  </si>
  <si>
    <t>18. Budget Summary page added space for special fund.</t>
  </si>
  <si>
    <t>19. Added Computation to Determine page and Fund page for special fund.</t>
  </si>
  <si>
    <t>17. Certificate page added space for special fund along with question for resolution.</t>
  </si>
  <si>
    <t>20. Added entry for Special fund for county clerk and treasurer pages.</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</si>
  <si>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</si>
  <si>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</si>
  <si>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</si>
  <si>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</si>
  <si>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</si>
  <si>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</si>
  <si>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21. Added to instructions about non-appropriated funds limit of 5%.</t>
  </si>
  <si>
    <t>Neighborhood Revitalization</t>
  </si>
  <si>
    <t>24. Added Neighborhood Revitalization receipt to all tax levy fund pages.</t>
  </si>
  <si>
    <t>25. Added line for Neighborhood Revitalization on the Certificate page table of content.</t>
  </si>
  <si>
    <t>26. Added Slider to the Vehicle Allocation table and linked to the fund pages.</t>
  </si>
  <si>
    <t>Funds</t>
  </si>
  <si>
    <t>Budget Authority</t>
  </si>
  <si>
    <t xml:space="preserve">expenditure amounts should reflect the amended </t>
  </si>
  <si>
    <t>expenditure amounts.</t>
  </si>
  <si>
    <t>27. Added to all budgeted fund pages the budget authority for the actual year, budget violation, and cash violation.</t>
  </si>
  <si>
    <t>28. Added instruction on the addition for item 27.</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</si>
  <si>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</si>
  <si>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</si>
  <si>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</si>
  <si>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Miscellaneous</t>
  </si>
  <si>
    <t>Does miscellaneous exceed 10% of Total Receipts</t>
  </si>
  <si>
    <t>Neighborhood Revitalization Rebate</t>
  </si>
  <si>
    <t>TOTAL</t>
  </si>
  <si>
    <t>Township:</t>
  </si>
  <si>
    <t>29. Split the special district from township on the Budget Summary page.</t>
  </si>
  <si>
    <t>Total Township Rate</t>
  </si>
  <si>
    <t>30. Added 'excluding oil, gas, and mobile homes' to lines 13 and 19 on Clerks budget info on tab inputoth.</t>
  </si>
  <si>
    <t>***If you are merely leasing/renting with no intent to purchase, do not list--such transactions are not lease-purchases.</t>
  </si>
  <si>
    <t>On the Special tab, the link in cell d9 was changed from inputpryr d20 to d16.</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</si>
  <si>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</si>
  <si>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</si>
  <si>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</si>
  <si>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</si>
  <si>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</si>
  <si>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</si>
  <si>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</si>
  <si>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</si>
  <si>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</si>
  <si>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</si>
  <si>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</si>
  <si>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</si>
  <si>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</si>
  <si>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</si>
  <si>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</si>
  <si>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</si>
  <si>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</si>
  <si>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</si>
  <si>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</si>
  <si>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</si>
  <si>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r>
      <t>3a. Made the total expenditures block for the actual and current year to turn '</t>
    </r>
    <r>
      <rPr>
        <sz val="12"/>
        <color indexed="10"/>
        <rFont val="Times New Roman"/>
        <family val="1"/>
      </rPr>
      <t>Red</t>
    </r>
    <r>
      <rPr>
        <sz val="12"/>
        <rFont val="Times New Roman"/>
        <family val="1"/>
      </rPr>
      <t>' if violation occurs.</t>
    </r>
  </si>
  <si>
    <t>14. If road transfer funds to special machinery, the transfers are linked and to the Schedule of Transfers.</t>
  </si>
  <si>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</si>
  <si>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</si>
  <si>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</si>
  <si>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</si>
  <si>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</si>
  <si>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22. Added warning "Exceeds 5%" on all fund pages for the non-appropriated balance.</t>
  </si>
  <si>
    <t>23. Combine the Neighborhood Revitalization with the Vehicle Allocation and linked the fund pages.</t>
  </si>
  <si>
    <t>4. All tax levy fund pages abbreviated the non-appropriated, total expenditures/non-appropriated, and delinquency computation rate.</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</si>
  <si>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</si>
  <si>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17. Deleted lines pertaining to the beginning and ending balance for the County Treasurer.</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</si>
  <si>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</si>
  <si>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</si>
  <si>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</si>
  <si>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</si>
  <si>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</si>
  <si>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</si>
  <si>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</si>
  <si>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</si>
  <si>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</si>
  <si>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</si>
  <si>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</si>
  <si>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</si>
  <si>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</si>
  <si>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</si>
  <si>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</si>
  <si>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</si>
  <si>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</si>
  <si>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</si>
  <si>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</si>
  <si>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</si>
  <si>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</si>
  <si>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</si>
  <si>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</si>
  <si>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</si>
  <si>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</si>
  <si>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</si>
  <si>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</si>
  <si>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</si>
  <si>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</si>
  <si>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</si>
  <si>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</si>
  <si>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</si>
  <si>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</si>
  <si>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</si>
  <si>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</si>
  <si>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</si>
  <si>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</si>
  <si>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</si>
  <si>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</si>
  <si>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</si>
  <si>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</si>
  <si>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</si>
  <si>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</si>
  <si>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</si>
  <si>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</si>
  <si>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</si>
  <si>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</si>
  <si>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</si>
  <si>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</si>
  <si>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</si>
  <si>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</si>
  <si>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</si>
  <si>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</si>
  <si>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</si>
  <si>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</si>
  <si>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</si>
  <si>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</si>
  <si>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</si>
  <si>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</si>
  <si>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</si>
  <si>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</si>
  <si>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</si>
  <si>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</si>
  <si>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</si>
  <si>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</si>
  <si>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</si>
  <si>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Assessed Valuation:</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</si>
  <si>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</si>
  <si>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</si>
  <si>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</si>
  <si>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</si>
  <si>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</si>
  <si>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</si>
  <si>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</si>
  <si>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</si>
  <si>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</si>
  <si>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</si>
  <si>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</si>
  <si>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</si>
  <si>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</si>
  <si>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</si>
  <si>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</si>
  <si>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</si>
  <si>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</si>
  <si>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</si>
  <si>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</si>
  <si>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</si>
  <si>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</si>
  <si>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</si>
  <si>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</si>
  <si>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FUND PAGE - ROAD AND SPECIAL MACHINERY</t>
  </si>
  <si>
    <t>FUND PAGE</t>
  </si>
  <si>
    <t>NOTICE OF BUDGET HEARING</t>
  </si>
  <si>
    <t>BUDGET SUMMARY</t>
  </si>
  <si>
    <t>STATEMENT OF CONDITIONAL LEASE-PURCHASE AND CERTIFICATE OF PARTICIPATION*</t>
  </si>
  <si>
    <t>STATEMENT OF INDEBTEDNESS</t>
  </si>
  <si>
    <t xml:space="preserve">Total </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</si>
  <si>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</si>
  <si>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</si>
  <si>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</si>
  <si>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</si>
  <si>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</si>
  <si>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</si>
  <si>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</si>
  <si>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</si>
  <si>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</si>
  <si>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</si>
  <si>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</si>
  <si>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</si>
  <si>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</si>
  <si>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</si>
  <si>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</si>
  <si>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</si>
  <si>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</si>
  <si>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</si>
  <si>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</si>
  <si>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</si>
  <si>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</si>
  <si>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</si>
  <si>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</si>
  <si>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</si>
  <si>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</si>
  <si>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</si>
  <si>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</si>
  <si>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</si>
  <si>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</si>
  <si>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</si>
  <si>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</si>
  <si>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</si>
  <si>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</si>
  <si>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</si>
  <si>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</si>
  <si>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</si>
  <si>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</si>
  <si>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</si>
  <si>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</si>
  <si>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</si>
  <si>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</si>
  <si>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</si>
  <si>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</si>
  <si>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</si>
  <si>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</si>
  <si>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</si>
  <si>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</si>
  <si>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</si>
  <si>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</si>
  <si>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</si>
  <si>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</si>
  <si>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</si>
  <si>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</si>
  <si>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</si>
  <si>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</si>
  <si>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</si>
  <si>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</si>
  <si>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</si>
  <si>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</si>
  <si>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</si>
  <si>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</si>
  <si>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</si>
  <si>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</si>
  <si>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</si>
  <si>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</si>
  <si>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</si>
  <si>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</si>
  <si>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</si>
  <si>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</si>
  <si>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</si>
  <si>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</si>
  <si>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</si>
  <si>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</si>
  <si>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</si>
  <si>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 xml:space="preserve">General Instructions </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</si>
  <si>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</si>
  <si>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</si>
  <si>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</si>
  <si>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</si>
  <si>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</si>
  <si>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</si>
  <si>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</si>
  <si>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</si>
  <si>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59 change from Budget Summary to Budget Certificate.</t>
  </si>
  <si>
    <t>Debt Service</t>
  </si>
  <si>
    <t>Township Estimates:</t>
  </si>
  <si>
    <t>Special Road</t>
  </si>
  <si>
    <t>Noxious Weed</t>
  </si>
  <si>
    <t>68-518c</t>
  </si>
  <si>
    <t>80-1413</t>
  </si>
  <si>
    <t>2-1318</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</si>
  <si>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</si>
  <si>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</si>
  <si>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Non-budgeted funds: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</si>
  <si>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</si>
  <si>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</si>
  <si>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</si>
  <si>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</si>
  <si>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</si>
  <si>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</si>
  <si>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</si>
  <si>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</si>
  <si>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</si>
  <si>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</si>
  <si>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</si>
  <si>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</si>
  <si>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</si>
  <si>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</si>
  <si>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</si>
  <si>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</si>
  <si>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</si>
  <si>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</si>
  <si>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</si>
  <si>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</si>
  <si>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</si>
  <si>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</si>
  <si>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</si>
  <si>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</si>
  <si>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</si>
  <si>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</si>
  <si>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</si>
  <si>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</si>
  <si>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</si>
  <si>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</si>
  <si>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</si>
  <si>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</si>
  <si>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</si>
  <si>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</si>
  <si>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</si>
  <si>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</si>
  <si>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</si>
  <si>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</si>
  <si>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</si>
  <si>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</si>
  <si>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</si>
  <si>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</si>
  <si>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</si>
  <si>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</si>
  <si>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</si>
  <si>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</si>
  <si>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</si>
  <si>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</si>
  <si>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</si>
  <si>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</si>
  <si>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</si>
  <si>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</si>
  <si>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</si>
  <si>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</si>
  <si>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</si>
  <si>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</si>
  <si>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</si>
  <si>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</si>
  <si>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</si>
  <si>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</si>
  <si>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</si>
  <si>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</si>
  <si>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</si>
  <si>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</si>
  <si>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</si>
  <si>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</si>
  <si>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</si>
  <si>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</si>
  <si>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</si>
  <si>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</si>
  <si>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</si>
  <si>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</si>
  <si>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</si>
  <si>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</si>
  <si>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</si>
  <si>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</si>
  <si>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</si>
  <si>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</si>
  <si>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</si>
  <si>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</si>
  <si>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</si>
  <si>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</si>
  <si>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</si>
  <si>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</si>
  <si>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</si>
  <si>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</si>
  <si>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</si>
  <si>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</si>
  <si>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</si>
  <si>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</si>
  <si>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</si>
  <si>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</si>
  <si>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</si>
  <si>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</si>
  <si>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</si>
  <si>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</si>
  <si>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</si>
  <si>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</si>
  <si>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</si>
  <si>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</si>
  <si>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</si>
  <si>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</si>
  <si>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</si>
  <si>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</si>
  <si>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</si>
  <si>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</si>
  <si>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</si>
  <si>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</si>
  <si>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</si>
  <si>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</si>
  <si>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</si>
  <si>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</si>
  <si>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</si>
  <si>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</si>
  <si>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</si>
  <si>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</si>
  <si>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</si>
  <si>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</si>
  <si>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</si>
  <si>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</si>
  <si>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</si>
  <si>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</si>
  <si>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</si>
  <si>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</si>
  <si>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</si>
  <si>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</si>
  <si>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</si>
  <si>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</si>
  <si>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</si>
  <si>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</si>
  <si>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</si>
  <si>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</si>
  <si>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</si>
  <si>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</si>
  <si>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</si>
  <si>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</si>
  <si>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</si>
  <si>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</si>
  <si>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</si>
  <si>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</si>
  <si>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</si>
  <si>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</si>
  <si>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</si>
  <si>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</si>
  <si>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</si>
  <si>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</si>
  <si>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</si>
  <si>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</si>
  <si>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</si>
  <si>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</si>
  <si>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</si>
  <si>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</si>
  <si>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</si>
  <si>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</si>
  <si>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</si>
  <si>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</si>
  <si>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</si>
  <si>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</si>
  <si>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</si>
  <si>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</si>
  <si>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</si>
  <si>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</si>
  <si>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</si>
  <si>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</si>
  <si>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</si>
  <si>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</si>
  <si>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</si>
  <si>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</si>
  <si>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</si>
  <si>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</si>
  <si>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</si>
  <si>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</si>
  <si>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</si>
  <si>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</si>
  <si>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</si>
  <si>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</si>
  <si>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</si>
  <si>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</si>
  <si>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</si>
  <si>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</si>
  <si>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</si>
  <si>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</si>
  <si>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</si>
  <si>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</si>
  <si>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</si>
  <si>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</si>
  <si>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</si>
  <si>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</si>
  <si>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</si>
  <si>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</si>
  <si>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</si>
  <si>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</si>
  <si>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</si>
  <si>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</si>
  <si>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</si>
  <si>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</si>
  <si>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</si>
  <si>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</si>
  <si>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</si>
  <si>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</si>
  <si>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</si>
  <si>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</si>
  <si>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</si>
  <si>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</si>
  <si>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</si>
  <si>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</si>
  <si>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</si>
  <si>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</si>
  <si>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</si>
  <si>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</si>
  <si>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</si>
  <si>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</si>
  <si>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</si>
  <si>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</si>
  <si>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</si>
  <si>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</si>
  <si>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</si>
  <si>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</si>
  <si>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</si>
  <si>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</si>
  <si>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</si>
  <si>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</si>
  <si>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</si>
  <si>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</si>
  <si>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</si>
  <si>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</si>
  <si>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</si>
  <si>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</si>
  <si>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</si>
  <si>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</si>
  <si>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</si>
  <si>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</si>
  <si>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</si>
  <si>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</si>
  <si>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</si>
  <si>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</si>
  <si>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</si>
  <si>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</si>
  <si>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</si>
  <si>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</si>
  <si>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</si>
  <si>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</si>
  <si>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</si>
  <si>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</si>
  <si>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</si>
  <si>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</si>
  <si>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</si>
  <si>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</si>
  <si>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</si>
  <si>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</si>
  <si>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</si>
  <si>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</si>
  <si>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</si>
  <si>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</si>
  <si>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</si>
  <si>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</si>
  <si>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general obligation and other bond totals for the current budget year is entered on the Budget Summary and the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</si>
  <si>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at the end of the lease, the township owns the leased item.  Principal Balance Due for the actual year is linked to the Budget Summary page and prior years are linked from the input page (inputpryr). </t>
    </r>
    <r>
      <rPr>
        <b/>
        <sz val="12"/>
        <rFont val="Times New Roman"/>
        <family val="1"/>
      </rPr>
      <t>If the township does not have any leases, then on the first line enter 'none'.</t>
    </r>
  </si>
  <si>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</si>
  <si>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</si>
  <si>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</si>
  <si>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</si>
  <si>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</si>
  <si>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</si>
  <si>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</si>
  <si>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</si>
  <si>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</si>
  <si>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</si>
  <si>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</si>
  <si>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</si>
  <si>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</si>
  <si>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</si>
  <si>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</si>
  <si>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</si>
  <si>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</si>
  <si>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</si>
  <si>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</si>
  <si>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</si>
  <si>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</si>
  <si>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</si>
  <si>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</si>
  <si>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</si>
  <si>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</si>
  <si>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</si>
  <si>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</si>
  <si>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</si>
  <si>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</si>
  <si>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</si>
  <si>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</si>
  <si>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</si>
  <si>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</si>
  <si>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</si>
  <si>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</si>
  <si>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</si>
  <si>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</si>
  <si>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</si>
  <si>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</si>
  <si>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</si>
  <si>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</si>
  <si>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</si>
  <si>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</si>
  <si>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</si>
  <si>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</si>
  <si>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</si>
  <si>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</si>
  <si>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</si>
  <si>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</si>
  <si>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</si>
  <si>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</si>
  <si>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</si>
  <si>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</si>
  <si>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</si>
  <si>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</si>
  <si>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</si>
  <si>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</si>
  <si>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</si>
  <si>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</si>
  <si>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</si>
  <si>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</si>
  <si>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</si>
  <si>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</si>
  <si>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</si>
  <si>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</si>
  <si>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</si>
  <si>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</si>
  <si>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</si>
  <si>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</si>
  <si>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</si>
  <si>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</si>
  <si>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</si>
  <si>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</si>
  <si>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</si>
  <si>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</si>
  <si>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</si>
  <si>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</si>
  <si>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</si>
  <si>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</si>
  <si>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</si>
  <si>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</si>
  <si>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</si>
  <si>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</si>
  <si>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</si>
  <si>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</si>
  <si>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</si>
  <si>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</si>
  <si>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</si>
  <si>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</si>
  <si>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</si>
  <si>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</si>
  <si>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</si>
  <si>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</si>
  <si>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</si>
  <si>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</si>
  <si>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</si>
  <si>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</si>
  <si>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</si>
  <si>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</si>
  <si>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</si>
  <si>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for Expenditures</t>
  </si>
  <si>
    <t>Does misc. exceed 10% of Total Expenditures</t>
  </si>
  <si>
    <t>Non-Appropriated Balance</t>
  </si>
  <si>
    <t>Total Expenditure/Non-Appr Balance</t>
  </si>
  <si>
    <t>Delinquent Comp Rate:</t>
  </si>
  <si>
    <t>Does transfer exceed 25% of Resources Available</t>
  </si>
  <si>
    <t>Desired Carryover Amount:</t>
  </si>
  <si>
    <t>Estimated Mill Rate Impact:</t>
  </si>
  <si>
    <t>The estimated value of one mill would be:</t>
  </si>
  <si>
    <t>Change in Ad Valorem Tax Revenue:</t>
  </si>
  <si>
    <t>What Mill Rate Would Be Desired?</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</si>
  <si>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</si>
  <si>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the budget from two years ago(the year for acutal column of the current budget).  After the information has been entered, please verify the data is correct. </t>
  </si>
  <si>
    <t>Transfer can not exceed 25% Resources Available</t>
  </si>
  <si>
    <t>Library</t>
  </si>
  <si>
    <t>12-1220</t>
  </si>
  <si>
    <t>Delinquency % used in this budget will be shown on all fund pages with a tax levy**</t>
  </si>
  <si>
    <t>FUND PAGE FOR FUNDS WITH A TAX LEVY</t>
  </si>
  <si>
    <t xml:space="preserve">Prior Year </t>
  </si>
  <si>
    <t xml:space="preserve">Current Year </t>
  </si>
  <si>
    <t xml:space="preserve">Proposed Budget </t>
  </si>
  <si>
    <t>Does misc. exceed 10% of Total Receipts</t>
  </si>
  <si>
    <t>Expenditures Must Be Changed by:</t>
  </si>
  <si>
    <t>Mill Rate Comparison</t>
  </si>
  <si>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</si>
  <si>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</si>
  <si>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</si>
  <si>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</si>
  <si>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</si>
  <si>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</si>
  <si>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</si>
  <si>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</si>
  <si>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</si>
  <si>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</si>
  <si>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</si>
  <si>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</si>
  <si>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</si>
  <si>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</si>
  <si>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</si>
  <si>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</si>
  <si>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</si>
  <si>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</si>
  <si>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</si>
  <si>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</si>
  <si>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</si>
  <si>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</si>
  <si>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</si>
  <si>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</si>
  <si>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</si>
  <si>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</si>
  <si>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</si>
  <si>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</si>
  <si>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</si>
  <si>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</si>
  <si>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</si>
  <si>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</si>
  <si>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</si>
  <si>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</si>
  <si>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</si>
  <si>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</si>
  <si>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</si>
  <si>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</si>
  <si>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</si>
  <si>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</si>
  <si>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</si>
  <si>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</si>
  <si>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</si>
  <si>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</si>
  <si>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</si>
  <si>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</si>
  <si>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</si>
  <si>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</si>
  <si>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</si>
  <si>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</si>
  <si>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</si>
  <si>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</si>
  <si>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</si>
  <si>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</si>
  <si>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t>Budgeted Funds</t>
  </si>
  <si>
    <t>Type</t>
  </si>
  <si>
    <t>Debt</t>
  </si>
  <si>
    <t>Items</t>
  </si>
  <si>
    <t>Purchased</t>
  </si>
  <si>
    <t xml:space="preserve">Amounts used in lieu of </t>
  </si>
  <si>
    <t>Official Name:</t>
  </si>
  <si>
    <t>Official Title:</t>
  </si>
  <si>
    <t>Must be at least 10 days between date published and hearing held.</t>
  </si>
  <si>
    <t>Ad Valorem</t>
  </si>
  <si>
    <t>Budget Auth.</t>
  </si>
  <si>
    <t>Actual Rate*</t>
  </si>
  <si>
    <t>Est. Tax Rate*</t>
  </si>
  <si>
    <t>Alloc of MVT, RVT, and 16/20M Vehicles Tax</t>
  </si>
  <si>
    <t>Email:</t>
  </si>
  <si>
    <t>January</t>
  </si>
  <si>
    <t>February</t>
  </si>
  <si>
    <t>March</t>
  </si>
  <si>
    <t>April</t>
  </si>
  <si>
    <t>May</t>
  </si>
  <si>
    <t>June</t>
  </si>
  <si>
    <t>July</t>
  </si>
  <si>
    <t>August</t>
  </si>
  <si>
    <t>September</t>
  </si>
  <si>
    <t>October</t>
  </si>
  <si>
    <t>November</t>
  </si>
  <si>
    <t>December</t>
  </si>
  <si>
    <t>Township3.xls spreadsheet has General Fund, Debt Service, Library, Road , 8 levy fund pages, 4 no levy fund pages, and 1 non-budgeted page. Additionally, the spreadsheet is set up for a taxing district for Street Lights or Fire Protection of an unincorporated town supported by a township (KSA 19-2716).</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</si>
  <si>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</si>
  <si>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</si>
  <si>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</si>
  <si>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</si>
  <si>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</si>
  <si>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</si>
  <si>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Library(DebtSvs-Library), Road,  8 levy pages (levy page11 to levy page14), and 4 no levy fund pages (nolevypage12 to nolevypage13), and non-budgeted page which holds five funds. Only complete the fund pages needed.  When the fund pages are completed, the totals will be linked to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</si>
  <si>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8 and the General Fund page would be numbered 9 otherwise the General would be 8.</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</si>
  <si>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</si>
  <si>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</si>
  <si>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</si>
  <si>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</si>
  <si>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</si>
  <si>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</si>
  <si>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</si>
  <si>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</si>
  <si>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</si>
  <si>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</si>
  <si>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</si>
  <si>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</si>
  <si>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</si>
  <si>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</si>
  <si>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</si>
  <si>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</si>
  <si>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</si>
  <si>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</si>
  <si>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</si>
  <si>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</si>
  <si>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</si>
  <si>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</si>
  <si>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</si>
  <si>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</si>
  <si>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</si>
  <si>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13g. The Budget Summary computation for mil rate for light or fire protection uses only the valuation for the unincoprated town, while the township funds uses the township valuation.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</si>
  <si>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</si>
  <si>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</si>
  <si>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</si>
  <si>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</si>
  <si>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</si>
  <si>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</si>
  <si>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1.  "Budget Authority Amount" cell added to budget year column of all funds.</t>
  </si>
  <si>
    <t xml:space="preserve">4a. The computation for mill rate for the lights or fire protection uses only the valuation of the unincorporated town, while the township funds uses the township valuation. </t>
  </si>
  <si>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</si>
  <si>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</si>
  <si>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</si>
  <si>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</si>
  <si>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</si>
  <si>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</si>
  <si>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</si>
  <si>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</si>
  <si>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</si>
  <si>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</si>
  <si>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</si>
  <si>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</si>
  <si>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</si>
  <si>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</si>
  <si>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</si>
  <si>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</si>
  <si>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</si>
  <si>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</si>
  <si>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1.  Several changes to workbook associated with 2014 HB 2047.</t>
  </si>
  <si>
    <t>1.  Added the ROUND function to cell J38 in the computation tab(s) so result will be a whole number.</t>
  </si>
  <si>
    <t>When the page numbers are changed on the fund pages the certificate page will also be changed.</t>
  </si>
  <si>
    <t>Input Sheet for Township3 Budget Workbook</t>
  </si>
  <si>
    <t>Enter township name followed by "Township":</t>
  </si>
  <si>
    <t>Enter county name followed by "County":</t>
  </si>
  <si>
    <t>Enter either "Street Lighting" or "Fire Protection":</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</si>
  <si>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</si>
  <si>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</si>
  <si>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</si>
  <si>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</si>
  <si>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</si>
  <si>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1.  Update of State Library contact name on library grant tab.</t>
  </si>
  <si>
    <t>Township3 Budget Workbook Instructions</t>
  </si>
  <si>
    <t>Commercial Vehicle Tax Estimate</t>
  </si>
  <si>
    <t>Watercraft Tax Estimate</t>
  </si>
  <si>
    <t>Commercial Vehicle Tax</t>
  </si>
  <si>
    <t>Watercraft Tax</t>
  </si>
  <si>
    <t xml:space="preserve">Allocation of MV, RV, 16/20M, Commercial Vehicle, and Watercraft Tax Estimates </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</si>
  <si>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</si>
  <si>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</si>
  <si>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</si>
  <si>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</si>
  <si>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</si>
  <si>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</si>
  <si>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</si>
  <si>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</si>
  <si>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</si>
  <si>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</si>
  <si>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</si>
  <si>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</si>
  <si>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1.  Various workbook changes associated with commercial vehicle and watercraft tax estimates.</t>
  </si>
  <si>
    <t>1.  Inserted 2014 CPI percentage on computation tab.</t>
  </si>
  <si>
    <t>2.  Corrected formula in cell d24 of library grant tab.</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</si>
  <si>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</si>
  <si>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</si>
  <si>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</si>
  <si>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</si>
  <si>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</si>
  <si>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</si>
  <si>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</si>
  <si>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</si>
  <si>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10/6/2015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</si>
  <si>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</si>
  <si>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</si>
  <si>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</si>
  <si>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</si>
  <si>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</si>
  <si>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1/26/2016</t>
  </si>
  <si>
    <t>1.  On tax levy funds NR estimate shown as a negative receipt.</t>
  </si>
  <si>
    <t>The following changes were made to this workbook on 2/3/2016</t>
  </si>
  <si>
    <t>1.  Inserted 2015 CPI percentage on computation tab.</t>
  </si>
  <si>
    <t>The following changes were made to this workbook on 1/22/2015</t>
  </si>
  <si>
    <t>The following changes were made to this workbook on 10/31/2014</t>
  </si>
  <si>
    <t>The following changes were made to this workbook on 8/28/2014</t>
  </si>
  <si>
    <t>The following changes were made to this workbook on 7/29/2014</t>
  </si>
  <si>
    <t>The following changes were made to this workbook on 7/15/2014</t>
  </si>
  <si>
    <t>The following changes were made to this workbook on 5/26/2014</t>
  </si>
  <si>
    <t>The following changes were made to this workbook on 4/29/2014</t>
  </si>
  <si>
    <t>The following changes were made to this workbook on 3/27/2013</t>
  </si>
  <si>
    <t>1.  Instruction tab narrative modification.</t>
  </si>
  <si>
    <t>The following changes were made to this workbook on 3/6/2013</t>
  </si>
  <si>
    <t>1. Correction to the total assessed valuation year formula on the certificate tab.</t>
  </si>
  <si>
    <t>The following changes were made to this workbook on 1/31/2013</t>
  </si>
  <si>
    <t>1.  Corrected formula in cell e28 of Library Grant tab.</t>
  </si>
  <si>
    <t>The following changes were made to this workbook on 10/10/2012</t>
  </si>
  <si>
    <t>1.  Added "resolution required?  yes/no" message to area adjacent to each tax levy fund.</t>
  </si>
  <si>
    <t>1.  Corrected formula in cell e29 on Library Grant tab page.</t>
  </si>
  <si>
    <t>The following changes were made to this workbook on 2/22/2012</t>
  </si>
  <si>
    <t>1. Library Grant tab, updated State Library e-mail contact address.</t>
  </si>
  <si>
    <t>The following changes were made to this workbook on 2/7/2012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</si>
  <si>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</si>
  <si>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</si>
  <si>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</si>
  <si>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</si>
  <si>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</si>
  <si>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</si>
  <si>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</si>
  <si>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</si>
  <si>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</si>
  <si>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</si>
  <si>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</si>
  <si>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</si>
  <si>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</si>
  <si>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15. Mvalloc tab - removed 'Slider' from table heading.</t>
  </si>
  <si>
    <t>16. Mvalloc tab - removed slider column and underlying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</si>
  <si>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</si>
  <si>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</si>
  <si>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</si>
  <si>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</si>
  <si>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</si>
  <si>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</si>
  <si>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</si>
  <si>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</si>
  <si>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</si>
  <si>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</si>
  <si>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</si>
  <si>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</si>
  <si>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</si>
  <si>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5/4/2011</t>
  </si>
  <si>
    <t>The following changes were made to this workbook on 4/19/2011</t>
  </si>
  <si>
    <t>1. Gen tab cell B45 corrected spelling 'Resources.'</t>
  </si>
  <si>
    <t>1. Summ tab changed proposed year expenditure column to 'Budget Authority for Expenditures.'</t>
  </si>
  <si>
    <t>The following changes were made to this workbook on 10/22/2010</t>
  </si>
  <si>
    <t>1. All pages removed the revision date.</t>
  </si>
  <si>
    <t>2. All tax levy fund pages reduced the columns and revised the bottom of pages for see tabs.</t>
  </si>
  <si>
    <t>3. Instruction tab added lines 11c (last year mill rate), 11d (desired mill rate), 10a (project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</si>
  <si>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</si>
  <si>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</si>
  <si>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</si>
  <si>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</si>
  <si>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</si>
  <si>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</si>
  <si>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</si>
  <si>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</si>
  <si>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</si>
  <si>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</si>
  <si>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</si>
  <si>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</si>
  <si>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</si>
  <si>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</si>
  <si>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queue.</t>
  </si>
  <si>
    <t>19. Add Helpful Links tab.</t>
  </si>
  <si>
    <t>20. Certificate page deleted state block.</t>
  </si>
  <si>
    <t>21. Inputoth tab changed Actual Delinquency tax from -2 to -3.</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</si>
  <si>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</si>
  <si>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</si>
  <si>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</si>
  <si>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</si>
  <si>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</si>
  <si>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</si>
  <si>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</si>
  <si>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</si>
  <si>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</si>
  <si>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</si>
  <si>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</si>
  <si>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</si>
  <si>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</si>
  <si>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5. Added Instructions tab lines 4a and 12d concerning levy for lights or fire protection.</t>
  </si>
  <si>
    <t>The following changes were made to this workbook on 8/21/2009</t>
  </si>
  <si>
    <t>1. InputPrYr tab changed fund name for Bond &amp; Interest to Debt Service.</t>
  </si>
  <si>
    <t>2. InputPrYr tab added Special Road and Noxious Weed fund to tax levy block.</t>
  </si>
  <si>
    <t>3. Mvalloc tab change reference in table from 'D' to 'E' for each cell.</t>
  </si>
  <si>
    <t>4. InputOth tab added vehicle estimates for Street Lighting and Fire District.</t>
  </si>
  <si>
    <t>5. Special tab added links for vehicle estimates.</t>
  </si>
  <si>
    <t>6. Special tab added the current year budget authority amount.</t>
  </si>
  <si>
    <t>7. Special tab change the page number from '1' to '1a.'</t>
  </si>
  <si>
    <t>8. Transfer tab change line 13 General/Road to Road/Special Machinery.</t>
  </si>
  <si>
    <t>9. InputPrYr tab added line 15 "If amended . . . ."</t>
  </si>
  <si>
    <t>10. TransferStatutes tab created.</t>
  </si>
  <si>
    <t>11. Instructions tab added 6c for TransferStatutes tab.</t>
  </si>
  <si>
    <t>12. Instruction tab added 9m to explain about Non-Budgeted Form.</t>
  </si>
  <si>
    <t>13. Cert tab added Non-Budgeted Funds line A40.</t>
  </si>
  <si>
    <t>14. Added nonbud tab for the Non-Budgeted Funds.</t>
  </si>
  <si>
    <t>15. Summ tab added A43 for Non-Budgeted Funds.</t>
  </si>
  <si>
    <t>16. Added Tabs A to E for violations.</t>
  </si>
  <si>
    <t>17. Changed each fund page taking out the 'Yes' and 'No' and replacing them with 'See Tab' for a possible violation.</t>
  </si>
  <si>
    <t>18. NonBud tab changed Net Valuation to July 1.</t>
  </si>
  <si>
    <t>19. Certificate tab moved the Assisted By: and added more lines for governing body signatures.</t>
  </si>
  <si>
    <t>20. Created NonBudFunds tab.</t>
  </si>
  <si>
    <t>The following changes were made to this workbook on 5/5/2009</t>
  </si>
  <si>
    <t>1. Summ tab, special machinery's expenditure cell B43 changed from C62 to B62.</t>
  </si>
  <si>
    <t>1. Changed column d on mvalloc to pickup ad valorem tax versus expenditures on inputPrYr.</t>
  </si>
  <si>
    <t>1. Certificate page changed fund name from Bond &amp; Interest to Debt Service.</t>
  </si>
  <si>
    <t>2. Debt Service fund name changed from Bond &amp; Interest to Debt Service.</t>
  </si>
  <si>
    <t>3. Budget Summary changed fund name from Bond &amp; Interest to Debt Service.</t>
  </si>
  <si>
    <t>The following were changed to this workbook on 4/3/2009</t>
  </si>
  <si>
    <t>The following were changed to this workbook on 3/19/2009</t>
  </si>
  <si>
    <t>The following were changed to this workbook on 2/23/2009</t>
  </si>
  <si>
    <t>The following were changed to this workbook on 10/22/2008</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</si>
  <si>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</si>
  <si>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14b. Special Machinery also has error message '</t>
    </r>
    <r>
      <rPr>
        <sz val="12"/>
        <color indexed="10"/>
        <rFont val="Times New Roman"/>
        <family val="1"/>
      </rPr>
      <t>Exceeds 25% of Resources Available.</t>
    </r>
    <r>
      <rPr>
        <sz val="12"/>
        <rFont val="Times New Roman"/>
        <family val="1"/>
      </rPr>
      <t>'</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</si>
  <si>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</si>
  <si>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The following was changed to this workbook on 6/05/2008</t>
  </si>
  <si>
    <t>The following were changed to this workbook on 8/06/2007</t>
  </si>
  <si>
    <t>The following changes were made to this workbook on 3/7/2017</t>
  </si>
  <si>
    <t>1.  Corrected the formula in cell e33 on the levy page 12 tab.</t>
  </si>
  <si>
    <t>14. Cert tab - added place for "Email" address for person assistance on the budget.</t>
  </si>
  <si>
    <t>CPI - Consumer Price Index Percentage (%):</t>
  </si>
  <si>
    <t xml:space="preserve">1.  inputPrYr tab, inserted CPI percentage, linked the percentage to the Computation tab.  </t>
  </si>
  <si>
    <t xml:space="preserve">Please read these instructions carefully.  If after reviewing them you still have questions, call Rico Aguayo at 785.296.6033 or email to armunis@ks.gov </t>
  </si>
  <si>
    <t>CPA Summary</t>
  </si>
  <si>
    <t xml:space="preserve">megan.schulz@ks.gov </t>
  </si>
  <si>
    <t xml:space="preserve">CPA Summary </t>
  </si>
  <si>
    <t>The following changes were made to this workbook in April 2018</t>
  </si>
  <si>
    <t xml:space="preserve">1.  Added the CPA Summary tab.  </t>
  </si>
  <si>
    <t>2.  Added the CPA Summary comment box on the Certification Page and all fund pages.</t>
  </si>
  <si>
    <t xml:space="preserve">3.  Changed Megan Schulz email address on the Library Grant tab.  </t>
  </si>
  <si>
    <t>4.  Renamed the Pub. Notice Option 1 tab to Notice of Vote.</t>
  </si>
  <si>
    <t>5.  Removed the Pub. Notice Option 2 and 3 tabs.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</si>
</sst>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quot;$&quot;#,##0"/>
    <numFmt numFmtId="186" formatCode="&quot;$&quot;#,##0.00"/>
    <numFmt numFmtId="187" formatCode="#,###"/>
    <numFmt numFmtId="188" formatCode="0.0%"/>
    <numFmt numFmtId="189" formatCode="#,##0.000_);[Red]\(#,##0.000\)"/>
    <numFmt numFmtId="190" formatCode="#,##0.00000_);\(#,##0.00000\)"/>
    <numFmt numFmtId="191" formatCode="m/d/yy;@"/>
  </numFmts>
  <fonts count="8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sz val="12"/>
      <name val="Cambria"/>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b/>
      <sz val="10"/>
      <color indexed="10"/>
      <name val="Times New Roman"/>
      <family val="1"/>
    </font>
    <font>
      <b/>
      <sz val="11"/>
      <name val="Calibri"/>
      <family val="2"/>
    </font>
    <font>
      <sz val="10"/>
      <name val="Courier New"/>
      <family val="3"/>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
      <patternFill patternType="solid">
        <fgColor indexed="35"/>
        <bgColor indexed="64"/>
      </patternFill>
    </fill>
    <fill>
      <patternFill patternType="solid">
        <fgColor rgb="FFFFFFC0"/>
        <bgColor indexed="64"/>
      </patternFill>
    </fill>
    <fill>
      <patternFill patternType="solid">
        <fgColor theme="0"/>
        <bgColor indexed="64"/>
      </patternFill>
    </fill>
    <fill>
      <patternFill patternType="solid">
        <fgColor indexed="4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
      <left style="thin"/>
      <right>
        <color indexed="63"/>
      </right>
      <top style="double"/>
      <bottom style="thin"/>
    </border>
    <border>
      <left>
        <color indexed="63"/>
      </left>
      <right>
        <color indexed="63"/>
      </right>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4"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4" borderId="0" applyNumberFormat="0" applyBorder="0" applyAlignment="0" applyProtection="0"/>
    <xf numFmtId="0" fontId="72" fillId="7"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0" borderId="0" applyNumberFormat="0" applyBorder="0" applyAlignment="0" applyProtection="0"/>
    <xf numFmtId="0" fontId="72" fillId="7" borderId="0" applyNumberFormat="0" applyBorder="0" applyAlignment="0" applyProtection="0"/>
    <xf numFmtId="0" fontId="72" fillId="3" borderId="0" applyNumberFormat="0" applyBorder="0" applyAlignment="0" applyProtection="0"/>
    <xf numFmtId="0" fontId="72" fillId="13"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57" fillId="18" borderId="1" applyNumberFormat="0" applyAlignment="0" applyProtection="0"/>
    <xf numFmtId="0" fontId="74"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76" fillId="7"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7" fillId="9" borderId="1" applyNumberFormat="0" applyAlignment="0" applyProtection="0"/>
    <xf numFmtId="0" fontId="65" fillId="0" borderId="6" applyNumberFormat="0" applyFill="0" applyAlignment="0" applyProtection="0"/>
    <xf numFmtId="0" fontId="6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1" fillId="0" borderId="0">
      <alignment/>
      <protection/>
    </xf>
    <xf numFmtId="0" fontId="4" fillId="0" borderId="0">
      <alignment/>
      <protection/>
    </xf>
    <xf numFmtId="0" fontId="71" fillId="0" borderId="0">
      <alignment/>
      <protection/>
    </xf>
    <xf numFmtId="0" fontId="4" fillId="0" borderId="0">
      <alignment/>
      <protection/>
    </xf>
    <xf numFmtId="0" fontId="7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8" fillId="18"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008">
    <xf numFmtId="0" fontId="0" fillId="0" borderId="0" xfId="0" applyAlignment="1">
      <alignment/>
    </xf>
    <xf numFmtId="0" fontId="6" fillId="0" borderId="0" xfId="0" applyFont="1" applyAlignment="1">
      <alignment/>
    </xf>
    <xf numFmtId="0" fontId="6" fillId="0" borderId="0" xfId="0" applyFont="1" applyAlignment="1">
      <alignment wrapText="1"/>
    </xf>
    <xf numFmtId="0" fontId="6" fillId="4" borderId="0" xfId="0" applyFont="1" applyFill="1" applyAlignment="1" applyProtection="1">
      <alignment horizontal="right" vertic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7" fillId="4" borderId="0" xfId="0" applyNumberFormat="1" applyFont="1" applyFill="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7"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4"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8" xfId="0" applyNumberFormat="1" applyFont="1" applyFill="1" applyBorder="1" applyAlignment="1" applyProtection="1">
      <alignment horizontal="left" vertical="center"/>
      <protection/>
    </xf>
    <xf numFmtId="37" fontId="6" fillId="9" borderId="18"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165" fontId="6" fillId="4" borderId="18" xfId="0" applyNumberFormat="1" applyFont="1" applyFill="1" applyBorder="1" applyAlignment="1" applyProtection="1">
      <alignment vertical="center"/>
      <protection/>
    </xf>
    <xf numFmtId="0" fontId="6" fillId="4" borderId="18"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0" fontId="6" fillId="4" borderId="21" xfId="0" applyFont="1" applyFill="1" applyBorder="1" applyAlignment="1" applyProtection="1">
      <alignment vertical="center"/>
      <protection/>
    </xf>
    <xf numFmtId="37" fontId="7" fillId="4" borderId="18" xfId="0" applyNumberFormat="1" applyFont="1" applyFill="1" applyBorder="1" applyAlignment="1" applyProtection="1">
      <alignment horizontal="center" vertical="center"/>
      <protection/>
    </xf>
    <xf numFmtId="37" fontId="7" fillId="4" borderId="0" xfId="0" applyNumberFormat="1" applyFont="1" applyFill="1" applyBorder="1" applyAlignment="1" applyProtection="1">
      <alignment horizontal="left" vertical="center"/>
      <protection/>
    </xf>
    <xf numFmtId="0" fontId="6" fillId="4" borderId="0" xfId="0"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fill"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6" fillId="22" borderId="20" xfId="0" applyFont="1" applyFill="1" applyBorder="1" applyAlignment="1" applyProtection="1">
      <alignment vertical="center"/>
      <protection locked="0"/>
    </xf>
    <xf numFmtId="0" fontId="6" fillId="4" borderId="0" xfId="0" applyFont="1" applyFill="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2"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3" xfId="0" applyNumberFormat="1" applyFont="1" applyFill="1" applyBorder="1" applyAlignment="1" applyProtection="1">
      <alignment vertical="center"/>
      <protection/>
    </xf>
    <xf numFmtId="3" fontId="6" fillId="9" borderId="2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0"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37" fontId="6" fillId="4" borderId="13" xfId="0" applyNumberFormat="1" applyFont="1" applyFill="1" applyBorder="1" applyAlignment="1" applyProtection="1">
      <alignment vertical="center"/>
      <protection/>
    </xf>
    <xf numFmtId="0" fontId="6" fillId="4" borderId="13" xfId="0" applyFont="1" applyFill="1" applyBorder="1" applyAlignment="1" applyProtection="1">
      <alignment horizontal="center" vertical="center"/>
      <protection/>
    </xf>
    <xf numFmtId="37" fontId="6" fillId="0" borderId="0" xfId="0" applyNumberFormat="1" applyFont="1" applyAlignment="1">
      <alignment vertical="center"/>
    </xf>
    <xf numFmtId="37" fontId="6" fillId="24" borderId="24" xfId="0" applyNumberFormat="1" applyFont="1" applyFill="1" applyBorder="1" applyAlignment="1" applyProtection="1">
      <alignment vertical="center"/>
      <protection/>
    </xf>
    <xf numFmtId="37" fontId="6" fillId="25" borderId="24" xfId="0" applyNumberFormat="1"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2"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2" xfId="0"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8" xfId="42" applyNumberFormat="1"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180" fontId="6" fillId="22" borderId="18" xfId="42" applyNumberFormat="1" applyFont="1" applyFill="1" applyBorder="1" applyAlignment="1" applyProtection="1">
      <alignment vertical="center"/>
      <protection locked="0"/>
    </xf>
    <xf numFmtId="0" fontId="7" fillId="22" borderId="18"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3" fontId="6" fillId="4" borderId="18" xfId="0" applyNumberFormat="1" applyFont="1" applyFill="1" applyBorder="1" applyAlignment="1" applyProtection="1">
      <alignment vertical="center"/>
      <protection/>
    </xf>
    <xf numFmtId="3" fontId="6" fillId="4" borderId="18" xfId="0" applyNumberFormat="1" applyFont="1" applyFill="1" applyBorder="1" applyAlignment="1" applyProtection="1">
      <alignment vertical="center"/>
      <protection locked="0"/>
    </xf>
    <xf numFmtId="3" fontId="6" fillId="25" borderId="18" xfId="0" applyNumberFormat="1" applyFont="1" applyFill="1" applyBorder="1" applyAlignment="1" applyProtection="1">
      <alignment vertical="center"/>
      <protection/>
    </xf>
    <xf numFmtId="37" fontId="6" fillId="4" borderId="0" xfId="579" applyNumberFormat="1" applyFont="1" applyFill="1" applyAlignment="1" applyProtection="1">
      <alignment vertical="center"/>
      <protection/>
    </xf>
    <xf numFmtId="0" fontId="6" fillId="4" borderId="0" xfId="579" applyFont="1" applyFill="1" applyAlignment="1" applyProtection="1">
      <alignment vertical="center"/>
      <protection/>
    </xf>
    <xf numFmtId="0" fontId="6" fillId="0" borderId="0" xfId="579" applyFont="1" applyAlignment="1" applyProtection="1">
      <alignment vertical="center"/>
      <protection locked="0"/>
    </xf>
    <xf numFmtId="0" fontId="5" fillId="4" borderId="0" xfId="580" applyFont="1" applyFill="1" applyAlignment="1" applyProtection="1">
      <alignment horizontal="centerContinuous" vertical="center"/>
      <protection/>
    </xf>
    <xf numFmtId="0" fontId="6" fillId="4" borderId="0" xfId="57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9" xfId="0"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14" fontId="6" fillId="4" borderId="13" xfId="0" applyNumberFormat="1" applyFont="1" applyFill="1" applyBorder="1" applyAlignment="1" applyProtection="1" quotePrefix="1">
      <alignment horizontal="center" vertical="center"/>
      <protection/>
    </xf>
    <xf numFmtId="0" fontId="6" fillId="4" borderId="18" xfId="0" applyFont="1" applyFill="1" applyBorder="1" applyAlignment="1" applyProtection="1">
      <alignment horizontal="left" vertical="center"/>
      <protection/>
    </xf>
    <xf numFmtId="170" fontId="6" fillId="4" borderId="18" xfId="0" applyNumberFormat="1" applyFont="1" applyFill="1" applyBorder="1" applyAlignment="1" applyProtection="1">
      <alignment horizontal="left" vertical="center"/>
      <protection/>
    </xf>
    <xf numFmtId="171" fontId="6" fillId="4" borderId="18" xfId="0" applyNumberFormat="1" applyFont="1" applyFill="1" applyBorder="1" applyAlignment="1" applyProtection="1">
      <alignment horizontal="left" vertical="center"/>
      <protection/>
    </xf>
    <xf numFmtId="0" fontId="6" fillId="22" borderId="18" xfId="0" applyFont="1" applyFill="1" applyBorder="1" applyAlignment="1" applyProtection="1">
      <alignment vertical="center"/>
      <protection locked="0"/>
    </xf>
    <xf numFmtId="170" fontId="6" fillId="22" borderId="18" xfId="0" applyNumberFormat="1" applyFont="1" applyFill="1" applyBorder="1" applyAlignment="1" applyProtection="1">
      <alignment vertical="center"/>
      <protection locked="0"/>
    </xf>
    <xf numFmtId="2" fontId="6" fillId="22" borderId="18" xfId="0" applyNumberFormat="1" applyFont="1" applyFill="1" applyBorder="1" applyAlignment="1" applyProtection="1">
      <alignment vertical="center"/>
      <protection locked="0"/>
    </xf>
    <xf numFmtId="3" fontId="6" fillId="22" borderId="18" xfId="0" applyNumberFormat="1" applyFont="1" applyFill="1" applyBorder="1" applyAlignment="1" applyProtection="1">
      <alignment vertical="center"/>
      <protection locked="0"/>
    </xf>
    <xf numFmtId="37" fontId="6" fillId="22" borderId="18" xfId="0" applyNumberFormat="1" applyFont="1" applyFill="1" applyBorder="1" applyAlignment="1" applyProtection="1">
      <alignment vertical="center"/>
      <protection locked="0"/>
    </xf>
    <xf numFmtId="171" fontId="6" fillId="22" borderId="18" xfId="0" applyNumberFormat="1" applyFont="1" applyFill="1" applyBorder="1" applyAlignment="1" applyProtection="1">
      <alignment vertical="center"/>
      <protection locked="0"/>
    </xf>
    <xf numFmtId="170" fontId="6" fillId="4" borderId="18" xfId="0" applyNumberFormat="1" applyFont="1" applyFill="1" applyBorder="1" applyAlignment="1" applyProtection="1">
      <alignment vertical="center"/>
      <protection/>
    </xf>
    <xf numFmtId="2" fontId="6" fillId="4" borderId="18" xfId="0" applyNumberFormat="1" applyFont="1" applyFill="1" applyBorder="1" applyAlignment="1" applyProtection="1">
      <alignment vertical="center"/>
      <protection/>
    </xf>
    <xf numFmtId="37" fontId="6" fillId="9" borderId="18" xfId="0" applyNumberFormat="1" applyFont="1" applyFill="1" applyBorder="1" applyAlignment="1" applyProtection="1">
      <alignment vertical="center"/>
      <protection/>
    </xf>
    <xf numFmtId="171" fontId="6" fillId="4" borderId="18" xfId="0" applyNumberFormat="1" applyFont="1" applyFill="1" applyBorder="1" applyAlignment="1" applyProtection="1">
      <alignment vertical="center"/>
      <protection/>
    </xf>
    <xf numFmtId="0" fontId="5" fillId="4" borderId="18" xfId="579" applyFont="1" applyFill="1" applyBorder="1" applyAlignment="1" applyProtection="1">
      <alignment horizontal="left" vertical="center"/>
      <protection/>
    </xf>
    <xf numFmtId="0" fontId="5" fillId="4" borderId="22" xfId="579" applyFont="1" applyFill="1" applyBorder="1" applyAlignment="1" applyProtection="1">
      <alignment vertical="center"/>
      <protection/>
    </xf>
    <xf numFmtId="37" fontId="5" fillId="9" borderId="18" xfId="579" applyNumberFormat="1" applyFont="1" applyFill="1" applyBorder="1" applyAlignment="1" applyProtection="1">
      <alignment vertical="center"/>
      <protection/>
    </xf>
    <xf numFmtId="0" fontId="6" fillId="4" borderId="0" xfId="580" applyFont="1" applyFill="1" applyAlignment="1" applyProtection="1">
      <alignment horizontal="centerContinuous" vertical="center"/>
      <protection/>
    </xf>
    <xf numFmtId="0" fontId="6" fillId="4" borderId="0" xfId="580" applyFont="1" applyFill="1" applyAlignment="1" applyProtection="1">
      <alignment vertical="center"/>
      <protection/>
    </xf>
    <xf numFmtId="0" fontId="6" fillId="0" borderId="0" xfId="58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80" applyFont="1" applyFill="1" applyBorder="1" applyAlignment="1" applyProtection="1">
      <alignment vertical="center"/>
      <protection/>
    </xf>
    <xf numFmtId="0" fontId="6" fillId="4" borderId="0" xfId="58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8" xfId="0" applyNumberFormat="1" applyFont="1" applyFill="1" applyBorder="1" applyAlignment="1" applyProtection="1">
      <alignment vertical="center"/>
      <protection locked="0"/>
    </xf>
    <xf numFmtId="3" fontId="5" fillId="4" borderId="22" xfId="57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7" fontId="6" fillId="4" borderId="19"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8" xfId="0" applyNumberFormat="1" applyFont="1" applyFill="1" applyBorder="1" applyAlignment="1" applyProtection="1">
      <alignment horizontal="fill" vertical="center"/>
      <protection/>
    </xf>
    <xf numFmtId="3" fontId="6" fillId="22" borderId="18"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5" fillId="24"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5" xfId="0" applyNumberFormat="1" applyFont="1" applyFill="1" applyBorder="1" applyAlignment="1" applyProtection="1">
      <alignment vertical="center"/>
      <protection/>
    </xf>
    <xf numFmtId="3" fontId="5" fillId="9" borderId="18" xfId="0" applyNumberFormat="1" applyFont="1" applyFill="1" applyBorder="1" applyAlignment="1" applyProtection="1">
      <alignment vertical="center"/>
      <protection/>
    </xf>
    <xf numFmtId="3" fontId="15" fillId="25" borderId="18" xfId="0" applyNumberFormat="1" applyFont="1" applyFill="1" applyBorder="1" applyAlignment="1" applyProtection="1">
      <alignment horizontal="center" vertical="center"/>
      <protection locked="0"/>
    </xf>
    <xf numFmtId="3" fontId="15" fillId="24" borderId="18" xfId="0" applyNumberFormat="1" applyFont="1" applyFill="1" applyBorder="1" applyAlignment="1" applyProtection="1">
      <alignment horizontal="center" vertical="center"/>
      <protection locked="0"/>
    </xf>
    <xf numFmtId="3" fontId="6" fillId="9" borderId="18" xfId="0" applyNumberFormat="1" applyFont="1" applyFill="1" applyBorder="1" applyAlignment="1" applyProtection="1">
      <alignment vertical="center"/>
      <protection/>
    </xf>
    <xf numFmtId="0" fontId="15" fillId="0" borderId="0" xfId="0" applyFont="1" applyAlignment="1" applyProtection="1">
      <alignment vertical="center"/>
      <protection/>
    </xf>
    <xf numFmtId="0" fontId="16"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4" borderId="18" xfId="0" applyNumberFormat="1" applyFont="1" applyFill="1" applyBorder="1" applyAlignment="1" applyProtection="1">
      <alignment horizontal="right" vertical="center"/>
      <protection/>
    </xf>
    <xf numFmtId="37" fontId="5" fillId="4" borderId="0" xfId="0" applyNumberFormat="1" applyFont="1" applyFill="1" applyAlignment="1" applyProtection="1">
      <alignment horizontal="left" vertical="center"/>
      <protection/>
    </xf>
    <xf numFmtId="1" fontId="6" fillId="4" borderId="10"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locked="0"/>
    </xf>
    <xf numFmtId="37" fontId="6" fillId="9" borderId="18" xfId="0" applyNumberFormat="1" applyFont="1" applyFill="1" applyBorder="1" applyAlignment="1" applyProtection="1">
      <alignment horizontal="right" vertical="center"/>
      <protection/>
    </xf>
    <xf numFmtId="37" fontId="6" fillId="22" borderId="18" xfId="0" applyNumberFormat="1" applyFont="1" applyFill="1" applyBorder="1" applyAlignment="1" applyProtection="1">
      <alignment horizontal="left" vertical="center"/>
      <protection locked="0"/>
    </xf>
    <xf numFmtId="37" fontId="5" fillId="4" borderId="18" xfId="0" applyNumberFormat="1" applyFont="1" applyFill="1" applyBorder="1" applyAlignment="1" applyProtection="1">
      <alignment horizontal="left" vertical="center"/>
      <protection/>
    </xf>
    <xf numFmtId="164" fontId="6" fillId="22" borderId="18"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9" xfId="0" applyFont="1" applyFill="1" applyBorder="1" applyAlignment="1" applyProtection="1">
      <alignment horizontal="left" vertical="center"/>
      <protection/>
    </xf>
    <xf numFmtId="0" fontId="6" fillId="22" borderId="14" xfId="0" applyFont="1" applyFill="1" applyBorder="1" applyAlignment="1" applyProtection="1">
      <alignment horizontal="left" vertical="center"/>
      <protection locked="0"/>
    </xf>
    <xf numFmtId="0" fontId="6" fillId="0" borderId="0" xfId="0" applyFont="1" applyBorder="1" applyAlignment="1" applyProtection="1">
      <alignment vertical="center"/>
      <protection locked="0"/>
    </xf>
    <xf numFmtId="165" fontId="6" fillId="9" borderId="18" xfId="0" applyNumberFormat="1" applyFont="1" applyFill="1" applyBorder="1" applyAlignment="1" applyProtection="1">
      <alignment vertical="center"/>
      <protection/>
    </xf>
    <xf numFmtId="37" fontId="6" fillId="9" borderId="24" xfId="0" applyNumberFormat="1" applyFont="1" applyFill="1" applyBorder="1" applyAlignment="1" applyProtection="1">
      <alignment horizontal="right" vertical="center"/>
      <protection/>
    </xf>
    <xf numFmtId="173" fontId="6" fillId="9" borderId="24" xfId="0" applyNumberFormat="1" applyFont="1" applyFill="1" applyBorder="1" applyAlignment="1" applyProtection="1">
      <alignment horizontal="right" vertical="center"/>
      <protection/>
    </xf>
    <xf numFmtId="37" fontId="6" fillId="9" borderId="24"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173" fontId="6" fillId="4" borderId="0" xfId="0" applyNumberFormat="1" applyFont="1" applyFill="1" applyBorder="1" applyAlignment="1" applyProtection="1">
      <alignment horizontal="right" vertical="center"/>
      <protection/>
    </xf>
    <xf numFmtId="37" fontId="5" fillId="4" borderId="18" xfId="0" applyNumberFormat="1" applyFont="1" applyFill="1" applyBorder="1" applyAlignment="1" applyProtection="1">
      <alignment horizontal="center" vertical="center"/>
      <protection/>
    </xf>
    <xf numFmtId="165" fontId="6" fillId="4" borderId="13"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3" fontId="6" fillId="22" borderId="18" xfId="0" applyNumberFormat="1" applyFont="1" applyFill="1" applyBorder="1" applyAlignment="1" applyProtection="1">
      <alignment horizontal="center" vertical="center"/>
      <protection locked="0"/>
    </xf>
    <xf numFmtId="181" fontId="6" fillId="4" borderId="18"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3" fontId="6" fillId="4" borderId="24" xfId="0" applyNumberFormat="1" applyFont="1" applyFill="1" applyBorder="1" applyAlignment="1" applyProtection="1">
      <alignment horizontal="center" vertical="center"/>
      <protection/>
    </xf>
    <xf numFmtId="181" fontId="6" fillId="4" borderId="24"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0" fontId="6" fillId="4" borderId="0" xfId="0" applyFont="1" applyFill="1" applyAlignment="1">
      <alignment horizontal="right" vertical="center"/>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3" fillId="4" borderId="0" xfId="0" applyFont="1" applyFill="1" applyAlignment="1">
      <alignment horizontal="center" vertical="center"/>
    </xf>
    <xf numFmtId="0" fontId="6" fillId="4" borderId="15" xfId="0" applyFont="1" applyFill="1" applyBorder="1" applyAlignment="1">
      <alignment vertical="center"/>
    </xf>
    <xf numFmtId="0" fontId="6" fillId="4" borderId="12" xfId="0" applyFont="1" applyFill="1" applyBorder="1" applyAlignment="1">
      <alignment vertical="center"/>
    </xf>
    <xf numFmtId="0" fontId="24" fillId="4" borderId="10" xfId="0" applyFont="1" applyFill="1" applyBorder="1" applyAlignment="1">
      <alignment vertical="center"/>
    </xf>
    <xf numFmtId="0" fontId="24" fillId="4" borderId="15" xfId="0" applyFont="1" applyFill="1" applyBorder="1" applyAlignment="1">
      <alignment horizontal="center" vertical="center"/>
    </xf>
    <xf numFmtId="0" fontId="24" fillId="4" borderId="16" xfId="0" applyFont="1" applyFill="1" applyBorder="1" applyAlignment="1">
      <alignment vertical="center"/>
    </xf>
    <xf numFmtId="0" fontId="24" fillId="4" borderId="18"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8" xfId="0" applyFont="1" applyFill="1" applyBorder="1" applyAlignment="1">
      <alignment horizontal="center" vertical="center"/>
    </xf>
    <xf numFmtId="0" fontId="24" fillId="4" borderId="19" xfId="0" applyFont="1" applyFill="1" applyBorder="1" applyAlignment="1">
      <alignment vertical="center"/>
    </xf>
    <xf numFmtId="3" fontId="24" fillId="22" borderId="18" xfId="0" applyNumberFormat="1" applyFont="1" applyFill="1" applyBorder="1" applyAlignment="1" applyProtection="1">
      <alignment horizontal="center" vertical="center"/>
      <protection locked="0"/>
    </xf>
    <xf numFmtId="0" fontId="24" fillId="4" borderId="12" xfId="0" applyFont="1" applyFill="1" applyBorder="1" applyAlignment="1">
      <alignment vertical="center"/>
    </xf>
    <xf numFmtId="3" fontId="24" fillId="9" borderId="18"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22" borderId="18" xfId="0" applyFont="1" applyFill="1" applyBorder="1" applyAlignment="1" applyProtection="1">
      <alignment vertical="center"/>
      <protection locked="0"/>
    </xf>
    <xf numFmtId="0" fontId="24" fillId="22" borderId="16" xfId="0" applyFont="1" applyFill="1" applyBorder="1" applyAlignment="1" applyProtection="1">
      <alignment vertical="center"/>
      <protection locked="0"/>
    </xf>
    <xf numFmtId="3" fontId="24" fillId="22" borderId="16" xfId="0" applyNumberFormat="1" applyFont="1" applyFill="1" applyBorder="1" applyAlignment="1" applyProtection="1">
      <alignment horizontal="center" vertical="center"/>
      <protection locked="0"/>
    </xf>
    <xf numFmtId="0" fontId="24" fillId="22" borderId="0" xfId="0" applyFont="1" applyFill="1" applyAlignment="1" applyProtection="1">
      <alignment vertical="center"/>
      <protection locked="0"/>
    </xf>
    <xf numFmtId="3" fontId="24" fillId="22" borderId="21" xfId="0" applyNumberFormat="1" applyFont="1" applyFill="1" applyBorder="1" applyAlignment="1" applyProtection="1">
      <alignment horizontal="center" vertical="center"/>
      <protection locked="0"/>
    </xf>
    <xf numFmtId="3" fontId="24" fillId="22" borderId="15" xfId="0" applyNumberFormat="1" applyFont="1" applyFill="1" applyBorder="1" applyAlignment="1" applyProtection="1">
      <alignment horizontal="center" vertical="center"/>
      <protection locked="0"/>
    </xf>
    <xf numFmtId="0" fontId="24" fillId="22" borderId="15" xfId="0" applyFont="1" applyFill="1" applyBorder="1" applyAlignment="1" applyProtection="1">
      <alignment vertical="center"/>
      <protection locked="0"/>
    </xf>
    <xf numFmtId="0" fontId="24" fillId="22" borderId="13" xfId="0" applyFont="1" applyFill="1" applyBorder="1" applyAlignment="1" applyProtection="1">
      <alignment vertical="center"/>
      <protection locked="0"/>
    </xf>
    <xf numFmtId="3" fontId="24" fillId="22" borderId="17" xfId="0" applyNumberFormat="1" applyFont="1" applyFill="1" applyBorder="1" applyAlignment="1" applyProtection="1">
      <alignment horizontal="center" vertical="center"/>
      <protection locked="0"/>
    </xf>
    <xf numFmtId="0" fontId="24" fillId="22" borderId="17" xfId="0" applyFont="1" applyFill="1" applyBorder="1" applyAlignment="1" applyProtection="1">
      <alignment vertical="center"/>
      <protection locked="0"/>
    </xf>
    <xf numFmtId="3" fontId="24" fillId="9" borderId="13" xfId="0" applyNumberFormat="1" applyFont="1" applyFill="1" applyBorder="1" applyAlignment="1">
      <alignment horizontal="center" vertical="center"/>
    </xf>
    <xf numFmtId="3" fontId="24" fillId="24" borderId="18" xfId="0" applyNumberFormat="1" applyFont="1" applyFill="1" applyBorder="1" applyAlignment="1">
      <alignment horizontal="center" vertical="center"/>
    </xf>
    <xf numFmtId="3" fontId="6" fillId="4" borderId="0" xfId="0" applyNumberFormat="1" applyFont="1" applyFill="1" applyAlignment="1">
      <alignment vertical="center"/>
    </xf>
    <xf numFmtId="3" fontId="6" fillId="0" borderId="0" xfId="0" applyNumberFormat="1" applyFont="1" applyAlignment="1">
      <alignment vertical="center"/>
    </xf>
    <xf numFmtId="0" fontId="15" fillId="0" borderId="0" xfId="0" applyFont="1" applyAlignment="1">
      <alignment vertical="center"/>
    </xf>
    <xf numFmtId="37" fontId="17" fillId="4" borderId="0" xfId="0" applyNumberFormat="1" applyFont="1" applyFill="1" applyAlignment="1" applyProtection="1">
      <alignment horizontal="left" vertical="center"/>
      <protection/>
    </xf>
    <xf numFmtId="0" fontId="5" fillId="22" borderId="18" xfId="0"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xf>
    <xf numFmtId="0" fontId="7" fillId="23" borderId="10" xfId="0" applyNumberFormat="1" applyFont="1" applyFill="1" applyBorder="1" applyAlignment="1" applyProtection="1">
      <alignment horizontal="center" vertical="center"/>
      <protection/>
    </xf>
    <xf numFmtId="0" fontId="7" fillId="23"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3" borderId="13" xfId="0" applyFont="1" applyFill="1" applyBorder="1" applyAlignment="1">
      <alignment horizontal="center" vertical="center"/>
    </xf>
    <xf numFmtId="3" fontId="6" fillId="22" borderId="18" xfId="0" applyNumberFormat="1" applyFont="1" applyFill="1" applyBorder="1" applyAlignment="1" applyProtection="1">
      <alignment vertical="center" wrapText="1"/>
      <protection locked="0"/>
    </xf>
    <xf numFmtId="37" fontId="5"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wrapText="1"/>
      <protection locked="0"/>
    </xf>
    <xf numFmtId="165" fontId="6" fillId="4" borderId="0" xfId="0" applyNumberFormat="1" applyFont="1" applyFill="1" applyAlignment="1" applyProtection="1">
      <alignment vertical="center"/>
      <protection/>
    </xf>
    <xf numFmtId="0" fontId="6" fillId="4" borderId="12" xfId="0" applyFont="1" applyFill="1" applyBorder="1" applyAlignment="1" applyProtection="1">
      <alignment horizontal="left" vertical="center"/>
      <protection/>
    </xf>
    <xf numFmtId="37" fontId="6" fillId="4" borderId="20" xfId="0" applyNumberFormat="1" applyFont="1" applyFill="1" applyBorder="1" applyAlignment="1" applyProtection="1">
      <alignment vertical="center"/>
      <protection/>
    </xf>
    <xf numFmtId="37" fontId="6" fillId="9" borderId="18" xfId="0" applyNumberFormat="1" applyFont="1" applyFill="1" applyBorder="1" applyAlignment="1">
      <alignment vertical="center"/>
    </xf>
    <xf numFmtId="165" fontId="6" fillId="22" borderId="18" xfId="0" applyNumberFormat="1" applyFont="1" applyFill="1" applyBorder="1" applyAlignment="1" applyProtection="1">
      <alignment vertical="center"/>
      <protection locked="0"/>
    </xf>
    <xf numFmtId="37" fontId="17" fillId="4" borderId="0" xfId="0" applyNumberFormat="1" applyFont="1" applyFill="1" applyAlignment="1" applyProtection="1">
      <alignment horizontal="right" vertical="center"/>
      <protection/>
    </xf>
    <xf numFmtId="165" fontId="6" fillId="4" borderId="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24" borderId="24"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locked="0"/>
    </xf>
    <xf numFmtId="37" fontId="6" fillId="4" borderId="20" xfId="0" applyNumberFormat="1"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locked="0"/>
    </xf>
    <xf numFmtId="0" fontId="6" fillId="26" borderId="20" xfId="0" applyFont="1" applyFill="1" applyBorder="1" applyAlignment="1" applyProtection="1">
      <alignment vertical="center"/>
      <protection/>
    </xf>
    <xf numFmtId="0" fontId="6" fillId="4" borderId="15"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37" fontId="7" fillId="4" borderId="0" xfId="0" applyNumberFormat="1" applyFont="1" applyFill="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protection/>
    </xf>
    <xf numFmtId="0" fontId="6" fillId="4" borderId="12" xfId="0" applyFont="1" applyFill="1" applyBorder="1" applyAlignment="1">
      <alignment horizontal="center" vertical="center"/>
    </xf>
    <xf numFmtId="37" fontId="5"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horizontal="right" vertical="center"/>
      <protection locked="0"/>
    </xf>
    <xf numFmtId="179" fontId="6" fillId="9" borderId="18" xfId="0" applyNumberFormat="1" applyFont="1" applyFill="1" applyBorder="1" applyAlignment="1" applyProtection="1">
      <alignment vertical="center"/>
      <protection/>
    </xf>
    <xf numFmtId="0" fontId="7" fillId="4" borderId="0" xfId="0"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3" borderId="10"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6" fillId="4" borderId="18" xfId="0" applyNumberFormat="1" applyFont="1" applyFill="1" applyBorder="1" applyAlignment="1">
      <alignment vertical="center"/>
    </xf>
    <xf numFmtId="3" fontId="28" fillId="24" borderId="0" xfId="0" applyNumberFormat="1" applyFont="1" applyFill="1" applyAlignment="1">
      <alignment horizontal="center" vertical="center"/>
    </xf>
    <xf numFmtId="0" fontId="7" fillId="0" borderId="0" xfId="0" applyFont="1" applyAlignment="1">
      <alignment/>
    </xf>
    <xf numFmtId="0" fontId="6" fillId="0" borderId="0" xfId="538" applyFont="1" applyAlignment="1">
      <alignment vertical="center" wrapText="1"/>
      <protection/>
    </xf>
    <xf numFmtId="0" fontId="6" fillId="0" borderId="0" xfId="543" applyFont="1" applyAlignment="1">
      <alignment vertical="center"/>
      <protection/>
    </xf>
    <xf numFmtId="0" fontId="6" fillId="0" borderId="0" xfId="564" applyFont="1" applyAlignment="1">
      <alignment vertical="center"/>
      <protection/>
    </xf>
    <xf numFmtId="0" fontId="0" fillId="0" borderId="0" xfId="0" applyAlignment="1">
      <alignment/>
    </xf>
    <xf numFmtId="0" fontId="0" fillId="0" borderId="0" xfId="544">
      <alignment/>
      <protection/>
    </xf>
    <xf numFmtId="0" fontId="0" fillId="0" borderId="0" xfId="544" applyNumberFormat="1" applyFont="1" applyAlignment="1">
      <alignment horizontal="left" vertical="center"/>
      <protection/>
    </xf>
    <xf numFmtId="0" fontId="6" fillId="0" borderId="0" xfId="544" applyFont="1" applyAlignment="1">
      <alignment horizontal="left" vertical="center"/>
      <protection/>
    </xf>
    <xf numFmtId="182" fontId="24" fillId="0" borderId="0" xfId="544" applyNumberFormat="1" applyFont="1" applyAlignment="1">
      <alignment horizontal="left" vertical="center"/>
      <protection/>
    </xf>
    <xf numFmtId="49" fontId="6" fillId="0" borderId="0" xfId="544" applyNumberFormat="1" applyFont="1" applyAlignment="1">
      <alignment horizontal="left" vertical="center"/>
      <protection/>
    </xf>
    <xf numFmtId="0" fontId="24" fillId="0" borderId="0" xfId="544" applyFont="1" applyAlignment="1">
      <alignment horizontal="left" vertical="center"/>
      <protection/>
    </xf>
    <xf numFmtId="183" fontId="24" fillId="0" borderId="0" xfId="544" applyNumberFormat="1" applyFont="1" applyAlignment="1">
      <alignment horizontal="left" vertical="center"/>
      <protection/>
    </xf>
    <xf numFmtId="0" fontId="31"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37" applyFont="1">
      <alignment/>
      <protection/>
    </xf>
    <xf numFmtId="0" fontId="4" fillId="0" borderId="0" xfId="237" applyFont="1" applyFill="1">
      <alignment/>
      <protection/>
    </xf>
    <xf numFmtId="0" fontId="4" fillId="0" borderId="0" xfId="0" applyFont="1" applyAlignment="1">
      <alignment/>
    </xf>
    <xf numFmtId="0" fontId="19" fillId="0" borderId="0" xfId="0" applyFont="1" applyAlignment="1">
      <alignment horizontal="center"/>
    </xf>
    <xf numFmtId="0" fontId="7" fillId="0" borderId="0" xfId="151" applyFont="1" applyAlignment="1">
      <alignment vertical="center"/>
      <protection/>
    </xf>
    <xf numFmtId="0" fontId="6" fillId="0" borderId="0" xfId="157" applyFont="1" applyAlignment="1">
      <alignment vertical="center"/>
      <protection/>
    </xf>
    <xf numFmtId="0" fontId="6" fillId="0" borderId="0" xfId="161" applyFont="1" applyAlignment="1">
      <alignment vertical="center" wrapText="1"/>
      <protection/>
    </xf>
    <xf numFmtId="0" fontId="6" fillId="4" borderId="0" xfId="0" applyFont="1" applyFill="1" applyAlignment="1">
      <alignment/>
    </xf>
    <xf numFmtId="0" fontId="7" fillId="0" borderId="0" xfId="150"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0" fontId="0" fillId="0" borderId="0" xfId="0" applyBorder="1" applyAlignment="1">
      <alignment vertical="center"/>
    </xf>
    <xf numFmtId="14" fontId="6" fillId="22" borderId="18" xfId="0" applyNumberFormat="1" applyFont="1" applyFill="1" applyBorder="1" applyAlignment="1" applyProtection="1">
      <alignment vertical="center"/>
      <protection locked="0"/>
    </xf>
    <xf numFmtId="3" fontId="15" fillId="25" borderId="14" xfId="0" applyNumberFormat="1" applyFont="1" applyFill="1" applyBorder="1" applyAlignment="1" applyProtection="1">
      <alignment horizontal="center" vertical="center"/>
      <protection locked="0"/>
    </xf>
    <xf numFmtId="3" fontId="15" fillId="24" borderId="18" xfId="0" applyNumberFormat="1" applyFont="1" applyFill="1" applyBorder="1" applyAlignment="1" applyProtection="1">
      <alignment horizontal="center" vertical="center"/>
      <protection/>
    </xf>
    <xf numFmtId="0" fontId="15" fillId="4" borderId="0" xfId="0" applyFont="1" applyFill="1" applyAlignment="1" applyProtection="1">
      <alignment vertical="center"/>
      <protection/>
    </xf>
    <xf numFmtId="0" fontId="16" fillId="4" borderId="0" xfId="0" applyFont="1" applyFill="1" applyAlignment="1" applyProtection="1">
      <alignment horizontal="center" vertical="center"/>
      <protection/>
    </xf>
    <xf numFmtId="0" fontId="5" fillId="0" borderId="0" xfId="0" applyFont="1" applyAlignment="1">
      <alignment vertical="center" wrapText="1"/>
    </xf>
    <xf numFmtId="0" fontId="26" fillId="0" borderId="0" xfId="0" applyFont="1" applyAlignment="1">
      <alignment vertical="center"/>
    </xf>
    <xf numFmtId="0" fontId="9" fillId="0" borderId="0" xfId="0" applyFont="1" applyAlignment="1">
      <alignment vertical="center"/>
    </xf>
    <xf numFmtId="0" fontId="14" fillId="0" borderId="0" xfId="0" applyFont="1" applyAlignment="1">
      <alignment vertical="center" wrapText="1"/>
    </xf>
    <xf numFmtId="0" fontId="21" fillId="0" borderId="0" xfId="0" applyFont="1" applyAlignment="1">
      <alignment vertical="center"/>
    </xf>
    <xf numFmtId="0" fontId="29" fillId="0" borderId="0" xfId="0" applyFont="1" applyAlignment="1">
      <alignment horizontal="center" vertical="center"/>
    </xf>
    <xf numFmtId="3" fontId="15" fillId="24"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9" borderId="14" xfId="0" applyNumberFormat="1" applyFont="1" applyFill="1" applyBorder="1" applyAlignment="1" applyProtection="1">
      <alignment vertical="center"/>
      <protection/>
    </xf>
    <xf numFmtId="1" fontId="6" fillId="4" borderId="27" xfId="0" applyNumberFormat="1" applyFont="1" applyFill="1" applyBorder="1" applyAlignment="1" applyProtection="1">
      <alignment horizontal="center" vertical="center"/>
      <protection/>
    </xf>
    <xf numFmtId="37" fontId="6" fillId="4" borderId="27" xfId="0" applyNumberFormat="1" applyFont="1" applyFill="1" applyBorder="1" applyAlignment="1" applyProtection="1">
      <alignment horizontal="center" vertical="center"/>
      <protection/>
    </xf>
    <xf numFmtId="3" fontId="15" fillId="24" borderId="14" xfId="0" applyNumberFormat="1" applyFont="1" applyFill="1" applyBorder="1" applyAlignment="1" applyProtection="1">
      <alignment horizontal="center" vertical="center"/>
      <protection locked="0"/>
    </xf>
    <xf numFmtId="3" fontId="6" fillId="9" borderId="14" xfId="0" applyNumberFormat="1" applyFont="1" applyFill="1" applyBorder="1" applyAlignment="1" applyProtection="1">
      <alignment vertical="center"/>
      <protection/>
    </xf>
    <xf numFmtId="0" fontId="18" fillId="4" borderId="0" xfId="0" applyFont="1" applyFill="1" applyAlignment="1" applyProtection="1">
      <alignment horizontal="center" vertical="center"/>
      <protection/>
    </xf>
    <xf numFmtId="0" fontId="25" fillId="0" borderId="0" xfId="0" applyFont="1" applyAlignment="1">
      <alignment wrapText="1"/>
    </xf>
    <xf numFmtId="0" fontId="27" fillId="0" borderId="0" xfId="0" applyFont="1" applyAlignment="1">
      <alignment horizontal="center" vertical="center"/>
    </xf>
    <xf numFmtId="0" fontId="35" fillId="18" borderId="0" xfId="0" applyFont="1" applyFill="1" applyAlignment="1">
      <alignment/>
    </xf>
    <xf numFmtId="186" fontId="35" fillId="4" borderId="29" xfId="0" applyNumberFormat="1" applyFont="1" applyFill="1" applyBorder="1" applyAlignment="1">
      <alignment/>
    </xf>
    <xf numFmtId="181" fontId="35" fillId="4" borderId="29" xfId="0" applyNumberFormat="1" applyFont="1" applyFill="1" applyBorder="1" applyAlignment="1" applyProtection="1">
      <alignment horizontal="center"/>
      <protection locked="0"/>
    </xf>
    <xf numFmtId="0" fontId="35" fillId="4" borderId="29" xfId="0" applyFont="1" applyFill="1" applyBorder="1" applyAlignment="1">
      <alignment horizontal="center"/>
    </xf>
    <xf numFmtId="185" fontId="35" fillId="4" borderId="29" xfId="0" applyNumberFormat="1" applyFont="1" applyFill="1" applyBorder="1" applyAlignment="1">
      <alignment horizontal="center"/>
    </xf>
    <xf numFmtId="181" fontId="35" fillId="4" borderId="0" xfId="0" applyNumberFormat="1" applyFont="1" applyFill="1" applyBorder="1" applyAlignment="1" applyProtection="1">
      <alignment horizontal="center"/>
      <protection locked="0"/>
    </xf>
    <xf numFmtId="0" fontId="34" fillId="4" borderId="30" xfId="0" applyFont="1" applyFill="1" applyBorder="1" applyAlignment="1">
      <alignment horizontal="centerContinuous"/>
    </xf>
    <xf numFmtId="186" fontId="34" fillId="4" borderId="0" xfId="0" applyNumberFormat="1" applyFont="1" applyFill="1" applyBorder="1" applyAlignment="1">
      <alignment horizontal="centerContinuous"/>
    </xf>
    <xf numFmtId="181" fontId="34" fillId="4" borderId="0" xfId="0" applyNumberFormat="1" applyFont="1" applyFill="1" applyBorder="1" applyAlignment="1" applyProtection="1">
      <alignment horizontal="centerContinuous"/>
      <protection locked="0"/>
    </xf>
    <xf numFmtId="0" fontId="34" fillId="4" borderId="0" xfId="0" applyFont="1" applyFill="1" applyBorder="1" applyAlignment="1">
      <alignment horizontal="centerContinuous"/>
    </xf>
    <xf numFmtId="185" fontId="34" fillId="4" borderId="0" xfId="0" applyNumberFormat="1" applyFont="1" applyFill="1" applyBorder="1" applyAlignment="1">
      <alignment horizontal="centerContinuous"/>
    </xf>
    <xf numFmtId="0" fontId="34" fillId="4" borderId="31" xfId="0" applyFont="1" applyFill="1" applyBorder="1" applyAlignment="1">
      <alignment horizontal="centerContinuous"/>
    </xf>
    <xf numFmtId="0" fontId="34" fillId="4" borderId="30" xfId="0" applyFont="1" applyFill="1" applyBorder="1" applyAlignment="1">
      <alignment horizontal="centerContinuous" vertical="center"/>
    </xf>
    <xf numFmtId="186" fontId="34" fillId="4" borderId="0" xfId="0" applyNumberFormat="1" applyFont="1" applyFill="1" applyBorder="1" applyAlignment="1">
      <alignment horizontal="centerContinuous" vertical="center"/>
    </xf>
    <xf numFmtId="181" fontId="34" fillId="4" borderId="0" xfId="0" applyNumberFormat="1" applyFont="1" applyFill="1" applyBorder="1" applyAlignment="1" applyProtection="1">
      <alignment horizontal="centerContinuous" vertical="center"/>
      <protection locked="0"/>
    </xf>
    <xf numFmtId="0" fontId="34" fillId="4" borderId="0" xfId="0" applyFont="1" applyFill="1" applyBorder="1" applyAlignment="1">
      <alignment horizontal="centerContinuous" vertical="center"/>
    </xf>
    <xf numFmtId="185" fontId="34" fillId="4" borderId="0" xfId="0" applyNumberFormat="1" applyFont="1" applyFill="1" applyBorder="1" applyAlignment="1">
      <alignment horizontal="centerContinuous" vertical="center"/>
    </xf>
    <xf numFmtId="0" fontId="34" fillId="4" borderId="31" xfId="0" applyFont="1" applyFill="1" applyBorder="1" applyAlignment="1">
      <alignment horizontal="centerContinuous" vertical="center"/>
    </xf>
    <xf numFmtId="186" fontId="35" fillId="4" borderId="32" xfId="0" applyNumberFormat="1" applyFont="1" applyFill="1" applyBorder="1" applyAlignment="1">
      <alignment/>
    </xf>
    <xf numFmtId="181" fontId="35" fillId="4" borderId="32" xfId="0" applyNumberFormat="1" applyFont="1" applyFill="1" applyBorder="1" applyAlignment="1" applyProtection="1">
      <alignment horizontal="center"/>
      <protection locked="0"/>
    </xf>
    <xf numFmtId="185" fontId="35" fillId="4" borderId="32" xfId="0" applyNumberFormat="1" applyFont="1" applyFill="1" applyBorder="1" applyAlignment="1">
      <alignment horizontal="center"/>
    </xf>
    <xf numFmtId="186" fontId="35" fillId="4" borderId="0" xfId="0" applyNumberFormat="1" applyFont="1" applyFill="1" applyBorder="1" applyAlignment="1">
      <alignment/>
    </xf>
    <xf numFmtId="181" fontId="35" fillId="22" borderId="12" xfId="0" applyNumberFormat="1" applyFont="1" applyFill="1" applyBorder="1" applyAlignment="1" applyProtection="1">
      <alignment horizontal="center"/>
      <protection locked="0"/>
    </xf>
    <xf numFmtId="0" fontId="35" fillId="23" borderId="0" xfId="0" applyFont="1" applyFill="1" applyAlignment="1">
      <alignment/>
    </xf>
    <xf numFmtId="5" fontId="35" fillId="4" borderId="0" xfId="0" applyNumberFormat="1" applyFont="1" applyFill="1" applyBorder="1" applyAlignment="1">
      <alignment horizontal="center"/>
    </xf>
    <xf numFmtId="0" fontId="35" fillId="4" borderId="33"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0" fontId="35" fillId="4" borderId="22" xfId="0" applyFont="1" applyFill="1" applyBorder="1" applyAlignment="1">
      <alignment/>
    </xf>
    <xf numFmtId="0" fontId="35" fillId="4" borderId="35"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6" xfId="0" applyFont="1" applyFill="1" applyBorder="1" applyAlignment="1">
      <alignment/>
    </xf>
    <xf numFmtId="0" fontId="35" fillId="4" borderId="29" xfId="0" applyFont="1" applyFill="1" applyBorder="1" applyAlignment="1">
      <alignment/>
    </xf>
    <xf numFmtId="0" fontId="34" fillId="4" borderId="37" xfId="0" applyFont="1" applyFill="1" applyBorder="1" applyAlignment="1">
      <alignment/>
    </xf>
    <xf numFmtId="0" fontId="35" fillId="4" borderId="0" xfId="0" applyFont="1" applyFill="1" applyAlignment="1">
      <alignment horizontal="center" wrapText="1"/>
    </xf>
    <xf numFmtId="186" fontId="35" fillId="4" borderId="32" xfId="0" applyNumberFormat="1" applyFont="1" applyFill="1" applyBorder="1" applyAlignment="1">
      <alignment horizontal="center"/>
    </xf>
    <xf numFmtId="181" fontId="35" fillId="4" borderId="32" xfId="0" applyNumberFormat="1" applyFont="1" applyFill="1" applyBorder="1" applyAlignment="1">
      <alignment horizontal="center"/>
    </xf>
    <xf numFmtId="0" fontId="35" fillId="4" borderId="32" xfId="0" applyFont="1" applyFill="1" applyBorder="1" applyAlignment="1">
      <alignment horizontal="center"/>
    </xf>
    <xf numFmtId="5" fontId="35" fillId="4" borderId="32" xfId="0" applyNumberFormat="1" applyFont="1" applyFill="1" applyBorder="1" applyAlignment="1">
      <alignment horizontal="center"/>
    </xf>
    <xf numFmtId="0" fontId="35" fillId="4" borderId="34" xfId="0" applyFont="1" applyFill="1" applyBorder="1" applyAlignment="1">
      <alignment/>
    </xf>
    <xf numFmtId="0" fontId="35" fillId="4" borderId="22" xfId="0" applyFont="1" applyFill="1" applyBorder="1" applyAlignment="1">
      <alignment/>
    </xf>
    <xf numFmtId="0" fontId="35" fillId="4" borderId="35" xfId="0" applyFont="1" applyFill="1" applyBorder="1" applyAlignment="1">
      <alignment/>
    </xf>
    <xf numFmtId="0" fontId="35" fillId="23" borderId="0" xfId="0" applyFont="1" applyFill="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5" fillId="0" borderId="0" xfId="0" applyFont="1" applyBorder="1" applyAlignment="1">
      <alignment/>
    </xf>
    <xf numFmtId="0" fontId="44" fillId="0" borderId="0" xfId="0" applyFont="1" applyBorder="1" applyAlignment="1">
      <alignment/>
    </xf>
    <xf numFmtId="185" fontId="35" fillId="0" borderId="0" xfId="0" applyNumberFormat="1" applyFont="1" applyAlignment="1">
      <alignment/>
    </xf>
    <xf numFmtId="181" fontId="35" fillId="4" borderId="0" xfId="0" applyNumberFormat="1" applyFont="1" applyFill="1" applyBorder="1" applyAlignment="1">
      <alignment horizontal="center"/>
    </xf>
    <xf numFmtId="185" fontId="35" fillId="22" borderId="38" xfId="0" applyNumberFormat="1" applyFont="1" applyFill="1" applyBorder="1" applyAlignment="1" applyProtection="1">
      <alignment horizontal="center"/>
      <protection locked="0"/>
    </xf>
    <xf numFmtId="0" fontId="35" fillId="4" borderId="31" xfId="0" applyFont="1" applyFill="1" applyBorder="1" applyAlignment="1">
      <alignment/>
    </xf>
    <xf numFmtId="0" fontId="35" fillId="4" borderId="37" xfId="0" applyFont="1" applyFill="1" applyBorder="1" applyAlignment="1">
      <alignment/>
    </xf>
    <xf numFmtId="0" fontId="35" fillId="4" borderId="39" xfId="0" applyFont="1" applyFill="1" applyBorder="1" applyAlignment="1">
      <alignment/>
    </xf>
    <xf numFmtId="0" fontId="35" fillId="4" borderId="32" xfId="0" applyFont="1" applyFill="1" applyBorder="1" applyAlignment="1">
      <alignment/>
    </xf>
    <xf numFmtId="0" fontId="35" fillId="4" borderId="33" xfId="0" applyFont="1" applyFill="1" applyBorder="1" applyAlignment="1">
      <alignment/>
    </xf>
    <xf numFmtId="0" fontId="35" fillId="4" borderId="30" xfId="0" applyFont="1" applyFill="1" applyBorder="1" applyAlignment="1">
      <alignment/>
    </xf>
    <xf numFmtId="0" fontId="35" fillId="4" borderId="0" xfId="0" applyFont="1" applyFill="1" applyBorder="1" applyAlignment="1">
      <alignment/>
    </xf>
    <xf numFmtId="185" fontId="35" fillId="4" borderId="38" xfId="0" applyNumberFormat="1" applyFont="1" applyFill="1" applyBorder="1" applyAlignment="1">
      <alignment/>
    </xf>
    <xf numFmtId="0" fontId="35" fillId="4" borderId="36" xfId="0" applyFont="1" applyFill="1" applyBorder="1" applyAlignment="1">
      <alignment/>
    </xf>
    <xf numFmtId="0" fontId="35" fillId="4" borderId="29" xfId="0" applyFont="1" applyFill="1" applyBorder="1" applyAlignment="1">
      <alignment/>
    </xf>
    <xf numFmtId="0" fontId="34" fillId="4" borderId="37" xfId="0" applyFont="1" applyFill="1" applyBorder="1" applyAlignment="1">
      <alignment/>
    </xf>
    <xf numFmtId="0" fontId="35" fillId="4" borderId="0" xfId="0" applyFont="1" applyFill="1" applyAlignment="1">
      <alignment horizontal="center"/>
    </xf>
    <xf numFmtId="0" fontId="34" fillId="4" borderId="0" xfId="0" applyFont="1" applyFill="1" applyAlignment="1">
      <alignment/>
    </xf>
    <xf numFmtId="0" fontId="34" fillId="23" borderId="0" xfId="0" applyFont="1" applyFill="1" applyAlignment="1">
      <alignment horizontal="center" wrapText="1"/>
    </xf>
    <xf numFmtId="0" fontId="35" fillId="4" borderId="0" xfId="0" applyFont="1" applyFill="1" applyAlignment="1">
      <alignment/>
    </xf>
    <xf numFmtId="0" fontId="35" fillId="0" borderId="0" xfId="0" applyFont="1" applyAlignment="1">
      <alignment/>
    </xf>
    <xf numFmtId="0" fontId="35" fillId="23" borderId="0" xfId="0" applyFont="1" applyFill="1" applyAlignment="1">
      <alignment/>
    </xf>
    <xf numFmtId="37" fontId="5" fillId="4" borderId="0" xfId="0" applyNumberFormat="1" applyFont="1" applyFill="1" applyBorder="1" applyAlignment="1" applyProtection="1">
      <alignment vertical="center"/>
      <protection/>
    </xf>
    <xf numFmtId="49" fontId="6" fillId="22" borderId="18" xfId="0" applyNumberFormat="1" applyFont="1" applyFill="1" applyBorder="1" applyAlignment="1" applyProtection="1">
      <alignment horizontal="center" vertical="center"/>
      <protection locked="0"/>
    </xf>
    <xf numFmtId="0" fontId="36" fillId="0" borderId="0" xfId="0" applyFont="1" applyAlignment="1">
      <alignment horizontal="center"/>
    </xf>
    <xf numFmtId="0" fontId="37" fillId="0" borderId="0" xfId="70" applyFont="1" applyAlignment="1" applyProtection="1">
      <alignment/>
      <protection/>
    </xf>
    <xf numFmtId="37" fontId="7" fillId="4" borderId="19"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0" fontId="38" fillId="0" borderId="0" xfId="0" applyFont="1" applyAlignment="1">
      <alignment vertical="center"/>
    </xf>
    <xf numFmtId="37" fontId="6" fillId="4" borderId="11" xfId="528" applyNumberFormat="1" applyFont="1" applyFill="1" applyBorder="1" applyAlignment="1" applyProtection="1">
      <alignment horizontal="center" vertical="center"/>
      <protection/>
    </xf>
    <xf numFmtId="37" fontId="6" fillId="4" borderId="13" xfId="528"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fill" vertical="center"/>
      <protection/>
    </xf>
    <xf numFmtId="0" fontId="6" fillId="4" borderId="28" xfId="0" applyFont="1" applyFill="1" applyBorder="1" applyAlignment="1" applyProtection="1">
      <alignment vertical="center"/>
      <protection/>
    </xf>
    <xf numFmtId="185"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7"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5" fontId="10" fillId="4" borderId="19" xfId="0" applyNumberFormat="1" applyFont="1" applyFill="1" applyBorder="1" applyAlignment="1" applyProtection="1">
      <alignment horizontal="center" vertical="center"/>
      <protection/>
    </xf>
    <xf numFmtId="185" fontId="10" fillId="4" borderId="28" xfId="0" applyNumberFormat="1" applyFont="1" applyFill="1" applyBorder="1" applyAlignment="1" applyProtection="1">
      <alignment vertical="center"/>
      <protection/>
    </xf>
    <xf numFmtId="185" fontId="40" fillId="24" borderId="19" xfId="0" applyNumberFormat="1" applyFont="1" applyFill="1" applyBorder="1" applyAlignment="1" applyProtection="1">
      <alignment horizontal="center" vertical="center"/>
      <protection/>
    </xf>
    <xf numFmtId="0" fontId="40" fillId="24" borderId="12" xfId="0" applyFont="1" applyFill="1" applyBorder="1" applyAlignment="1" applyProtection="1">
      <alignment vertical="center"/>
      <protection/>
    </xf>
    <xf numFmtId="0" fontId="10" fillId="24" borderId="21" xfId="0" applyFont="1" applyFill="1" applyBorder="1" applyAlignment="1" applyProtection="1">
      <alignment vertical="center"/>
      <protection/>
    </xf>
    <xf numFmtId="0" fontId="6" fillId="24" borderId="21"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5" fontId="10" fillId="4" borderId="17"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5" fontId="10" fillId="22" borderId="18"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3" fontId="15" fillId="24" borderId="18" xfId="0" applyNumberFormat="1" applyFont="1" applyFill="1" applyBorder="1" applyAlignment="1" applyProtection="1">
      <alignment horizontal="center" vertical="center"/>
      <protection locked="0"/>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5" fontId="6" fillId="4" borderId="17" xfId="0" applyNumberFormat="1" applyFont="1" applyFill="1" applyBorder="1" applyAlignment="1" applyProtection="1">
      <alignment horizontal="center"/>
      <protection/>
    </xf>
    <xf numFmtId="0" fontId="6" fillId="4" borderId="19" xfId="0" applyFont="1" applyFill="1" applyBorder="1" applyAlignment="1" applyProtection="1">
      <alignment/>
      <protection/>
    </xf>
    <xf numFmtId="0" fontId="6" fillId="4" borderId="12" xfId="0" applyFont="1" applyFill="1" applyBorder="1" applyAlignment="1" applyProtection="1">
      <alignment/>
      <protection/>
    </xf>
    <xf numFmtId="185" fontId="6" fillId="24" borderId="21"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17" xfId="0" applyFont="1" applyFill="1" applyBorder="1" applyAlignment="1" applyProtection="1">
      <alignment/>
      <protection/>
    </xf>
    <xf numFmtId="179" fontId="6" fillId="4" borderId="17" xfId="0" applyNumberFormat="1" applyFont="1" applyFill="1" applyBorder="1" applyAlignment="1" applyProtection="1">
      <alignment horizontal="center"/>
      <protection/>
    </xf>
    <xf numFmtId="0" fontId="6" fillId="24" borderId="28" xfId="0" applyFont="1" applyFill="1" applyBorder="1" applyAlignment="1" applyProtection="1">
      <alignment/>
      <protection/>
    </xf>
    <xf numFmtId="0" fontId="6" fillId="24" borderId="0" xfId="0" applyFont="1" applyFill="1" applyBorder="1" applyAlignment="1" applyProtection="1">
      <alignment/>
      <protection/>
    </xf>
    <xf numFmtId="185" fontId="6" fillId="24" borderId="17" xfId="0" applyNumberFormat="1" applyFont="1" applyFill="1" applyBorder="1" applyAlignment="1" applyProtection="1">
      <alignment horizontal="center"/>
      <protection/>
    </xf>
    <xf numFmtId="0" fontId="6" fillId="24" borderId="19" xfId="0" applyFont="1" applyFill="1" applyBorder="1" applyAlignment="1" applyProtection="1">
      <alignment vertical="center"/>
      <protection/>
    </xf>
    <xf numFmtId="185" fontId="6" fillId="24" borderId="21" xfId="0" applyNumberFormat="1" applyFont="1" applyFill="1" applyBorder="1" applyAlignment="1" applyProtection="1">
      <alignment horizontal="center" vertical="center"/>
      <protection/>
    </xf>
    <xf numFmtId="0" fontId="6" fillId="0" borderId="0" xfId="0" applyFont="1" applyAlignment="1" applyProtection="1">
      <alignment/>
      <protection/>
    </xf>
    <xf numFmtId="185" fontId="6" fillId="4" borderId="21" xfId="0" applyNumberFormat="1" applyFont="1" applyFill="1" applyBorder="1" applyAlignment="1" applyProtection="1">
      <alignment horizontal="center"/>
      <protection/>
    </xf>
    <xf numFmtId="0" fontId="6" fillId="24" borderId="19" xfId="0" applyFont="1" applyFill="1" applyBorder="1" applyAlignment="1" applyProtection="1">
      <alignment/>
      <protection/>
    </xf>
    <xf numFmtId="0" fontId="6" fillId="24" borderId="12" xfId="0" applyFont="1" applyFill="1" applyBorder="1" applyAlignment="1" applyProtection="1">
      <alignment/>
      <protection/>
    </xf>
    <xf numFmtId="0" fontId="6" fillId="0" borderId="0" xfId="0" applyFont="1" applyFill="1" applyBorder="1" applyAlignment="1" applyProtection="1">
      <alignment/>
      <protection/>
    </xf>
    <xf numFmtId="181" fontId="6" fillId="22" borderId="17" xfId="0" applyNumberFormat="1" applyFont="1" applyFill="1" applyBorder="1" applyAlignment="1" applyProtection="1">
      <alignment horizontal="center"/>
      <protection locked="0"/>
    </xf>
    <xf numFmtId="0" fontId="6" fillId="0" borderId="0" xfId="115" applyFont="1" applyAlignment="1">
      <alignment vertical="center" wrapText="1"/>
      <protection/>
    </xf>
    <xf numFmtId="0" fontId="6" fillId="0" borderId="0" xfId="115" applyFont="1" applyAlignment="1">
      <alignment vertical="center"/>
      <protection/>
    </xf>
    <xf numFmtId="37" fontId="6" fillId="22" borderId="18" xfId="0" applyNumberFormat="1" applyFont="1" applyFill="1" applyBorder="1" applyAlignment="1" applyProtection="1">
      <alignment horizontal="left" vertical="center"/>
      <protection locked="0"/>
    </xf>
    <xf numFmtId="0" fontId="6" fillId="0" borderId="0" xfId="0" applyFont="1" applyAlignment="1" applyProtection="1">
      <alignment vertical="center"/>
      <protection/>
    </xf>
    <xf numFmtId="37" fontId="6" fillId="4" borderId="13" xfId="528" applyNumberFormat="1" applyFont="1" applyFill="1" applyBorder="1" applyAlignment="1" applyProtection="1">
      <alignment horizontal="center"/>
      <protection/>
    </xf>
    <xf numFmtId="37" fontId="6" fillId="4" borderId="11" xfId="528"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5" fillId="4" borderId="22" xfId="0" applyFont="1" applyFill="1" applyBorder="1" applyAlignment="1">
      <alignment horizontal="center"/>
    </xf>
    <xf numFmtId="185" fontId="35" fillId="4" borderId="0" xfId="0" applyNumberFormat="1" applyFont="1" applyFill="1" applyBorder="1" applyAlignment="1">
      <alignment horizontal="center"/>
    </xf>
    <xf numFmtId="186" fontId="35" fillId="4" borderId="0"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Border="1" applyAlignment="1">
      <alignment horizontal="center"/>
    </xf>
    <xf numFmtId="0" fontId="35" fillId="4" borderId="0" xfId="0" applyFont="1" applyFill="1" applyBorder="1" applyAlignment="1">
      <alignment/>
    </xf>
    <xf numFmtId="0" fontId="35" fillId="4" borderId="39" xfId="0" applyFont="1" applyFill="1" applyBorder="1" applyAlignment="1">
      <alignment/>
    </xf>
    <xf numFmtId="0" fontId="34" fillId="4" borderId="0" xfId="0" applyFont="1" applyFill="1" applyAlignment="1">
      <alignment horizontal="center"/>
    </xf>
    <xf numFmtId="188" fontId="6" fillId="22" borderId="18" xfId="0" applyNumberFormat="1" applyFont="1" applyFill="1" applyBorder="1" applyAlignment="1" applyProtection="1">
      <alignment vertical="center"/>
      <protection locked="0"/>
    </xf>
    <xf numFmtId="37" fontId="6" fillId="4" borderId="0" xfId="90" applyNumberFormat="1" applyFont="1" applyFill="1" applyAlignment="1" applyProtection="1">
      <alignment vertical="center"/>
      <protection/>
    </xf>
    <xf numFmtId="0" fontId="6" fillId="4" borderId="0" xfId="90" applyFont="1" applyFill="1" applyAlignment="1" applyProtection="1">
      <alignment vertical="center"/>
      <protection/>
    </xf>
    <xf numFmtId="1" fontId="6" fillId="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4" borderId="0" xfId="90" applyNumberFormat="1" applyFont="1" applyFill="1" applyAlignment="1" applyProtection="1">
      <alignment horizontal="right" vertical="center"/>
      <protection/>
    </xf>
    <xf numFmtId="0" fontId="5" fillId="4" borderId="0" xfId="90" applyFont="1" applyFill="1" applyAlignment="1" applyProtection="1">
      <alignment vertical="center"/>
      <protection/>
    </xf>
    <xf numFmtId="37" fontId="6" fillId="4" borderId="0" xfId="90" applyNumberFormat="1" applyFont="1" applyFill="1" applyAlignment="1" applyProtection="1">
      <alignment horizontal="fill" vertical="center"/>
      <protection/>
    </xf>
    <xf numFmtId="37" fontId="6" fillId="4" borderId="0" xfId="90" applyNumberFormat="1" applyFont="1" applyFill="1" applyAlignment="1" applyProtection="1" quotePrefix="1">
      <alignment horizontal="right" vertical="center"/>
      <protection/>
    </xf>
    <xf numFmtId="37" fontId="6" fillId="4" borderId="0" xfId="90" applyNumberFormat="1" applyFont="1" applyFill="1" applyAlignment="1" applyProtection="1">
      <alignment horizontal="left" vertical="center"/>
      <protection/>
    </xf>
    <xf numFmtId="1" fontId="6" fillId="4" borderId="10" xfId="90" applyNumberFormat="1" applyFont="1" applyFill="1" applyBorder="1" applyAlignment="1" applyProtection="1">
      <alignment horizontal="center" vertical="center"/>
      <protection/>
    </xf>
    <xf numFmtId="37" fontId="6" fillId="4" borderId="27" xfId="90" applyNumberFormat="1" applyFont="1" applyFill="1" applyBorder="1" applyAlignment="1" applyProtection="1">
      <alignment horizontal="center" vertical="center"/>
      <protection/>
    </xf>
    <xf numFmtId="37" fontId="6" fillId="4" borderId="10" xfId="90" applyNumberFormat="1" applyFont="1" applyFill="1" applyBorder="1" applyAlignment="1" applyProtection="1">
      <alignment horizontal="center" vertical="center"/>
      <protection/>
    </xf>
    <xf numFmtId="37" fontId="5" fillId="4" borderId="12" xfId="90" applyNumberFormat="1" applyFont="1" applyFill="1" applyBorder="1" applyAlignment="1" applyProtection="1">
      <alignment vertical="center"/>
      <protection/>
    </xf>
    <xf numFmtId="0" fontId="6" fillId="4" borderId="13" xfId="90" applyNumberFormat="1" applyFont="1" applyFill="1" applyBorder="1" applyAlignment="1" applyProtection="1">
      <alignment horizontal="center" vertical="center"/>
      <protection/>
    </xf>
    <xf numFmtId="0" fontId="6" fillId="4" borderId="19" xfId="90" applyNumberFormat="1" applyFont="1" applyFill="1" applyBorder="1" applyAlignment="1" applyProtection="1">
      <alignment horizontal="center" vertical="center"/>
      <protection/>
    </xf>
    <xf numFmtId="1" fontId="6" fillId="4" borderId="13" xfId="90" applyNumberFormat="1" applyFont="1" applyFill="1" applyBorder="1" applyAlignment="1" applyProtection="1">
      <alignment horizontal="center" vertical="center"/>
      <protection/>
    </xf>
    <xf numFmtId="37" fontId="6" fillId="4" borderId="14" xfId="90" applyNumberFormat="1" applyFont="1" applyFill="1" applyBorder="1" applyAlignment="1" applyProtection="1">
      <alignment horizontal="left" vertical="center"/>
      <protection/>
    </xf>
    <xf numFmtId="37" fontId="6" fillId="22" borderId="14" xfId="90" applyNumberFormat="1" applyFont="1" applyFill="1" applyBorder="1" applyAlignment="1" applyProtection="1">
      <alignment vertical="center"/>
      <protection locked="0"/>
    </xf>
    <xf numFmtId="3" fontId="6" fillId="4" borderId="14" xfId="90" applyNumberFormat="1" applyFont="1" applyFill="1" applyBorder="1" applyAlignment="1" applyProtection="1">
      <alignment vertical="center"/>
      <protection/>
    </xf>
    <xf numFmtId="3" fontId="6" fillId="4" borderId="18" xfId="90" applyNumberFormat="1" applyFont="1" applyFill="1" applyBorder="1" applyAlignment="1" applyProtection="1">
      <alignment vertical="center"/>
      <protection/>
    </xf>
    <xf numFmtId="37" fontId="6" fillId="4" borderId="14" xfId="90" applyNumberFormat="1" applyFont="1" applyFill="1" applyBorder="1" applyAlignment="1" applyProtection="1">
      <alignment vertical="center"/>
      <protection/>
    </xf>
    <xf numFmtId="37" fontId="6" fillId="22" borderId="14" xfId="90" applyNumberFormat="1" applyFont="1" applyFill="1" applyBorder="1" applyAlignment="1" applyProtection="1">
      <alignment horizontal="right" vertical="center"/>
      <protection locked="0"/>
    </xf>
    <xf numFmtId="3" fontId="6" fillId="4" borderId="18" xfId="90" applyNumberFormat="1" applyFont="1" applyFill="1" applyBorder="1" applyAlignment="1" applyProtection="1">
      <alignment horizontal="fill" vertical="center"/>
      <protection/>
    </xf>
    <xf numFmtId="3" fontId="6" fillId="22" borderId="14" xfId="90" applyNumberFormat="1" applyFont="1" applyFill="1" applyBorder="1" applyAlignment="1" applyProtection="1">
      <alignment vertical="center"/>
      <protection locked="0"/>
    </xf>
    <xf numFmtId="3" fontId="6" fillId="22" borderId="18" xfId="90" applyNumberFormat="1" applyFont="1" applyFill="1" applyBorder="1" applyAlignment="1" applyProtection="1">
      <alignment vertical="center"/>
      <protection locked="0"/>
    </xf>
    <xf numFmtId="0" fontId="6" fillId="4" borderId="14" xfId="90" applyFont="1" applyFill="1" applyBorder="1" applyAlignment="1" applyProtection="1">
      <alignment vertical="center"/>
      <protection/>
    </xf>
    <xf numFmtId="0" fontId="6" fillId="22" borderId="14" xfId="90" applyFont="1" applyFill="1" applyBorder="1" applyAlignment="1" applyProtection="1">
      <alignment horizontal="left" vertical="center"/>
      <protection locked="0"/>
    </xf>
    <xf numFmtId="0" fontId="6" fillId="22" borderId="18" xfId="90" applyFont="1" applyFill="1" applyBorder="1" applyAlignment="1" applyProtection="1">
      <alignment horizontal="left" vertical="center"/>
      <protection locked="0"/>
    </xf>
    <xf numFmtId="37" fontId="6" fillId="22" borderId="14" xfId="90" applyNumberFormat="1" applyFont="1" applyFill="1" applyBorder="1" applyAlignment="1" applyProtection="1">
      <alignment horizontal="left" vertical="center"/>
      <protection locked="0"/>
    </xf>
    <xf numFmtId="3" fontId="6" fillId="22" borderId="14" xfId="90" applyNumberFormat="1" applyFont="1" applyFill="1" applyBorder="1" applyAlignment="1" applyProtection="1">
      <alignment horizontal="right" vertical="center"/>
      <protection locked="0"/>
    </xf>
    <xf numFmtId="3" fontId="15" fillId="25" borderId="14" xfId="90" applyNumberFormat="1" applyFont="1" applyFill="1" applyBorder="1" applyAlignment="1" applyProtection="1">
      <alignment horizontal="center" vertical="center"/>
      <protection/>
    </xf>
    <xf numFmtId="3" fontId="15" fillId="25" borderId="18" xfId="90" applyNumberFormat="1" applyFont="1" applyFill="1" applyBorder="1" applyAlignment="1" applyProtection="1">
      <alignment horizontal="center" vertical="center"/>
      <protection/>
    </xf>
    <xf numFmtId="37" fontId="5" fillId="4" borderId="14" xfId="90" applyNumberFormat="1" applyFont="1" applyFill="1" applyBorder="1" applyAlignment="1" applyProtection="1">
      <alignment horizontal="left" vertical="center"/>
      <protection/>
    </xf>
    <xf numFmtId="3" fontId="5" fillId="4" borderId="14" xfId="90" applyNumberFormat="1" applyFont="1" applyFill="1" applyBorder="1" applyAlignment="1" applyProtection="1">
      <alignment vertical="center"/>
      <protection/>
    </xf>
    <xf numFmtId="3" fontId="5" fillId="4" borderId="18" xfId="90" applyNumberFormat="1" applyFont="1" applyFill="1" applyBorder="1" applyAlignment="1" applyProtection="1">
      <alignment vertical="center"/>
      <protection/>
    </xf>
    <xf numFmtId="0" fontId="10" fillId="4" borderId="28" xfId="90" applyFont="1" applyFill="1" applyBorder="1" applyAlignment="1" applyProtection="1">
      <alignment vertical="center"/>
      <protection/>
    </xf>
    <xf numFmtId="0" fontId="6" fillId="4" borderId="0" xfId="90" applyFont="1" applyFill="1" applyBorder="1" applyAlignment="1" applyProtection="1">
      <alignment vertical="center"/>
      <protection/>
    </xf>
    <xf numFmtId="0" fontId="10" fillId="4" borderId="0" xfId="90" applyFont="1" applyFill="1" applyBorder="1" applyAlignment="1" applyProtection="1">
      <alignment vertical="center"/>
      <protection/>
    </xf>
    <xf numFmtId="185" fontId="10" fillId="4" borderId="17" xfId="90" applyNumberFormat="1" applyFont="1" applyFill="1" applyBorder="1" applyAlignment="1" applyProtection="1">
      <alignment horizontal="center" vertical="center"/>
      <protection/>
    </xf>
    <xf numFmtId="0" fontId="10" fillId="4" borderId="28" xfId="90" applyFont="1" applyFill="1" applyBorder="1" applyAlignment="1" applyProtection="1">
      <alignment horizontal="left" vertical="center"/>
      <protection/>
    </xf>
    <xf numFmtId="185" fontId="10" fillId="22" borderId="18" xfId="90" applyNumberFormat="1" applyFont="1" applyFill="1" applyBorder="1" applyAlignment="1" applyProtection="1">
      <alignment horizontal="center" vertical="center"/>
      <protection locked="0"/>
    </xf>
    <xf numFmtId="181" fontId="40" fillId="4" borderId="15" xfId="90" applyNumberFormat="1" applyFont="1" applyFill="1" applyBorder="1" applyAlignment="1" applyProtection="1">
      <alignment horizontal="center" vertical="center"/>
      <protection/>
    </xf>
    <xf numFmtId="0" fontId="40" fillId="24" borderId="28" xfId="90" applyFont="1" applyFill="1" applyBorder="1" applyAlignment="1" applyProtection="1">
      <alignment vertical="center"/>
      <protection/>
    </xf>
    <xf numFmtId="0" fontId="6" fillId="24" borderId="0" xfId="90" applyFont="1" applyFill="1" applyBorder="1" applyAlignment="1" applyProtection="1">
      <alignment vertical="center"/>
      <protection/>
    </xf>
    <xf numFmtId="0" fontId="10" fillId="24" borderId="0" xfId="90" applyFont="1" applyFill="1" applyBorder="1" applyAlignment="1" applyProtection="1">
      <alignment vertical="center"/>
      <protection/>
    </xf>
    <xf numFmtId="185" fontId="40" fillId="24" borderId="15" xfId="90" applyNumberFormat="1" applyFont="1" applyFill="1" applyBorder="1" applyAlignment="1" applyProtection="1">
      <alignment horizontal="center" vertical="center"/>
      <protection/>
    </xf>
    <xf numFmtId="37" fontId="10" fillId="4" borderId="19" xfId="90" applyNumberFormat="1" applyFont="1" applyFill="1" applyBorder="1" applyAlignment="1" applyProtection="1">
      <alignment horizontal="left" vertical="center"/>
      <protection/>
    </xf>
    <xf numFmtId="0" fontId="42" fillId="4" borderId="12" xfId="90" applyFont="1" applyFill="1" applyBorder="1" applyAlignment="1">
      <alignment horizontal="left" vertical="center"/>
      <protection/>
    </xf>
    <xf numFmtId="185" fontId="40" fillId="24" borderId="21" xfId="90" applyNumberFormat="1" applyFont="1" applyFill="1" applyBorder="1" applyAlignment="1" applyProtection="1">
      <alignment horizontal="center" vertical="center"/>
      <protection locked="0"/>
    </xf>
    <xf numFmtId="0" fontId="6" fillId="4" borderId="14" xfId="90" applyFont="1" applyFill="1" applyBorder="1" applyAlignment="1" applyProtection="1">
      <alignment vertical="center"/>
      <protection locked="0"/>
    </xf>
    <xf numFmtId="37" fontId="6" fillId="4" borderId="17" xfId="90" applyNumberFormat="1" applyFont="1" applyFill="1" applyBorder="1" applyAlignment="1" applyProtection="1">
      <alignment horizontal="right" vertical="center"/>
      <protection/>
    </xf>
    <xf numFmtId="3" fontId="5" fillId="9" borderId="14" xfId="90" applyNumberFormat="1" applyFont="1" applyFill="1" applyBorder="1" applyAlignment="1" applyProtection="1">
      <alignment vertical="center"/>
      <protection/>
    </xf>
    <xf numFmtId="3" fontId="5" fillId="9" borderId="18" xfId="90" applyNumberFormat="1" applyFont="1" applyFill="1" applyBorder="1" applyAlignment="1" applyProtection="1">
      <alignment vertical="center"/>
      <protection/>
    </xf>
    <xf numFmtId="185" fontId="10" fillId="4" borderId="28" xfId="90" applyNumberFormat="1" applyFont="1" applyFill="1" applyBorder="1" applyAlignment="1" applyProtection="1">
      <alignment horizontal="center" vertical="center"/>
      <protection/>
    </xf>
    <xf numFmtId="0" fontId="10" fillId="4" borderId="0" xfId="90" applyFont="1" applyFill="1" applyBorder="1" applyAlignment="1" applyProtection="1">
      <alignment horizontal="left" vertical="center"/>
      <protection/>
    </xf>
    <xf numFmtId="0" fontId="10" fillId="4" borderId="17" xfId="90" applyFont="1" applyFill="1" applyBorder="1" applyAlignment="1" applyProtection="1">
      <alignment vertical="center"/>
      <protection/>
    </xf>
    <xf numFmtId="3" fontId="6" fillId="9" borderId="14" xfId="90" applyNumberFormat="1" applyFont="1" applyFill="1" applyBorder="1" applyAlignment="1" applyProtection="1">
      <alignment vertical="center"/>
      <protection/>
    </xf>
    <xf numFmtId="0" fontId="4" fillId="0" borderId="0" xfId="90">
      <alignment/>
      <protection/>
    </xf>
    <xf numFmtId="0" fontId="6" fillId="4" borderId="0" xfId="90" applyFont="1" applyFill="1" applyAlignment="1" applyProtection="1">
      <alignment horizontal="right" vertical="center"/>
      <protection/>
    </xf>
    <xf numFmtId="0" fontId="15" fillId="0" borderId="0" xfId="90" applyFont="1" applyAlignment="1" applyProtection="1">
      <alignment vertical="center"/>
      <protection/>
    </xf>
    <xf numFmtId="185" fontId="10" fillId="4" borderId="19" xfId="90" applyNumberFormat="1" applyFont="1" applyFill="1" applyBorder="1" applyAlignment="1" applyProtection="1">
      <alignment horizontal="center" vertical="center"/>
      <protection/>
    </xf>
    <xf numFmtId="0" fontId="43" fillId="0" borderId="0" xfId="90" applyFont="1" applyProtection="1">
      <alignment/>
      <protection locked="0"/>
    </xf>
    <xf numFmtId="0" fontId="43" fillId="0" borderId="0" xfId="90" applyFont="1" applyAlignment="1" applyProtection="1">
      <alignment vertical="center"/>
      <protection/>
    </xf>
    <xf numFmtId="0" fontId="18" fillId="4" borderId="0" xfId="90" applyFont="1" applyFill="1" applyAlignment="1" applyProtection="1">
      <alignment horizontal="center" vertical="center"/>
      <protection/>
    </xf>
    <xf numFmtId="185" fontId="10" fillId="4" borderId="28" xfId="90" applyNumberFormat="1" applyFont="1" applyFill="1" applyBorder="1" applyAlignment="1" applyProtection="1">
      <alignment vertical="center"/>
      <protection/>
    </xf>
    <xf numFmtId="0" fontId="16" fillId="4" borderId="0" xfId="90" applyFont="1" applyFill="1" applyAlignment="1" applyProtection="1">
      <alignment horizontal="center" vertical="center"/>
      <protection/>
    </xf>
    <xf numFmtId="3" fontId="6" fillId="9" borderId="18" xfId="90" applyNumberFormat="1" applyFont="1" applyFill="1" applyBorder="1" applyAlignment="1" applyProtection="1">
      <alignment vertical="center"/>
      <protection/>
    </xf>
    <xf numFmtId="188" fontId="6" fillId="4" borderId="0" xfId="115" applyNumberFormat="1" applyFont="1" applyFill="1" applyAlignment="1">
      <alignment horizontal="center" vertical="center"/>
      <protection/>
    </xf>
    <xf numFmtId="185" fontId="10" fillId="24" borderId="19" xfId="90" applyNumberFormat="1" applyFont="1" applyFill="1" applyBorder="1" applyAlignment="1" applyProtection="1">
      <alignment horizontal="center" vertical="center"/>
      <protection/>
    </xf>
    <xf numFmtId="0" fontId="10" fillId="24" borderId="12" xfId="90" applyFont="1" applyFill="1" applyBorder="1" applyAlignment="1" applyProtection="1">
      <alignment vertical="center"/>
      <protection/>
    </xf>
    <xf numFmtId="0" fontId="10" fillId="24" borderId="21" xfId="90" applyFont="1" applyFill="1" applyBorder="1" applyAlignment="1" applyProtection="1">
      <alignment vertical="center"/>
      <protection/>
    </xf>
    <xf numFmtId="37" fontId="6" fillId="24" borderId="21" xfId="90"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4" borderId="24" xfId="90" applyNumberFormat="1" applyFont="1" applyFill="1" applyBorder="1" applyAlignment="1" applyProtection="1">
      <alignment vertical="center"/>
      <protection/>
    </xf>
    <xf numFmtId="181" fontId="6" fillId="4" borderId="0" xfId="90" applyNumberFormat="1" applyFont="1" applyFill="1" applyBorder="1" applyAlignment="1" applyProtection="1">
      <alignment vertical="center"/>
      <protection/>
    </xf>
    <xf numFmtId="181" fontId="10" fillId="4" borderId="28" xfId="90" applyNumberFormat="1" applyFont="1" applyFill="1" applyBorder="1" applyAlignment="1" applyProtection="1">
      <alignment horizontal="center" vertical="center"/>
      <protection/>
    </xf>
    <xf numFmtId="0" fontId="39" fillId="4" borderId="0" xfId="90" applyFont="1" applyFill="1" applyBorder="1" applyAlignment="1" applyProtection="1">
      <alignment horizontal="center" vertical="center"/>
      <protection/>
    </xf>
    <xf numFmtId="0" fontId="4" fillId="4" borderId="17" xfId="90" applyFill="1" applyBorder="1" applyAlignment="1" applyProtection="1">
      <alignment vertical="center"/>
      <protection/>
    </xf>
    <xf numFmtId="181" fontId="10" fillId="24" borderId="19" xfId="90" applyNumberFormat="1" applyFont="1" applyFill="1" applyBorder="1" applyAlignment="1" applyProtection="1">
      <alignment horizontal="center" vertical="center"/>
      <protection/>
    </xf>
    <xf numFmtId="181" fontId="10" fillId="4" borderId="14" xfId="90" applyNumberFormat="1" applyFont="1" applyFill="1" applyBorder="1" applyAlignment="1" applyProtection="1">
      <alignment horizontal="center" vertical="center"/>
      <protection/>
    </xf>
    <xf numFmtId="37" fontId="5" fillId="4" borderId="0" xfId="90" applyNumberFormat="1" applyFont="1" applyFill="1" applyBorder="1" applyAlignment="1" applyProtection="1">
      <alignment vertical="center"/>
      <protection/>
    </xf>
    <xf numFmtId="181" fontId="10" fillId="24" borderId="14" xfId="90" applyNumberFormat="1" applyFont="1" applyFill="1" applyBorder="1" applyAlignment="1" applyProtection="1">
      <alignment horizontal="center" vertical="center"/>
      <protection/>
    </xf>
    <xf numFmtId="0" fontId="10" fillId="4" borderId="12" xfId="90" applyFont="1" applyFill="1" applyBorder="1" applyAlignment="1" applyProtection="1">
      <alignment horizontal="left" vertical="center"/>
      <protection/>
    </xf>
    <xf numFmtId="0" fontId="39" fillId="4" borderId="12" xfId="90" applyFont="1" applyFill="1" applyBorder="1" applyAlignment="1" applyProtection="1">
      <alignment horizontal="center" vertical="center"/>
      <protection/>
    </xf>
    <xf numFmtId="0" fontId="4" fillId="4" borderId="21" xfId="90" applyFill="1" applyBorder="1" applyAlignment="1" applyProtection="1">
      <alignment vertical="center"/>
      <protection/>
    </xf>
    <xf numFmtId="37" fontId="6" fillId="4" borderId="19" xfId="90" applyNumberFormat="1" applyFont="1" applyFill="1" applyBorder="1" applyAlignment="1" applyProtection="1">
      <alignment horizontal="left" vertical="center"/>
      <protection/>
    </xf>
    <xf numFmtId="3" fontId="6" fillId="22" borderId="18" xfId="90" applyNumberFormat="1" applyFont="1" applyFill="1" applyBorder="1" applyAlignment="1" applyProtection="1">
      <alignment horizontal="right" vertical="center"/>
      <protection locked="0"/>
    </xf>
    <xf numFmtId="0" fontId="6" fillId="4" borderId="28" xfId="90" applyFont="1" applyFill="1" applyBorder="1" applyAlignment="1" applyProtection="1">
      <alignment vertical="center"/>
      <protection/>
    </xf>
    <xf numFmtId="0" fontId="6" fillId="4" borderId="17" xfId="90" applyFont="1" applyFill="1" applyBorder="1" applyProtection="1">
      <alignment/>
      <protection locked="0"/>
    </xf>
    <xf numFmtId="0" fontId="43" fillId="0" borderId="0" xfId="90" applyFont="1" applyAlignment="1" applyProtection="1">
      <alignment horizontal="right" vertical="center"/>
      <protection/>
    </xf>
    <xf numFmtId="185" fontId="24" fillId="4" borderId="28" xfId="90" applyNumberFormat="1" applyFont="1" applyFill="1" applyBorder="1" applyAlignment="1" applyProtection="1">
      <alignment horizontal="center" vertical="center"/>
      <protection/>
    </xf>
    <xf numFmtId="0" fontId="6" fillId="4" borderId="17" xfId="90" applyFont="1" applyFill="1" applyBorder="1" applyAlignment="1" applyProtection="1">
      <alignment vertical="center"/>
      <protection/>
    </xf>
    <xf numFmtId="185" fontId="24" fillId="4" borderId="28" xfId="90" applyNumberFormat="1" applyFont="1" applyFill="1" applyBorder="1" applyAlignment="1" applyProtection="1">
      <alignment vertical="center"/>
      <protection/>
    </xf>
    <xf numFmtId="0" fontId="24" fillId="4" borderId="0" xfId="90" applyFont="1" applyFill="1" applyBorder="1" applyAlignment="1" applyProtection="1">
      <alignment vertical="center"/>
      <protection/>
    </xf>
    <xf numFmtId="0" fontId="6" fillId="24" borderId="21" xfId="90" applyFont="1" applyFill="1" applyBorder="1" applyAlignment="1" applyProtection="1">
      <alignment vertical="center"/>
      <protection/>
    </xf>
    <xf numFmtId="0" fontId="6" fillId="24" borderId="21" xfId="90" applyFont="1" applyFill="1" applyBorder="1" applyProtection="1">
      <alignment/>
      <protection locked="0"/>
    </xf>
    <xf numFmtId="0" fontId="43" fillId="0" borderId="0" xfId="90" applyFont="1">
      <alignment/>
      <protection/>
    </xf>
    <xf numFmtId="181" fontId="10" fillId="0" borderId="0" xfId="70"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18" fillId="0" borderId="0" xfId="90" applyFont="1" applyProtection="1">
      <alignment/>
      <protection locked="0"/>
    </xf>
    <xf numFmtId="0" fontId="18" fillId="0" borderId="0" xfId="115" applyFont="1" applyAlignment="1" applyProtection="1">
      <alignment vertical="center"/>
      <protection locked="0"/>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2"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5" fontId="6" fillId="4" borderId="0" xfId="95" applyNumberFormat="1" applyFont="1" applyFill="1" applyAlignment="1">
      <alignment vertical="center"/>
      <protection/>
    </xf>
    <xf numFmtId="185" fontId="6" fillId="4" borderId="22"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5" fontId="6" fillId="4" borderId="0" xfId="95" applyNumberFormat="1" applyFont="1" applyFill="1" applyBorder="1" applyAlignment="1">
      <alignment vertical="center"/>
      <protection/>
    </xf>
    <xf numFmtId="0" fontId="15" fillId="24" borderId="0" xfId="95" applyFont="1" applyFill="1" applyAlignment="1">
      <alignment vertical="center"/>
      <protection/>
    </xf>
    <xf numFmtId="0" fontId="15"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89" fontId="15" fillId="4" borderId="0" xfId="95" applyNumberFormat="1" applyFont="1" applyFill="1" applyAlignment="1">
      <alignment horizontal="center" vertical="center"/>
      <protection/>
    </xf>
    <xf numFmtId="0" fontId="15" fillId="24" borderId="0" xfId="95" applyFont="1" applyFill="1" applyAlignment="1">
      <alignment horizontal="center" vertical="center"/>
      <protection/>
    </xf>
    <xf numFmtId="0" fontId="16" fillId="24"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0" fillId="0" borderId="0" xfId="70" applyAlignment="1" applyProtection="1">
      <alignment/>
      <protection/>
    </xf>
    <xf numFmtId="188" fontId="6" fillId="4" borderId="0" xfId="0" applyNumberFormat="1" applyFont="1" applyFill="1" applyBorder="1" applyAlignment="1">
      <alignment horizontal="center" vertical="center"/>
    </xf>
    <xf numFmtId="0" fontId="10" fillId="24" borderId="0"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85" fontId="10" fillId="0" borderId="0" xfId="0" applyNumberFormat="1"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37" fontId="5" fillId="4" borderId="13" xfId="0" applyNumberFormat="1" applyFont="1" applyFill="1" applyBorder="1" applyAlignment="1" applyProtection="1">
      <alignment horizontal="center" vertical="center"/>
      <protection/>
    </xf>
    <xf numFmtId="0" fontId="5" fillId="4" borderId="14" xfId="579" applyFont="1" applyFill="1" applyBorder="1" applyAlignment="1" applyProtection="1">
      <alignment vertical="center"/>
      <protection/>
    </xf>
    <xf numFmtId="0" fontId="5" fillId="4" borderId="20" xfId="579" applyFont="1" applyFill="1" applyBorder="1" applyAlignment="1" applyProtection="1">
      <alignment vertical="center"/>
      <protection/>
    </xf>
    <xf numFmtId="3" fontId="5" fillId="4" borderId="15" xfId="579" applyNumberFormat="1" applyFont="1" applyFill="1" applyBorder="1" applyAlignment="1" applyProtection="1">
      <alignment vertical="center"/>
      <protection/>
    </xf>
    <xf numFmtId="0" fontId="5" fillId="4" borderId="15" xfId="579" applyFont="1" applyFill="1" applyBorder="1" applyAlignment="1" applyProtection="1">
      <alignment vertical="center"/>
      <protection/>
    </xf>
    <xf numFmtId="0" fontId="5" fillId="4" borderId="18" xfId="579" applyFont="1" applyFill="1" applyBorder="1" applyAlignment="1" applyProtection="1">
      <alignment horizontal="center" vertical="center"/>
      <protection/>
    </xf>
    <xf numFmtId="0" fontId="5" fillId="4" borderId="0" xfId="579" applyFont="1" applyFill="1" applyBorder="1" applyAlignment="1" applyProtection="1">
      <alignment horizontal="left" vertical="center"/>
      <protection/>
    </xf>
    <xf numFmtId="0" fontId="6" fillId="4" borderId="18" xfId="0" applyFont="1" applyFill="1" applyBorder="1" applyAlignment="1" applyProtection="1">
      <alignment horizontal="fill" vertical="center"/>
      <protection/>
    </xf>
    <xf numFmtId="37"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0" fontId="40" fillId="24" borderId="28" xfId="0" applyFont="1" applyFill="1" applyBorder="1" applyAlignment="1" applyProtection="1">
      <alignment vertical="center"/>
      <protection/>
    </xf>
    <xf numFmtId="185" fontId="40" fillId="24" borderId="15" xfId="0" applyNumberFormat="1" applyFont="1" applyFill="1" applyBorder="1" applyAlignment="1" applyProtection="1">
      <alignment horizontal="center" vertical="center"/>
      <protection/>
    </xf>
    <xf numFmtId="37" fontId="10" fillId="4" borderId="19" xfId="0" applyNumberFormat="1" applyFont="1" applyFill="1" applyBorder="1" applyAlignment="1" applyProtection="1">
      <alignment horizontal="left" vertical="center"/>
      <protection/>
    </xf>
    <xf numFmtId="0" fontId="42" fillId="4" borderId="12" xfId="0" applyFont="1" applyFill="1" applyBorder="1" applyAlignment="1">
      <alignment horizontal="left" vertical="center"/>
    </xf>
    <xf numFmtId="185" fontId="40" fillId="24" borderId="21"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17" xfId="0" applyFill="1" applyBorder="1" applyAlignment="1" applyProtection="1">
      <alignment vertical="center"/>
      <protection/>
    </xf>
    <xf numFmtId="181" fontId="10" fillId="24" borderId="19"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4" borderId="14"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39" fillId="4" borderId="12" xfId="0" applyFont="1" applyFill="1" applyBorder="1" applyAlignment="1" applyProtection="1">
      <alignment horizontal="center" vertical="center"/>
      <protection/>
    </xf>
    <xf numFmtId="0" fontId="0" fillId="4" borderId="21" xfId="0" applyFill="1" applyBorder="1" applyAlignment="1" applyProtection="1">
      <alignment vertical="center"/>
      <protection/>
    </xf>
    <xf numFmtId="49" fontId="6" fillId="0" borderId="0" xfId="544" applyNumberFormat="1" applyFont="1" applyFill="1" applyAlignment="1" applyProtection="1">
      <alignment horizontal="left" vertical="center"/>
      <protection locked="0"/>
    </xf>
    <xf numFmtId="0" fontId="5" fillId="4" borderId="18"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Continuous" vertical="center"/>
      <protection/>
    </xf>
    <xf numFmtId="1" fontId="5" fillId="4" borderId="15" xfId="0" applyNumberFormat="1" applyFont="1" applyFill="1" applyBorder="1" applyAlignment="1" applyProtection="1">
      <alignment horizontal="centerContinuous" vertical="center"/>
      <protection/>
    </xf>
    <xf numFmtId="0" fontId="5" fillId="4" borderId="15" xfId="0" applyFont="1" applyFill="1" applyBorder="1" applyAlignment="1" applyProtection="1">
      <alignment horizontal="centerContinuous" vertical="center"/>
      <protection/>
    </xf>
    <xf numFmtId="37" fontId="5" fillId="4" borderId="14" xfId="0" applyNumberFormat="1" applyFont="1" applyFill="1" applyBorder="1" applyAlignment="1" applyProtection="1">
      <alignment horizontal="centerContinuous" vertical="center"/>
      <protection/>
    </xf>
    <xf numFmtId="0" fontId="5" fillId="4" borderId="20" xfId="0" applyFont="1" applyFill="1" applyBorder="1" applyAlignment="1" applyProtection="1">
      <alignment horizontal="centerContinuous" vertical="center"/>
      <protection/>
    </xf>
    <xf numFmtId="165" fontId="6" fillId="4" borderId="18" xfId="0" applyNumberFormat="1" applyFont="1" applyFill="1" applyBorder="1" applyAlignment="1" applyProtection="1">
      <alignment horizontal="right" vertical="center"/>
      <protection/>
    </xf>
    <xf numFmtId="0" fontId="6" fillId="4" borderId="18" xfId="0" applyFont="1" applyFill="1" applyBorder="1" applyAlignment="1" applyProtection="1">
      <alignment horizontal="right" vertical="center"/>
      <protection/>
    </xf>
    <xf numFmtId="0" fontId="6" fillId="4" borderId="21" xfId="0" applyFont="1" applyFill="1" applyBorder="1" applyAlignment="1" applyProtection="1">
      <alignment horizontal="right" vertical="center"/>
      <protection/>
    </xf>
    <xf numFmtId="0" fontId="6" fillId="4" borderId="13" xfId="0" applyFont="1" applyFill="1" applyBorder="1" applyAlignment="1" applyProtection="1">
      <alignment vertical="center"/>
      <protection/>
    </xf>
    <xf numFmtId="0" fontId="6" fillId="4" borderId="0" xfId="0" applyFont="1" applyFill="1" applyAlignment="1">
      <alignment horizontal="left" vertical="center"/>
    </xf>
    <xf numFmtId="38" fontId="6" fillId="4" borderId="18" xfId="0" applyNumberFormat="1" applyFont="1" applyFill="1" applyBorder="1" applyAlignment="1" applyProtection="1">
      <alignment vertical="center"/>
      <protection/>
    </xf>
    <xf numFmtId="0" fontId="45" fillId="0" borderId="0" xfId="0" applyFont="1" applyAlignment="1">
      <alignment/>
    </xf>
    <xf numFmtId="0" fontId="46" fillId="0" borderId="0" xfId="544" applyFont="1">
      <alignment/>
      <protection/>
    </xf>
    <xf numFmtId="182" fontId="47" fillId="0" borderId="0" xfId="544" applyNumberFormat="1" applyFont="1" applyAlignment="1">
      <alignment horizontal="left" vertical="center"/>
      <protection/>
    </xf>
    <xf numFmtId="0" fontId="47" fillId="0" borderId="0" xfId="544" applyNumberFormat="1" applyFont="1" applyAlignment="1">
      <alignment horizontal="left" vertical="center"/>
      <protection/>
    </xf>
    <xf numFmtId="1" fontId="47" fillId="0" borderId="0" xfId="544" applyNumberFormat="1" applyFont="1" applyAlignment="1">
      <alignment horizontal="left" vertical="center"/>
      <protection/>
    </xf>
    <xf numFmtId="0" fontId="6" fillId="0" borderId="0" xfId="87" applyFont="1" applyAlignment="1">
      <alignment vertical="center"/>
      <protection/>
    </xf>
    <xf numFmtId="37" fontId="6" fillId="0" borderId="0" xfId="90" applyNumberFormat="1" applyFont="1" applyFill="1" applyAlignment="1" applyProtection="1">
      <alignment horizontal="left" vertical="center" wrapText="1"/>
      <protection/>
    </xf>
    <xf numFmtId="0" fontId="6" fillId="0" borderId="0" xfId="567" applyFont="1" applyAlignment="1">
      <alignment vertical="center" wrapText="1"/>
      <protection/>
    </xf>
    <xf numFmtId="0" fontId="6" fillId="0" borderId="0" xfId="88" applyFont="1" applyAlignment="1">
      <alignment vertical="center" wrapText="1"/>
      <protection/>
    </xf>
    <xf numFmtId="0" fontId="6" fillId="0" borderId="0" xfId="87" applyFont="1" applyAlignment="1">
      <alignment vertical="center" wrapText="1"/>
      <protection/>
    </xf>
    <xf numFmtId="0" fontId="6" fillId="0" borderId="0" xfId="90" applyFont="1" applyAlignment="1">
      <alignment vertical="center" wrapText="1"/>
      <protection/>
    </xf>
    <xf numFmtId="0" fontId="6" fillId="0" borderId="0" xfId="0" applyNumberFormat="1" applyFont="1" applyAlignment="1">
      <alignment vertical="center" wrapText="1"/>
    </xf>
    <xf numFmtId="0" fontId="6" fillId="0" borderId="0" xfId="182" applyFont="1" applyAlignment="1">
      <alignment vertical="center" wrapText="1"/>
      <protection/>
    </xf>
    <xf numFmtId="0" fontId="6" fillId="0" borderId="0" xfId="139" applyFont="1" applyAlignment="1">
      <alignment vertical="center" wrapText="1"/>
      <protection/>
    </xf>
    <xf numFmtId="0" fontId="71" fillId="4" borderId="0" xfId="462" applyFill="1">
      <alignment/>
      <protection/>
    </xf>
    <xf numFmtId="0" fontId="6" fillId="0" borderId="0" xfId="232" applyFont="1" applyAlignment="1">
      <alignment vertical="center"/>
      <protection/>
    </xf>
    <xf numFmtId="0" fontId="6" fillId="0" borderId="0" xfId="151" applyFont="1" applyAlignment="1">
      <alignment vertical="center"/>
      <protection/>
    </xf>
    <xf numFmtId="0" fontId="6" fillId="0" borderId="0" xfId="90" applyFont="1" applyAlignment="1">
      <alignment vertical="center"/>
      <protection/>
    </xf>
    <xf numFmtId="0" fontId="6" fillId="0" borderId="0" xfId="463" applyFont="1" applyAlignment="1">
      <alignment wrapText="1"/>
      <protection/>
    </xf>
    <xf numFmtId="0" fontId="6" fillId="0" borderId="0" xfId="463" applyFont="1" applyAlignment="1">
      <alignment vertical="center"/>
      <protection/>
    </xf>
    <xf numFmtId="37"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181" fontId="6" fillId="22" borderId="18" xfId="0" applyNumberFormat="1" applyFont="1" applyFill="1" applyBorder="1" applyAlignment="1" applyProtection="1">
      <alignment horizontal="right" vertical="center"/>
      <protection locked="0"/>
    </xf>
    <xf numFmtId="49" fontId="6" fillId="22" borderId="18" xfId="544" applyNumberFormat="1" applyFont="1" applyFill="1" applyBorder="1" applyAlignment="1" applyProtection="1">
      <alignment horizontal="left" vertical="center"/>
      <protection locked="0"/>
    </xf>
    <xf numFmtId="0" fontId="6" fillId="22" borderId="14" xfId="544" applyFont="1" applyFill="1" applyBorder="1" applyAlignment="1" applyProtection="1">
      <alignment horizontal="left" vertical="center"/>
      <protection locked="0"/>
    </xf>
    <xf numFmtId="0" fontId="6" fillId="22" borderId="20" xfId="544" applyFont="1" applyFill="1" applyBorder="1" applyAlignment="1" applyProtection="1">
      <alignment horizontal="left" vertical="center"/>
      <protection locked="0"/>
    </xf>
    <xf numFmtId="0" fontId="0" fillId="22" borderId="15" xfId="544" applyFill="1" applyBorder="1" applyAlignment="1" applyProtection="1">
      <alignment horizontal="left" vertical="center"/>
      <protection locked="0"/>
    </xf>
    <xf numFmtId="3" fontId="6" fillId="4" borderId="0" xfId="90" applyNumberFormat="1" applyFont="1" applyFill="1" applyAlignment="1" applyProtection="1">
      <alignment horizontal="right" vertical="center"/>
      <protection/>
    </xf>
    <xf numFmtId="3" fontId="6" fillId="4" borderId="18" xfId="90" applyNumberFormat="1" applyFont="1" applyFill="1" applyBorder="1" applyAlignment="1" applyProtection="1">
      <alignment horizontal="right" vertical="center"/>
      <protection/>
    </xf>
    <xf numFmtId="0" fontId="6" fillId="4" borderId="0" xfId="90" applyFont="1" applyFill="1" applyAlignment="1" applyProtection="1">
      <alignment horizontal="left" vertical="center"/>
      <protection/>
    </xf>
    <xf numFmtId="3" fontId="6" fillId="4" borderId="10" xfId="0" applyNumberFormat="1" applyFont="1" applyFill="1" applyBorder="1" applyAlignment="1" applyProtection="1">
      <alignment horizontal="right" vertical="center"/>
      <protection/>
    </xf>
    <xf numFmtId="3" fontId="16" fillId="4" borderId="22" xfId="0" applyNumberFormat="1" applyFont="1" applyFill="1" applyBorder="1" applyAlignment="1" applyProtection="1">
      <alignment horizontal="center" vertical="center"/>
      <protection/>
    </xf>
    <xf numFmtId="0" fontId="6" fillId="0" borderId="0" xfId="90" applyFont="1" applyAlignment="1">
      <alignment horizontal="left" vertical="center"/>
      <protection/>
    </xf>
    <xf numFmtId="37" fontId="6" fillId="4" borderId="28" xfId="0" applyNumberFormat="1" applyFont="1" applyFill="1" applyBorder="1" applyAlignment="1" applyProtection="1">
      <alignment horizontal="left" vertical="center"/>
      <protection/>
    </xf>
    <xf numFmtId="0" fontId="8" fillId="4" borderId="0" xfId="90" applyFont="1" applyFill="1" applyAlignment="1" applyProtection="1">
      <alignment horizontal="center" vertical="center"/>
      <protection/>
    </xf>
    <xf numFmtId="3" fontId="6" fillId="4" borderId="0" xfId="90" applyNumberFormat="1" applyFont="1" applyFill="1" applyAlignment="1" applyProtection="1">
      <alignment vertical="center"/>
      <protection/>
    </xf>
    <xf numFmtId="3" fontId="6" fillId="4" borderId="12" xfId="90" applyNumberFormat="1" applyFont="1" applyFill="1" applyBorder="1" applyAlignment="1" applyProtection="1">
      <alignment vertical="center"/>
      <protection/>
    </xf>
    <xf numFmtId="3" fontId="6" fillId="4" borderId="0" xfId="90" applyNumberFormat="1" applyFont="1" applyFill="1" applyBorder="1" applyAlignment="1" applyProtection="1">
      <alignment vertical="center"/>
      <protection/>
    </xf>
    <xf numFmtId="0" fontId="6" fillId="27" borderId="0" xfId="90" applyFont="1" applyFill="1" applyAlignment="1" applyProtection="1">
      <alignment vertical="center"/>
      <protection/>
    </xf>
    <xf numFmtId="0" fontId="6" fillId="4" borderId="0" xfId="90" applyFont="1" applyFill="1" applyAlignment="1" applyProtection="1" quotePrefix="1">
      <alignment vertical="center"/>
      <protection/>
    </xf>
    <xf numFmtId="3" fontId="6" fillId="4" borderId="23" xfId="90" applyNumberFormat="1" applyFont="1" applyFill="1" applyBorder="1" applyAlignment="1" applyProtection="1">
      <alignment vertical="center"/>
      <protection/>
    </xf>
    <xf numFmtId="0" fontId="6" fillId="4" borderId="0" xfId="90" applyFont="1" applyFill="1" applyAlignment="1" applyProtection="1" quotePrefix="1">
      <alignment horizontal="left" vertical="center"/>
      <protection/>
    </xf>
    <xf numFmtId="10" fontId="6" fillId="4" borderId="0" xfId="90" applyNumberFormat="1" applyFont="1" applyFill="1" applyBorder="1" applyAlignment="1" applyProtection="1">
      <alignment vertical="center"/>
      <protection/>
    </xf>
    <xf numFmtId="0" fontId="8" fillId="4" borderId="0" xfId="90" applyFont="1" applyFill="1" applyAlignment="1" applyProtection="1">
      <alignment horizontal="left" vertical="center"/>
      <protection/>
    </xf>
    <xf numFmtId="164" fontId="6" fillId="4" borderId="20"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0" fontId="6" fillId="27" borderId="0" xfId="90" applyFont="1" applyFill="1" applyAlignment="1" applyProtection="1">
      <alignment vertical="center"/>
      <protection/>
    </xf>
    <xf numFmtId="0" fontId="71" fillId="28" borderId="0" xfId="444" applyFill="1" applyBorder="1">
      <alignment/>
      <protection/>
    </xf>
    <xf numFmtId="0" fontId="71" fillId="28" borderId="0" xfId="444" applyFill="1" applyBorder="1" applyAlignment="1">
      <alignment horizontal="left" vertical="center"/>
      <protection/>
    </xf>
    <xf numFmtId="0" fontId="71" fillId="28" borderId="0" xfId="444" applyFill="1" applyBorder="1" applyAlignment="1">
      <alignment horizontal="center" vertical="center"/>
      <protection/>
    </xf>
    <xf numFmtId="0" fontId="49" fillId="0" borderId="0" xfId="90" applyFont="1">
      <alignment/>
      <protection/>
    </xf>
    <xf numFmtId="0" fontId="6" fillId="4" borderId="0" xfId="0" applyFont="1" applyFill="1" applyAlignment="1" applyProtection="1">
      <alignment horizontal="center" vertical="center"/>
      <protection/>
    </xf>
    <xf numFmtId="164" fontId="6" fillId="22" borderId="0" xfId="0" applyNumberFormat="1" applyFont="1" applyFill="1" applyAlignment="1" applyProtection="1">
      <alignment horizontal="center" vertical="center"/>
      <protection locked="0"/>
    </xf>
    <xf numFmtId="0" fontId="5" fillId="26" borderId="27" xfId="0" applyFont="1" applyFill="1" applyBorder="1" applyAlignment="1" applyProtection="1">
      <alignment vertical="center"/>
      <protection/>
    </xf>
    <xf numFmtId="0" fontId="6" fillId="26" borderId="16" xfId="0" applyFont="1" applyFill="1" applyBorder="1" applyAlignment="1" applyProtection="1">
      <alignment vertical="center"/>
      <protection/>
    </xf>
    <xf numFmtId="37" fontId="5" fillId="29" borderId="28" xfId="0" applyNumberFormat="1" applyFont="1" applyFill="1" applyBorder="1" applyAlignment="1" applyProtection="1">
      <alignment horizontal="left" vertical="center"/>
      <protection/>
    </xf>
    <xf numFmtId="0" fontId="6" fillId="29" borderId="17" xfId="0" applyFont="1" applyFill="1" applyBorder="1" applyAlignment="1" applyProtection="1">
      <alignment vertical="center"/>
      <protection/>
    </xf>
    <xf numFmtId="37" fontId="5" fillId="29" borderId="19" xfId="0" applyNumberFormat="1" applyFont="1" applyFill="1" applyBorder="1" applyAlignment="1" applyProtection="1">
      <alignment horizontal="left" vertical="center"/>
      <protection/>
    </xf>
    <xf numFmtId="0" fontId="6" fillId="29"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37" fontId="6" fillId="26" borderId="14" xfId="0" applyNumberFormat="1" applyFont="1" applyFill="1" applyBorder="1" applyAlignment="1" applyProtection="1">
      <alignment horizontal="left" vertical="center"/>
      <protection/>
    </xf>
    <xf numFmtId="0" fontId="6" fillId="26" borderId="15" xfId="0" applyFont="1" applyFill="1" applyBorder="1" applyAlignment="1" applyProtection="1">
      <alignment vertical="center"/>
      <protection/>
    </xf>
    <xf numFmtId="37" fontId="7" fillId="26" borderId="14" xfId="0" applyNumberFormat="1" applyFont="1" applyFill="1" applyBorder="1" applyAlignment="1" applyProtection="1">
      <alignment horizontal="left" vertical="center"/>
      <protection/>
    </xf>
    <xf numFmtId="0" fontId="7" fillId="26" borderId="27" xfId="0" applyFont="1" applyFill="1" applyBorder="1" applyAlignment="1" applyProtection="1">
      <alignment vertical="center"/>
      <protection/>
    </xf>
    <xf numFmtId="0" fontId="6" fillId="26" borderId="19" xfId="0" applyFont="1" applyFill="1" applyBorder="1" applyAlignment="1" applyProtection="1">
      <alignment vertical="center"/>
      <protection/>
    </xf>
    <xf numFmtId="0" fontId="6" fillId="26" borderId="21" xfId="0" applyFont="1" applyFill="1" applyBorder="1" applyAlignment="1" applyProtection="1">
      <alignment vertical="center"/>
      <protection/>
    </xf>
    <xf numFmtId="0" fontId="6" fillId="26" borderId="14" xfId="0" applyFont="1" applyFill="1" applyBorder="1" applyAlignment="1" applyProtection="1">
      <alignment vertical="center"/>
      <protection/>
    </xf>
    <xf numFmtId="0" fontId="5" fillId="23" borderId="14" xfId="0" applyFont="1" applyFill="1" applyBorder="1" applyAlignment="1" applyProtection="1">
      <alignment horizontal="left" vertical="center"/>
      <protection/>
    </xf>
    <xf numFmtId="0" fontId="6" fillId="23" borderId="20" xfId="0" applyFont="1" applyFill="1" applyBorder="1" applyAlignment="1" applyProtection="1">
      <alignment vertical="center"/>
      <protection/>
    </xf>
    <xf numFmtId="0" fontId="6" fillId="23" borderId="15" xfId="0" applyFont="1" applyFill="1" applyBorder="1" applyAlignment="1" applyProtection="1">
      <alignment vertical="center"/>
      <protection/>
    </xf>
    <xf numFmtId="37" fontId="5" fillId="26" borderId="14" xfId="0" applyNumberFormat="1" applyFont="1" applyFill="1" applyBorder="1" applyAlignment="1" applyProtection="1">
      <alignment horizontal="left" vertical="center"/>
      <protection/>
    </xf>
    <xf numFmtId="3" fontId="6" fillId="26" borderId="15" xfId="0" applyNumberFormat="1" applyFont="1" applyFill="1" applyBorder="1" applyAlignment="1" applyProtection="1">
      <alignment vertical="center"/>
      <protection/>
    </xf>
    <xf numFmtId="164" fontId="6" fillId="22" borderId="0" xfId="0" applyNumberFormat="1"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186" fontId="6" fillId="24" borderId="21" xfId="0" applyNumberFormat="1" applyFont="1" applyFill="1" applyBorder="1" applyAlignment="1" applyProtection="1">
      <alignment horizontal="center"/>
      <protection/>
    </xf>
    <xf numFmtId="186" fontId="35" fillId="4" borderId="0" xfId="0" applyNumberFormat="1" applyFont="1" applyFill="1" applyAlignment="1">
      <alignment horizontal="center"/>
    </xf>
    <xf numFmtId="186" fontId="35" fillId="4" borderId="12" xfId="0" applyNumberFormat="1" applyFont="1" applyFill="1" applyBorder="1" applyAlignment="1">
      <alignment horizontal="center"/>
    </xf>
    <xf numFmtId="186" fontId="35" fillId="4" borderId="0" xfId="0" applyNumberFormat="1" applyFont="1" applyFill="1" applyAlignment="1">
      <alignment/>
    </xf>
    <xf numFmtId="0" fontId="6" fillId="4" borderId="0" xfId="87" applyFont="1" applyFill="1" applyAlignment="1" applyProtection="1">
      <alignment vertical="center"/>
      <protection/>
    </xf>
    <xf numFmtId="0" fontId="11" fillId="4" borderId="0" xfId="69" applyFill="1" applyAlignment="1" applyProtection="1">
      <alignment/>
      <protection/>
    </xf>
    <xf numFmtId="37" fontId="6" fillId="22" borderId="0" xfId="90" applyNumberFormat="1" applyFont="1" applyFill="1" applyAlignment="1" applyProtection="1">
      <alignment horizontal="center" vertical="center"/>
      <protection locked="0"/>
    </xf>
    <xf numFmtId="37" fontId="6" fillId="22" borderId="18" xfId="87" applyNumberFormat="1" applyFont="1" applyFill="1" applyBorder="1" applyAlignment="1" applyProtection="1">
      <alignment vertical="center"/>
      <protection locked="0"/>
    </xf>
    <xf numFmtId="37" fontId="6" fillId="22" borderId="18" xfId="87" applyNumberFormat="1" applyFont="1" applyFill="1" applyBorder="1" applyAlignment="1" applyProtection="1">
      <alignment horizontal="left" vertical="center"/>
      <protection locked="0"/>
    </xf>
    <xf numFmtId="37" fontId="6" fillId="22" borderId="18" xfId="87" applyNumberFormat="1" applyFont="1" applyFill="1" applyBorder="1" applyAlignment="1" applyProtection="1">
      <alignment horizontal="left"/>
      <protection locked="0"/>
    </xf>
    <xf numFmtId="37" fontId="6" fillId="4" borderId="20" xfId="465" applyNumberFormat="1" applyFont="1" applyFill="1" applyBorder="1" applyAlignment="1" applyProtection="1">
      <alignment horizontal="left" vertical="center"/>
      <protection/>
    </xf>
    <xf numFmtId="0" fontId="6" fillId="4" borderId="14" xfId="90" applyNumberFormat="1" applyFont="1" applyFill="1" applyBorder="1" applyAlignment="1" applyProtection="1">
      <alignment horizontal="left" vertical="center"/>
      <protection/>
    </xf>
    <xf numFmtId="0" fontId="6" fillId="27" borderId="0" xfId="0" applyFont="1" applyFill="1" applyAlignment="1">
      <alignment vertical="center"/>
    </xf>
    <xf numFmtId="166" fontId="6" fillId="27" borderId="0" xfId="0" applyNumberFormat="1" applyFont="1" applyFill="1" applyBorder="1" applyAlignment="1" applyProtection="1">
      <alignment vertical="center"/>
      <protection/>
    </xf>
    <xf numFmtId="169" fontId="6" fillId="27" borderId="12" xfId="0" applyNumberFormat="1" applyFont="1" applyFill="1" applyBorder="1" applyAlignment="1" applyProtection="1">
      <alignment vertical="center"/>
      <protection/>
    </xf>
    <xf numFmtId="0" fontId="7" fillId="27" borderId="0" xfId="0" applyFont="1" applyFill="1" applyAlignment="1" applyProtection="1">
      <alignment vertical="center"/>
      <protection/>
    </xf>
    <xf numFmtId="166" fontId="6" fillId="27" borderId="12" xfId="0" applyNumberFormat="1" applyFont="1" applyFill="1" applyBorder="1" applyAlignment="1" applyProtection="1">
      <alignment vertical="center"/>
      <protection/>
    </xf>
    <xf numFmtId="0" fontId="6" fillId="27" borderId="0" xfId="0" applyFont="1" applyFill="1" applyAlignment="1" applyProtection="1">
      <alignment vertical="center"/>
      <protection/>
    </xf>
    <xf numFmtId="37" fontId="6" fillId="4" borderId="13" xfId="90" applyNumberFormat="1" applyFont="1" applyFill="1" applyBorder="1" applyAlignment="1" applyProtection="1">
      <alignment horizontal="center" vertical="center"/>
      <protection/>
    </xf>
    <xf numFmtId="0" fontId="6" fillId="27" borderId="0" xfId="90" applyFont="1" applyFill="1" applyAlignment="1" applyProtection="1">
      <alignment vertical="center"/>
      <protection/>
    </xf>
    <xf numFmtId="0" fontId="6" fillId="27" borderId="0" xfId="90" applyFont="1" applyFill="1" applyAlignment="1" applyProtection="1">
      <alignment horizontal="right" vertical="center"/>
      <protection/>
    </xf>
    <xf numFmtId="0" fontId="6" fillId="27" borderId="0" xfId="90" applyFont="1" applyFill="1" applyAlignment="1" applyProtection="1">
      <alignment horizontal="right" vertical="center"/>
      <protection/>
    </xf>
    <xf numFmtId="0" fontId="6" fillId="27" borderId="0" xfId="90" applyFont="1" applyFill="1" applyAlignment="1" applyProtection="1">
      <alignment horizontal="right" vertical="center"/>
      <protection/>
    </xf>
    <xf numFmtId="190" fontId="6" fillId="27" borderId="0" xfId="90" applyNumberFormat="1" applyFont="1" applyFill="1" applyBorder="1" applyAlignment="1" applyProtection="1">
      <alignment horizontal="right" vertical="center"/>
      <protection/>
    </xf>
    <xf numFmtId="0" fontId="6" fillId="4" borderId="0" xfId="90" applyFont="1" applyFill="1" applyAlignment="1" applyProtection="1">
      <alignment horizontal="right" vertical="center"/>
      <protection locked="0"/>
    </xf>
    <xf numFmtId="0" fontId="6" fillId="0" borderId="0" xfId="466" applyFont="1" applyAlignment="1">
      <alignment vertical="center"/>
      <protection/>
    </xf>
    <xf numFmtId="165" fontId="6" fillId="9" borderId="10" xfId="0" applyNumberFormat="1" applyFont="1" applyFill="1" applyBorder="1" applyAlignment="1" applyProtection="1">
      <alignment horizontal="right" vertical="center"/>
      <protection/>
    </xf>
    <xf numFmtId="0" fontId="43" fillId="24" borderId="18" xfId="0" applyFont="1" applyFill="1" applyBorder="1" applyAlignment="1" applyProtection="1">
      <alignment horizontal="center" vertical="center"/>
      <protection/>
    </xf>
    <xf numFmtId="0" fontId="43" fillId="24" borderId="15" xfId="0" applyFont="1" applyFill="1" applyBorder="1" applyAlignment="1" applyProtection="1">
      <alignment horizontal="center" vertical="center"/>
      <protection/>
    </xf>
    <xf numFmtId="0" fontId="40" fillId="27" borderId="27" xfId="234" applyFont="1" applyFill="1" applyBorder="1" applyAlignment="1">
      <alignment horizontal="left" vertical="center"/>
      <protection/>
    </xf>
    <xf numFmtId="0" fontId="5" fillId="27" borderId="22" xfId="234" applyFont="1" applyFill="1" applyBorder="1" applyAlignment="1">
      <alignment horizontal="centerContinuous" vertical="center"/>
      <protection/>
    </xf>
    <xf numFmtId="0" fontId="0" fillId="27" borderId="22" xfId="0" applyFill="1" applyBorder="1" applyAlignment="1">
      <alignment vertical="center"/>
    </xf>
    <xf numFmtId="0" fontId="48" fillId="27" borderId="16" xfId="234" applyFont="1" applyFill="1" applyBorder="1" applyAlignment="1">
      <alignment horizontal="center" vertical="center"/>
      <protection/>
    </xf>
    <xf numFmtId="0" fontId="10" fillId="27" borderId="28" xfId="0" applyFont="1" applyFill="1" applyBorder="1" applyAlignment="1">
      <alignment horizontal="left" vertical="center"/>
    </xf>
    <xf numFmtId="0" fontId="50" fillId="27" borderId="0" xfId="0" applyFont="1" applyFill="1" applyBorder="1" applyAlignment="1">
      <alignment vertical="center"/>
    </xf>
    <xf numFmtId="3" fontId="50" fillId="27" borderId="17" xfId="0" applyNumberFormat="1" applyFont="1" applyFill="1" applyBorder="1" applyAlignment="1">
      <alignment vertical="center"/>
    </xf>
    <xf numFmtId="0" fontId="10" fillId="27" borderId="19" xfId="0" applyFont="1" applyFill="1" applyBorder="1" applyAlignment="1">
      <alignment horizontal="left" vertical="center"/>
    </xf>
    <xf numFmtId="0" fontId="50" fillId="27" borderId="12" xfId="0" applyFont="1" applyFill="1" applyBorder="1" applyAlignment="1">
      <alignment vertical="center"/>
    </xf>
    <xf numFmtId="3" fontId="50" fillId="27" borderId="21" xfId="0" applyNumberFormat="1" applyFont="1" applyFill="1" applyBorder="1" applyAlignment="1">
      <alignment vertical="center"/>
    </xf>
    <xf numFmtId="0" fontId="5" fillId="27" borderId="22" xfId="232" applyFont="1" applyFill="1" applyBorder="1" applyAlignment="1">
      <alignment horizontal="centerContinuous" vertical="center"/>
      <protection/>
    </xf>
    <xf numFmtId="0" fontId="6" fillId="27" borderId="22" xfId="0" applyFont="1" applyFill="1" applyBorder="1" applyAlignment="1" applyProtection="1">
      <alignment vertical="center"/>
      <protection locked="0"/>
    </xf>
    <xf numFmtId="0" fontId="48" fillId="27" borderId="16" xfId="232" applyFont="1" applyFill="1" applyBorder="1" applyAlignment="1">
      <alignment horizontal="center" vertical="center"/>
      <protection/>
    </xf>
    <xf numFmtId="0" fontId="10" fillId="27" borderId="28" xfId="0" applyFont="1" applyFill="1" applyBorder="1" applyAlignment="1" applyProtection="1">
      <alignment horizontal="left" vertical="center"/>
      <protection locked="0"/>
    </xf>
    <xf numFmtId="0" fontId="10" fillId="27" borderId="0" xfId="0" applyFont="1" applyFill="1" applyBorder="1" applyAlignment="1" applyProtection="1">
      <alignment vertical="center"/>
      <protection locked="0"/>
    </xf>
    <xf numFmtId="3" fontId="10" fillId="27" borderId="17" xfId="0" applyNumberFormat="1" applyFont="1" applyFill="1" applyBorder="1" applyAlignment="1" applyProtection="1">
      <alignment vertical="center"/>
      <protection locked="0"/>
    </xf>
    <xf numFmtId="0" fontId="10" fillId="27" borderId="19" xfId="0" applyFont="1" applyFill="1" applyBorder="1" applyAlignment="1" applyProtection="1">
      <alignment horizontal="left" vertical="center"/>
      <protection locked="0"/>
    </xf>
    <xf numFmtId="0" fontId="10" fillId="27" borderId="12" xfId="0" applyFont="1" applyFill="1" applyBorder="1" applyAlignment="1" applyProtection="1">
      <alignment vertical="center"/>
      <protection locked="0"/>
    </xf>
    <xf numFmtId="3" fontId="10" fillId="27" borderId="21" xfId="0" applyNumberFormat="1" applyFont="1" applyFill="1" applyBorder="1" applyAlignment="1" applyProtection="1">
      <alignment vertical="center"/>
      <protection locked="0"/>
    </xf>
    <xf numFmtId="37" fontId="53" fillId="0" borderId="0" xfId="0" applyNumberFormat="1" applyFont="1" applyAlignment="1">
      <alignment horizontal="left"/>
    </xf>
    <xf numFmtId="0" fontId="53" fillId="0" borderId="0" xfId="0" applyFont="1" applyAlignment="1">
      <alignment horizontal="left"/>
    </xf>
    <xf numFmtId="0" fontId="51" fillId="0" borderId="0" xfId="0" applyFont="1" applyAlignment="1">
      <alignment/>
    </xf>
    <xf numFmtId="3" fontId="10" fillId="27" borderId="21" xfId="0" applyNumberFormat="1" applyFont="1" applyFill="1" applyBorder="1" applyAlignment="1" applyProtection="1">
      <alignment horizontal="right" vertical="center"/>
      <protection/>
    </xf>
    <xf numFmtId="0" fontId="10" fillId="27" borderId="12" xfId="0" applyFont="1" applyFill="1" applyBorder="1" applyAlignment="1" applyProtection="1">
      <alignment vertical="center"/>
      <protection/>
    </xf>
    <xf numFmtId="0" fontId="10" fillId="27" borderId="19" xfId="0" applyFont="1" applyFill="1" applyBorder="1" applyAlignment="1" applyProtection="1">
      <alignment horizontal="left" vertical="center"/>
      <protection/>
    </xf>
    <xf numFmtId="3" fontId="10" fillId="27" borderId="17" xfId="0" applyNumberFormat="1" applyFont="1" applyFill="1" applyBorder="1" applyAlignment="1" applyProtection="1">
      <alignment horizontal="right" vertical="center"/>
      <protection/>
    </xf>
    <xf numFmtId="0" fontId="10" fillId="27" borderId="0" xfId="0" applyFont="1" applyFill="1" applyBorder="1" applyAlignment="1" applyProtection="1">
      <alignment vertical="center"/>
      <protection/>
    </xf>
    <xf numFmtId="0" fontId="10" fillId="27" borderId="28" xfId="0" applyFont="1" applyFill="1" applyBorder="1" applyAlignment="1" applyProtection="1">
      <alignment horizontal="left" vertical="center"/>
      <protection/>
    </xf>
    <xf numFmtId="3" fontId="10" fillId="27" borderId="21" xfId="90" applyNumberFormat="1" applyFont="1" applyFill="1" applyBorder="1" applyProtection="1">
      <alignment/>
      <protection locked="0"/>
    </xf>
    <xf numFmtId="0" fontId="10" fillId="27" borderId="12" xfId="90" applyFont="1" applyFill="1" applyBorder="1" applyProtection="1">
      <alignment/>
      <protection locked="0"/>
    </xf>
    <xf numFmtId="0" fontId="10" fillId="27" borderId="19" xfId="90" applyFont="1" applyFill="1" applyBorder="1" applyAlignment="1" applyProtection="1">
      <alignment horizontal="left"/>
      <protection locked="0"/>
    </xf>
    <xf numFmtId="3" fontId="10" fillId="27" borderId="17" xfId="90" applyNumberFormat="1" applyFont="1" applyFill="1" applyBorder="1" applyProtection="1">
      <alignment/>
      <protection locked="0"/>
    </xf>
    <xf numFmtId="0" fontId="10" fillId="27" borderId="0" xfId="90" applyFont="1" applyFill="1" applyBorder="1" applyProtection="1">
      <alignment/>
      <protection locked="0"/>
    </xf>
    <xf numFmtId="0" fontId="10" fillId="27" borderId="28" xfId="90" applyFont="1" applyFill="1" applyBorder="1" applyAlignment="1" applyProtection="1">
      <alignment horizontal="left"/>
      <protection locked="0"/>
    </xf>
    <xf numFmtId="0" fontId="6" fillId="27" borderId="22" xfId="90" applyFont="1" applyFill="1" applyBorder="1" applyProtection="1">
      <alignment/>
      <protection locked="0"/>
    </xf>
    <xf numFmtId="0" fontId="40" fillId="27" borderId="27" xfId="234" applyFont="1" applyFill="1" applyBorder="1" applyAlignment="1">
      <alignment horizontal="left" vertical="center"/>
      <protection/>
    </xf>
    <xf numFmtId="0" fontId="51" fillId="0" borderId="0" xfId="0" applyFont="1" applyAlignment="1">
      <alignment horizontal="right" vertical="center" wrapText="1"/>
    </xf>
    <xf numFmtId="0" fontId="51" fillId="0" borderId="0" xfId="0" applyFont="1" applyAlignment="1">
      <alignment horizontal="left" vertical="center" wrapText="1"/>
    </xf>
    <xf numFmtId="0" fontId="52" fillId="0" borderId="0" xfId="0" applyFont="1" applyAlignment="1">
      <alignment horizontal="center" vertical="center" wrapText="1"/>
    </xf>
    <xf numFmtId="0" fontId="51" fillId="0" borderId="0" xfId="0" applyFont="1" applyAlignment="1">
      <alignment horizontal="center" vertical="center"/>
    </xf>
    <xf numFmtId="0" fontId="51" fillId="0" borderId="0" xfId="90" applyFont="1" applyAlignment="1">
      <alignment horizontal="right" vertical="center" wrapText="1"/>
      <protection/>
    </xf>
    <xf numFmtId="0" fontId="6" fillId="0" borderId="0" xfId="466" applyFont="1">
      <alignment/>
      <protection/>
    </xf>
    <xf numFmtId="0" fontId="7" fillId="0" borderId="0" xfId="466" applyFont="1">
      <alignment/>
      <protection/>
    </xf>
    <xf numFmtId="0" fontId="6" fillId="0" borderId="0" xfId="90" applyFont="1">
      <alignment/>
      <protection/>
    </xf>
    <xf numFmtId="10" fontId="5" fillId="22" borderId="18" xfId="0" applyNumberFormat="1" applyFont="1" applyFill="1" applyBorder="1" applyAlignment="1" applyProtection="1">
      <alignment horizontal="center" vertical="center"/>
      <protection locked="0"/>
    </xf>
    <xf numFmtId="0" fontId="6" fillId="4" borderId="12" xfId="90" applyNumberFormat="1" applyFont="1" applyFill="1" applyBorder="1" applyAlignment="1" applyProtection="1">
      <alignment vertical="center"/>
      <protection/>
    </xf>
    <xf numFmtId="0" fontId="6" fillId="4" borderId="27"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4" borderId="22" xfId="70" applyNumberFormat="1" applyFont="1" applyFill="1" applyBorder="1" applyAlignment="1" applyProtection="1">
      <alignment horizontal="right" vertical="center"/>
      <protection/>
    </xf>
    <xf numFmtId="181" fontId="6" fillId="4" borderId="16" xfId="90" applyNumberFormat="1" applyFont="1" applyFill="1" applyBorder="1" applyAlignment="1" applyProtection="1">
      <alignment vertical="center"/>
      <protection/>
    </xf>
    <xf numFmtId="37" fontId="6" fillId="4" borderId="28" xfId="90" applyNumberFormat="1" applyFont="1" applyFill="1" applyBorder="1" applyAlignment="1" applyProtection="1">
      <alignment horizontal="right" vertical="center"/>
      <protection/>
    </xf>
    <xf numFmtId="181" fontId="6" fillId="4" borderId="17" xfId="90" applyNumberFormat="1" applyFont="1" applyFill="1" applyBorder="1" applyAlignment="1" applyProtection="1">
      <alignment vertical="center"/>
      <protection/>
    </xf>
    <xf numFmtId="37" fontId="6" fillId="4" borderId="19" xfId="90" applyNumberFormat="1" applyFont="1" applyFill="1" applyBorder="1" applyAlignment="1" applyProtection="1">
      <alignment horizontal="right" vertical="center"/>
      <protection/>
    </xf>
    <xf numFmtId="0" fontId="6" fillId="4" borderId="12" xfId="70" applyNumberFormat="1" applyFont="1" applyFill="1" applyBorder="1" applyAlignment="1" applyProtection="1">
      <alignment horizontal="right" vertical="center"/>
      <protection/>
    </xf>
    <xf numFmtId="181" fontId="6" fillId="4" borderId="21" xfId="90" applyNumberFormat="1" applyFont="1" applyFill="1" applyBorder="1" applyAlignment="1" applyProtection="1">
      <alignment vertical="center"/>
      <protection/>
    </xf>
    <xf numFmtId="37" fontId="6" fillId="4" borderId="27" xfId="90" applyNumberFormat="1" applyFont="1" applyFill="1" applyBorder="1" applyAlignment="1" applyProtection="1">
      <alignment horizontal="left" vertical="center"/>
      <protection/>
    </xf>
    <xf numFmtId="37" fontId="5"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horizontal="right" vertical="center"/>
      <protection/>
    </xf>
    <xf numFmtId="37" fontId="5" fillId="4" borderId="27" xfId="0" applyNumberFormat="1" applyFont="1" applyFill="1" applyBorder="1" applyAlignment="1" applyProtection="1">
      <alignment horizontal="left" vertical="center"/>
      <protection/>
    </xf>
    <xf numFmtId="3" fontId="6" fillId="4" borderId="22" xfId="0" applyNumberFormat="1" applyFont="1" applyFill="1" applyBorder="1" applyAlignment="1" applyProtection="1">
      <alignment horizontal="right" vertical="center"/>
      <protection/>
    </xf>
    <xf numFmtId="37" fontId="5" fillId="4" borderId="28" xfId="0" applyNumberFormat="1" applyFont="1" applyFill="1" applyBorder="1" applyAlignment="1" applyProtection="1">
      <alignment horizontal="left" vertical="center"/>
      <protection/>
    </xf>
    <xf numFmtId="37" fontId="5" fillId="4" borderId="19" xfId="0" applyNumberFormat="1" applyFont="1" applyFill="1" applyBorder="1" applyAlignment="1" applyProtection="1">
      <alignment horizontal="left" vertical="center"/>
      <protection/>
    </xf>
    <xf numFmtId="3" fontId="6" fillId="4" borderId="12" xfId="0" applyNumberFormat="1" applyFont="1" applyFill="1" applyBorder="1" applyAlignment="1" applyProtection="1">
      <alignment horizontal="right" vertical="center"/>
      <protection/>
    </xf>
    <xf numFmtId="0" fontId="6" fillId="4" borderId="22" xfId="69" applyNumberFormat="1" applyFont="1" applyFill="1" applyBorder="1" applyAlignment="1" applyProtection="1">
      <alignment horizontal="right" vertical="center"/>
      <protection/>
    </xf>
    <xf numFmtId="0" fontId="6" fillId="4" borderId="16" xfId="69" applyNumberFormat="1" applyFont="1" applyFill="1" applyBorder="1" applyAlignment="1" applyProtection="1">
      <alignment horizontal="right" vertical="center"/>
      <protection/>
    </xf>
    <xf numFmtId="0" fontId="6" fillId="4" borderId="17" xfId="69" applyNumberFormat="1" applyFont="1" applyFill="1" applyBorder="1" applyAlignment="1" applyProtection="1">
      <alignment horizontal="right" vertical="center"/>
      <protection/>
    </xf>
    <xf numFmtId="0" fontId="6" fillId="4" borderId="12" xfId="69" applyNumberFormat="1" applyFont="1" applyFill="1" applyBorder="1" applyAlignment="1" applyProtection="1">
      <alignment horizontal="right" vertical="center"/>
      <protection/>
    </xf>
    <xf numFmtId="0" fontId="6" fillId="4" borderId="21" xfId="69" applyNumberFormat="1" applyFont="1" applyFill="1" applyBorder="1" applyAlignment="1" applyProtection="1">
      <alignment horizontal="right" vertical="center"/>
      <protection/>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center"/>
      <protection locked="0"/>
    </xf>
    <xf numFmtId="3" fontId="10" fillId="0" borderId="0" xfId="0" applyNumberFormat="1" applyFont="1" applyFill="1" applyBorder="1" applyAlignment="1" applyProtection="1">
      <alignment vertical="center"/>
      <protection locked="0"/>
    </xf>
    <xf numFmtId="0" fontId="16" fillId="4" borderId="22" xfId="0" applyFont="1" applyFill="1" applyBorder="1" applyAlignment="1" applyProtection="1">
      <alignment horizontal="center" vertical="center"/>
      <protection/>
    </xf>
    <xf numFmtId="3" fontId="16" fillId="4" borderId="16" xfId="0" applyNumberFormat="1" applyFont="1" applyFill="1" applyBorder="1" applyAlignment="1" applyProtection="1">
      <alignment horizontal="center" vertical="center"/>
      <protection/>
    </xf>
    <xf numFmtId="0" fontId="6" fillId="4" borderId="28" xfId="0" applyFont="1" applyFill="1" applyBorder="1" applyAlignment="1" applyProtection="1">
      <alignment horizontal="right" vertical="center"/>
      <protection/>
    </xf>
    <xf numFmtId="0" fontId="16" fillId="4" borderId="0" xfId="0" applyFont="1" applyFill="1" applyBorder="1" applyAlignment="1" applyProtection="1">
      <alignment horizontal="center" vertical="center"/>
      <protection/>
    </xf>
    <xf numFmtId="3" fontId="16" fillId="4" borderId="17" xfId="0" applyNumberFormat="1" applyFont="1" applyFill="1" applyBorder="1" applyAlignment="1" applyProtection="1">
      <alignment horizontal="center" vertical="center"/>
      <protection/>
    </xf>
    <xf numFmtId="0" fontId="6" fillId="4" borderId="19" xfId="0" applyFont="1" applyFill="1" applyBorder="1" applyAlignment="1" applyProtection="1">
      <alignment horizontal="right" vertical="center"/>
      <protection/>
    </xf>
    <xf numFmtId="0" fontId="16" fillId="4" borderId="12" xfId="0" applyFont="1" applyFill="1" applyBorder="1" applyAlignment="1" applyProtection="1">
      <alignment horizontal="center" vertical="center"/>
      <protection/>
    </xf>
    <xf numFmtId="0" fontId="6" fillId="4" borderId="27" xfId="0" applyFont="1" applyFill="1" applyBorder="1" applyAlignment="1" applyProtection="1">
      <alignment horizontal="left" vertical="center"/>
      <protection/>
    </xf>
    <xf numFmtId="0" fontId="6" fillId="4" borderId="27" xfId="0" applyFont="1" applyFill="1" applyBorder="1" applyAlignment="1">
      <alignment vertical="center"/>
    </xf>
    <xf numFmtId="3" fontId="6" fillId="4" borderId="22" xfId="0" applyNumberFormat="1" applyFont="1" applyFill="1" applyBorder="1" applyAlignment="1">
      <alignment vertical="center"/>
    </xf>
    <xf numFmtId="0" fontId="6" fillId="4" borderId="22" xfId="0" applyFont="1" applyFill="1" applyBorder="1" applyAlignment="1">
      <alignment vertical="center"/>
    </xf>
    <xf numFmtId="0" fontId="6" fillId="4" borderId="16" xfId="0" applyFont="1" applyFill="1" applyBorder="1" applyAlignment="1">
      <alignment vertical="center"/>
    </xf>
    <xf numFmtId="0" fontId="6" fillId="4" borderId="28" xfId="0" applyFont="1" applyFill="1" applyBorder="1" applyAlignment="1">
      <alignment vertical="center"/>
    </xf>
    <xf numFmtId="3" fontId="6" fillId="4" borderId="0" xfId="0" applyNumberFormat="1" applyFont="1" applyFill="1" applyBorder="1" applyAlignment="1">
      <alignment vertical="center"/>
    </xf>
    <xf numFmtId="0" fontId="6" fillId="4" borderId="0" xfId="0" applyFont="1" applyFill="1" applyBorder="1" applyAlignment="1">
      <alignment vertical="center"/>
    </xf>
    <xf numFmtId="0" fontId="6" fillId="4" borderId="17" xfId="0" applyFont="1" applyFill="1" applyBorder="1" applyAlignment="1">
      <alignment vertical="center"/>
    </xf>
    <xf numFmtId="0" fontId="6" fillId="4" borderId="19" xfId="0" applyFont="1" applyFill="1" applyBorder="1" applyAlignment="1">
      <alignment vertical="center"/>
    </xf>
    <xf numFmtId="3" fontId="6" fillId="4" borderId="12" xfId="0" applyNumberFormat="1" applyFont="1" applyFill="1" applyBorder="1" applyAlignment="1">
      <alignment vertical="center"/>
    </xf>
    <xf numFmtId="0" fontId="6" fillId="4" borderId="21" xfId="0" applyFont="1" applyFill="1" applyBorder="1" applyAlignment="1">
      <alignment vertical="center"/>
    </xf>
    <xf numFmtId="0" fontId="6" fillId="4" borderId="0" xfId="0" applyFont="1" applyFill="1" applyAlignment="1" applyProtection="1">
      <alignment vertical="center" wrapText="1"/>
      <protection/>
    </xf>
    <xf numFmtId="37" fontId="6" fillId="26" borderId="10" xfId="0" applyNumberFormat="1" applyFont="1" applyFill="1" applyBorder="1" applyAlignment="1" applyProtection="1">
      <alignment horizontal="center" vertical="center" wrapText="1"/>
      <protection/>
    </xf>
    <xf numFmtId="0" fontId="6" fillId="26" borderId="13" xfId="0" applyFont="1"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90" applyNumberFormat="1" applyFont="1" applyFill="1" applyAlignment="1" applyProtection="1">
      <alignment vertical="center" wrapText="1"/>
      <protection/>
    </xf>
    <xf numFmtId="0" fontId="6" fillId="4" borderId="27" xfId="90" applyFont="1" applyFill="1" applyBorder="1" applyAlignment="1" applyProtection="1">
      <alignment vertical="center" wrapText="1"/>
      <protection/>
    </xf>
    <xf numFmtId="0" fontId="4" fillId="0" borderId="16" xfId="90" applyBorder="1" applyAlignment="1">
      <alignment vertical="center" wrapText="1"/>
      <protection/>
    </xf>
    <xf numFmtId="0" fontId="4" fillId="0" borderId="28" xfId="90" applyBorder="1" applyAlignment="1">
      <alignment vertical="center" wrapText="1"/>
      <protection/>
    </xf>
    <xf numFmtId="0" fontId="4" fillId="0" borderId="17" xfId="90" applyBorder="1" applyAlignment="1">
      <alignment vertical="center" wrapText="1"/>
      <protection/>
    </xf>
    <xf numFmtId="0" fontId="4" fillId="0" borderId="19" xfId="90" applyBorder="1" applyAlignment="1">
      <alignment vertical="center" wrapText="1"/>
      <protection/>
    </xf>
    <xf numFmtId="0" fontId="4" fillId="0" borderId="21" xfId="90" applyBorder="1" applyAlignment="1">
      <alignment vertical="center" wrapText="1"/>
      <protection/>
    </xf>
    <xf numFmtId="0" fontId="17" fillId="0" borderId="0" xfId="0" applyFont="1" applyAlignment="1" applyProtection="1">
      <alignment horizontal="center" vertical="center"/>
      <protection/>
    </xf>
    <xf numFmtId="37" fontId="17"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3" borderId="14" xfId="0" applyFont="1" applyFill="1" applyBorder="1" applyAlignment="1">
      <alignment horizontal="center" vertical="center"/>
    </xf>
    <xf numFmtId="0" fontId="19" fillId="23" borderId="15"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5" fillId="4" borderId="22" xfId="0" applyFont="1" applyFill="1" applyBorder="1" applyAlignment="1" applyProtection="1">
      <alignment horizontal="center" vertical="center"/>
      <protection/>
    </xf>
    <xf numFmtId="0" fontId="0" fillId="0" borderId="16" xfId="0" applyBorder="1" applyAlignment="1">
      <alignment horizontal="center" vertical="center"/>
    </xf>
    <xf numFmtId="0" fontId="6" fillId="0" borderId="0" xfId="544" applyFont="1" applyAlignment="1">
      <alignment horizontal="left" vertical="center" wrapText="1"/>
      <protection/>
    </xf>
    <xf numFmtId="0" fontId="0" fillId="0" borderId="0" xfId="544" applyAlignment="1">
      <alignment horizontal="left" vertical="center" wrapText="1"/>
      <protection/>
    </xf>
    <xf numFmtId="0" fontId="17" fillId="0" borderId="0" xfId="54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24" borderId="41" xfId="90" applyFont="1" applyFill="1" applyBorder="1" applyAlignment="1">
      <alignment horizontal="left" vertical="center"/>
      <protection/>
    </xf>
    <xf numFmtId="0" fontId="50" fillId="0" borderId="42" xfId="0" applyFont="1" applyBorder="1" applyAlignment="1">
      <alignment vertical="center"/>
    </xf>
    <xf numFmtId="0" fontId="10" fillId="24" borderId="14" xfId="90" applyFont="1" applyFill="1" applyBorder="1" applyAlignment="1">
      <alignment horizontal="left" vertical="center"/>
      <protection/>
    </xf>
    <xf numFmtId="0" fontId="50" fillId="0" borderId="15" xfId="0" applyFont="1" applyBorder="1" applyAlignment="1">
      <alignment vertical="center"/>
    </xf>
    <xf numFmtId="0" fontId="10" fillId="23" borderId="28" xfId="0" applyFont="1" applyFill="1" applyBorder="1" applyAlignment="1" applyProtection="1">
      <alignment horizontal="center" vertical="center"/>
      <protection/>
    </xf>
    <xf numFmtId="0" fontId="0" fillId="0" borderId="17"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3" borderId="19" xfId="0" applyFont="1" applyFill="1" applyBorder="1" applyAlignment="1" applyProtection="1">
      <alignment horizontal="center" vertical="center"/>
      <protection/>
    </xf>
    <xf numFmtId="0" fontId="0" fillId="0" borderId="21" xfId="0" applyBorder="1" applyAlignment="1">
      <alignment vertical="center"/>
    </xf>
    <xf numFmtId="3" fontId="6" fillId="22" borderId="14" xfId="0" applyNumberFormat="1" applyFont="1" applyFill="1" applyBorder="1" applyAlignment="1" applyProtection="1">
      <alignment horizontal="right" vertical="center"/>
      <protection locked="0"/>
    </xf>
    <xf numFmtId="0" fontId="0" fillId="0" borderId="15" xfId="0" applyBorder="1" applyAlignment="1" applyProtection="1">
      <alignment vertical="center"/>
      <protection locked="0"/>
    </xf>
    <xf numFmtId="37" fontId="5" fillId="4" borderId="0" xfId="0" applyNumberFormat="1" applyFont="1" applyFill="1" applyAlignment="1" applyProtection="1">
      <alignment horizontal="center" vertical="center"/>
      <protection/>
    </xf>
    <xf numFmtId="0" fontId="6" fillId="4" borderId="0" xfId="90" applyFont="1" applyFill="1" applyAlignment="1">
      <alignment horizontal="center" vertical="center"/>
      <protection/>
    </xf>
    <xf numFmtId="0" fontId="6" fillId="4" borderId="0" xfId="90" applyFont="1" applyFill="1" applyAlignment="1" applyProtection="1">
      <alignment horizontal="center" vertical="center" wrapText="1"/>
      <protection/>
    </xf>
    <xf numFmtId="0" fontId="6" fillId="4" borderId="0" xfId="90" applyFont="1" applyFill="1" applyAlignment="1" applyProtection="1">
      <alignment horizontal="center" vertical="center"/>
      <protection/>
    </xf>
    <xf numFmtId="3" fontId="6" fillId="4" borderId="22" xfId="115" applyNumberFormat="1" applyFont="1" applyFill="1" applyBorder="1" applyAlignment="1" applyProtection="1">
      <alignment horizontal="right" vertical="center"/>
      <protection/>
    </xf>
    <xf numFmtId="0" fontId="4" fillId="0" borderId="16"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7" xfId="115" applyFont="1" applyBorder="1" applyAlignment="1">
      <alignment horizontal="right"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0" fontId="39" fillId="4" borderId="27" xfId="90" applyFont="1" applyFill="1" applyBorder="1" applyAlignment="1" applyProtection="1">
      <alignment horizontal="center" vertical="center"/>
      <protection/>
    </xf>
    <xf numFmtId="0" fontId="4" fillId="0" borderId="22" xfId="90" applyBorder="1" applyAlignment="1">
      <alignment vertical="center"/>
      <protection/>
    </xf>
    <xf numFmtId="0" fontId="4" fillId="0" borderId="16" xfId="90" applyBorder="1" applyAlignment="1">
      <alignment vertical="center"/>
      <protection/>
    </xf>
    <xf numFmtId="0" fontId="4" fillId="0" borderId="22" xfId="90" applyBorder="1" applyAlignment="1">
      <alignment horizontal="center" vertical="center"/>
      <protection/>
    </xf>
    <xf numFmtId="0" fontId="4" fillId="0" borderId="16" xfId="90" applyBorder="1" applyAlignment="1">
      <alignment/>
      <protection/>
    </xf>
    <xf numFmtId="181" fontId="39" fillId="4" borderId="27" xfId="90" applyNumberFormat="1" applyFont="1" applyFill="1" applyBorder="1" applyAlignment="1" applyProtection="1">
      <alignment horizontal="center"/>
      <protection/>
    </xf>
    <xf numFmtId="0" fontId="31" fillId="0" borderId="22" xfId="90" applyFont="1" applyBorder="1" applyAlignment="1">
      <alignment/>
      <protection/>
    </xf>
    <xf numFmtId="0" fontId="31" fillId="0" borderId="16" xfId="90" applyFont="1" applyBorder="1" applyAlignment="1">
      <alignment/>
      <protection/>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37" fontId="5" fillId="4" borderId="0" xfId="90" applyNumberFormat="1" applyFont="1" applyFill="1" applyAlignment="1" applyProtection="1">
      <alignment horizontal="center" vertical="center"/>
      <protection/>
    </xf>
    <xf numFmtId="0" fontId="0" fillId="0" borderId="0" xfId="87" applyAlignment="1">
      <alignment horizontal="center" vertical="center"/>
      <protection/>
    </xf>
    <xf numFmtId="0" fontId="5" fillId="4" borderId="0" xfId="580" applyFont="1" applyFill="1" applyAlignment="1" applyProtection="1">
      <alignment horizontal="center" vertical="center"/>
      <protection/>
    </xf>
    <xf numFmtId="0" fontId="5" fillId="4" borderId="0" xfId="95" applyFont="1" applyFill="1" applyAlignment="1">
      <alignment horizontal="center" vertical="center"/>
      <protection/>
    </xf>
    <xf numFmtId="0" fontId="17" fillId="4" borderId="0" xfId="95" applyFont="1" applyFill="1" applyAlignment="1">
      <alignment horizontal="center" vertical="center"/>
      <protection/>
    </xf>
    <xf numFmtId="0" fontId="6" fillId="4" borderId="0" xfId="95" applyFont="1" applyFill="1" applyAlignment="1">
      <alignment vertical="center" wrapText="1"/>
      <protection/>
    </xf>
    <xf numFmtId="0" fontId="17" fillId="4" borderId="0" xfId="565" applyFont="1" applyFill="1" applyAlignment="1">
      <alignment horizontal="center"/>
      <protection/>
    </xf>
    <xf numFmtId="0" fontId="4" fillId="4" borderId="0" xfId="95" applyFill="1" applyAlignment="1">
      <alignment horizontal="center"/>
      <protection/>
    </xf>
    <xf numFmtId="0" fontId="39" fillId="4" borderId="27" xfId="0" applyFont="1" applyFill="1" applyBorder="1" applyAlignment="1" applyProtection="1">
      <alignment horizontal="center" vertical="center"/>
      <protection/>
    </xf>
    <xf numFmtId="0" fontId="0" fillId="0" borderId="22" xfId="0" applyBorder="1" applyAlignment="1">
      <alignment vertical="center"/>
    </xf>
    <xf numFmtId="0" fontId="0" fillId="0" borderId="16" xfId="0" applyBorder="1" applyAlignment="1">
      <alignment vertical="center"/>
    </xf>
    <xf numFmtId="181" fontId="39" fillId="4" borderId="27" xfId="0" applyNumberFormat="1" applyFont="1" applyFill="1" applyBorder="1" applyAlignment="1" applyProtection="1">
      <alignment horizontal="center"/>
      <protection/>
    </xf>
    <xf numFmtId="0" fontId="31" fillId="0" borderId="22" xfId="0" applyFont="1" applyBorder="1" applyAlignment="1">
      <alignment/>
    </xf>
    <xf numFmtId="0" fontId="31" fillId="0" borderId="16" xfId="0" applyFont="1" applyBorder="1" applyAlignment="1">
      <alignment/>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2" fillId="0" borderId="22" xfId="90" applyFont="1" applyBorder="1" applyAlignment="1">
      <alignment horizontal="center" vertical="center"/>
      <protection/>
    </xf>
    <xf numFmtId="0" fontId="15" fillId="4" borderId="28" xfId="0" applyFont="1" applyFill="1" applyBorder="1" applyAlignment="1" applyProtection="1">
      <alignment vertical="center" wrapText="1"/>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17" fillId="4" borderId="27"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16" xfId="0" applyBorder="1" applyAlignment="1" applyProtection="1">
      <alignment horizontal="center"/>
      <protection/>
    </xf>
    <xf numFmtId="37" fontId="6" fillId="4" borderId="16" xfId="0" applyNumberFormat="1"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3" xfId="0" applyBorder="1" applyAlignment="1" applyProtection="1">
      <alignment horizontal="center" vertical="center"/>
      <protection/>
    </xf>
    <xf numFmtId="0" fontId="17" fillId="4" borderId="22" xfId="0" applyFont="1" applyFill="1" applyBorder="1" applyAlignment="1" applyProtection="1">
      <alignment horizontal="center"/>
      <protection/>
    </xf>
    <xf numFmtId="0" fontId="17" fillId="4" borderId="16" xfId="0" applyFont="1" applyFill="1" applyBorder="1" applyAlignment="1" applyProtection="1">
      <alignment horizontal="center"/>
      <protection/>
    </xf>
    <xf numFmtId="37" fontId="6" fillId="4" borderId="22"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37" fontId="6" fillId="4" borderId="12" xfId="0" applyNumberFormat="1" applyFont="1" applyFill="1" applyBorder="1" applyAlignment="1" applyProtection="1">
      <alignment horizontal="center" vertical="center"/>
      <protection locked="0"/>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9" fillId="28" borderId="33" xfId="444" applyFont="1" applyFill="1" applyBorder="1" applyAlignment="1">
      <alignment horizontal="left" vertical="top" wrapText="1"/>
      <protection/>
    </xf>
    <xf numFmtId="0" fontId="79" fillId="28" borderId="32" xfId="444" applyFont="1" applyFill="1" applyBorder="1" applyAlignment="1">
      <alignment horizontal="left" vertical="top" wrapText="1"/>
      <protection/>
    </xf>
    <xf numFmtId="0" fontId="79" fillId="28" borderId="39" xfId="444" applyFont="1" applyFill="1" applyBorder="1" applyAlignment="1">
      <alignment horizontal="left" vertical="top" wrapText="1"/>
      <protection/>
    </xf>
    <xf numFmtId="0" fontId="81" fillId="28" borderId="43" xfId="444" applyFont="1" applyFill="1" applyBorder="1" applyAlignment="1">
      <alignment horizontal="center"/>
      <protection/>
    </xf>
    <xf numFmtId="0" fontId="71" fillId="28" borderId="44" xfId="444" applyFill="1" applyBorder="1" applyAlignment="1">
      <alignment horizontal="center"/>
      <protection/>
    </xf>
    <xf numFmtId="0" fontId="71" fillId="28" borderId="45" xfId="444" applyFill="1" applyBorder="1" applyAlignment="1">
      <alignment horizontal="center"/>
      <protection/>
    </xf>
    <xf numFmtId="0" fontId="79" fillId="28" borderId="37" xfId="444" applyFont="1" applyFill="1" applyBorder="1" applyAlignment="1">
      <alignment horizontal="center"/>
      <protection/>
    </xf>
    <xf numFmtId="0" fontId="79" fillId="28" borderId="29" xfId="444" applyFont="1" applyFill="1" applyBorder="1" applyAlignment="1">
      <alignment horizontal="center"/>
      <protection/>
    </xf>
    <xf numFmtId="0" fontId="79" fillId="28" borderId="36" xfId="444" applyFont="1" applyFill="1" applyBorder="1" applyAlignment="1">
      <alignment horizontal="center"/>
      <protection/>
    </xf>
    <xf numFmtId="0" fontId="34" fillId="4" borderId="0" xfId="0" applyFont="1" applyFill="1" applyAlignment="1">
      <alignment horizontal="center" wrapText="1"/>
    </xf>
    <xf numFmtId="0" fontId="35" fillId="0" borderId="0" xfId="0" applyFont="1" applyAlignment="1">
      <alignment horizontal="center" wrapText="1"/>
    </xf>
    <xf numFmtId="0" fontId="34" fillId="4" borderId="0" xfId="0" applyFont="1" applyFill="1" applyAlignment="1">
      <alignment horizontal="center" vertical="center"/>
    </xf>
    <xf numFmtId="0" fontId="34" fillId="0" borderId="0" xfId="0" applyFont="1" applyAlignment="1">
      <alignment horizontal="center" vertical="center"/>
    </xf>
    <xf numFmtId="0" fontId="34" fillId="4" borderId="0" xfId="0" applyFont="1" applyFill="1" applyAlignment="1">
      <alignment horizontal="center"/>
    </xf>
    <xf numFmtId="0" fontId="35" fillId="4" borderId="0" xfId="0" applyFont="1" applyFill="1" applyAlignment="1">
      <alignment wrapText="1"/>
    </xf>
    <xf numFmtId="185" fontId="35" fillId="22" borderId="12" xfId="0" applyNumberFormat="1" applyFont="1" applyFill="1" applyBorder="1" applyAlignment="1" applyProtection="1">
      <alignment horizontal="center"/>
      <protection locked="0"/>
    </xf>
    <xf numFmtId="185" fontId="35" fillId="4" borderId="0" xfId="0" applyNumberFormat="1" applyFont="1" applyFill="1" applyAlignment="1">
      <alignment/>
    </xf>
    <xf numFmtId="0" fontId="34" fillId="4" borderId="29" xfId="0" applyFont="1" applyFill="1" applyBorder="1" applyAlignment="1">
      <alignment horizontal="center" vertical="center"/>
    </xf>
    <xf numFmtId="0" fontId="35" fillId="0" borderId="0" xfId="0" applyFont="1" applyAlignment="1">
      <alignment wrapText="1"/>
    </xf>
    <xf numFmtId="185"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2" xfId="0" applyFont="1" applyFill="1" applyBorder="1" applyAlignment="1">
      <alignment/>
    </xf>
    <xf numFmtId="0" fontId="35" fillId="4" borderId="39" xfId="0" applyFont="1" applyFill="1" applyBorder="1" applyAlignment="1">
      <alignment/>
    </xf>
    <xf numFmtId="0" fontId="34" fillId="4" borderId="0" xfId="0" applyFont="1" applyFill="1" applyAlignment="1">
      <alignment horizontal="center" wrapText="1"/>
    </xf>
    <xf numFmtId="5" fontId="35" fillId="4" borderId="12" xfId="0" applyNumberFormat="1" applyFont="1" applyFill="1" applyBorder="1" applyAlignment="1">
      <alignment horizontal="center"/>
    </xf>
    <xf numFmtId="0" fontId="35" fillId="0" borderId="29" xfId="0" applyFont="1" applyBorder="1" applyAlignment="1">
      <alignment horizontal="center" vertical="center"/>
    </xf>
    <xf numFmtId="0" fontId="34" fillId="4" borderId="0" xfId="0" applyFont="1" applyFill="1" applyBorder="1" applyAlignment="1">
      <alignment horizontal="center" wrapText="1"/>
    </xf>
    <xf numFmtId="0" fontId="34"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5" fontId="35" fillId="4" borderId="0" xfId="0" applyNumberFormat="1" applyFont="1" applyFill="1" applyBorder="1" applyAlignment="1">
      <alignment horizontal="center"/>
    </xf>
    <xf numFmtId="0" fontId="35" fillId="4" borderId="22" xfId="0" applyFont="1" applyFill="1" applyBorder="1" applyAlignment="1">
      <alignment horizontal="center"/>
    </xf>
    <xf numFmtId="0" fontId="35" fillId="4" borderId="31" xfId="0" applyFont="1" applyFill="1" applyBorder="1" applyAlignment="1">
      <alignment vertical="top" wrapText="1"/>
    </xf>
    <xf numFmtId="0" fontId="35" fillId="0" borderId="0" xfId="0" applyFont="1" applyAlignment="1">
      <alignment vertical="top" wrapText="1"/>
    </xf>
    <xf numFmtId="0" fontId="35" fillId="0" borderId="30" xfId="0" applyFont="1" applyBorder="1" applyAlignment="1">
      <alignment vertical="top" wrapText="1"/>
    </xf>
    <xf numFmtId="186" fontId="35" fillId="4" borderId="0" xfId="0" applyNumberFormat="1" applyFont="1" applyFill="1" applyBorder="1" applyAlignment="1">
      <alignment horizontal="center"/>
    </xf>
    <xf numFmtId="0" fontId="35" fillId="0" borderId="30" xfId="0" applyFont="1" applyBorder="1" applyAlignment="1">
      <alignment horizontal="center"/>
    </xf>
    <xf numFmtId="179" fontId="35" fillId="22" borderId="12" xfId="0" applyNumberFormat="1" applyFont="1" applyFill="1" applyBorder="1" applyAlignment="1" applyProtection="1">
      <alignment horizontal="center"/>
      <protection locked="0"/>
    </xf>
    <xf numFmtId="185" fontId="35" fillId="0" borderId="30" xfId="0" applyNumberFormat="1" applyFont="1" applyBorder="1" applyAlignment="1">
      <alignment horizontal="center"/>
    </xf>
  </cellXfs>
  <cellStyles count="5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6 6"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3" xfId="190"/>
    <cellStyle name="Normal 2 10 11 4" xfId="191"/>
    <cellStyle name="Normal 2 10 11 5" xfId="192"/>
    <cellStyle name="Normal 2 10 12" xfId="193"/>
    <cellStyle name="Normal 2 10 2" xfId="194"/>
    <cellStyle name="Normal 2 10 2 2" xfId="195"/>
    <cellStyle name="Normal 2 10 3" xfId="196"/>
    <cellStyle name="Normal 2 10 3 2" xfId="197"/>
    <cellStyle name="Normal 2 10 4" xfId="198"/>
    <cellStyle name="Normal 2 10 4 2" xfId="199"/>
    <cellStyle name="Normal 2 10 5" xfId="200"/>
    <cellStyle name="Normal 2 10 5 2" xfId="201"/>
    <cellStyle name="Normal 2 10 6" xfId="202"/>
    <cellStyle name="Normal 2 10 6 2" xfId="203"/>
    <cellStyle name="Normal 2 10 7" xfId="204"/>
    <cellStyle name="Normal 2 10 7 2" xfId="205"/>
    <cellStyle name="Normal 2 10 8" xfId="206"/>
    <cellStyle name="Normal 2 10 8 2" xfId="207"/>
    <cellStyle name="Normal 2 10 9" xfId="208"/>
    <cellStyle name="Normal 2 11" xfId="209"/>
    <cellStyle name="Normal 2 11 10" xfId="210"/>
    <cellStyle name="Normal 2 11 11" xfId="211"/>
    <cellStyle name="Normal 2 11 2" xfId="212"/>
    <cellStyle name="Normal 2 11 2 2" xfId="213"/>
    <cellStyle name="Normal 2 11 3" xfId="214"/>
    <cellStyle name="Normal 2 11 3 2" xfId="215"/>
    <cellStyle name="Normal 2 11 4" xfId="216"/>
    <cellStyle name="Normal 2 11 4 2" xfId="217"/>
    <cellStyle name="Normal 2 11 5" xfId="218"/>
    <cellStyle name="Normal 2 11 5 2" xfId="219"/>
    <cellStyle name="Normal 2 11 6" xfId="220"/>
    <cellStyle name="Normal 2 11 6 2" xfId="221"/>
    <cellStyle name="Normal 2 11 7" xfId="222"/>
    <cellStyle name="Normal 2 11 7 2" xfId="223"/>
    <cellStyle name="Normal 2 11 8" xfId="224"/>
    <cellStyle name="Normal 2 11 8 2" xfId="225"/>
    <cellStyle name="Normal 2 11 9" xfId="226"/>
    <cellStyle name="Normal 2 12" xfId="227"/>
    <cellStyle name="Normal 2 13" xfId="228"/>
    <cellStyle name="Normal 2 14" xfId="229"/>
    <cellStyle name="Normal 2 15" xfId="230"/>
    <cellStyle name="Normal 2 16" xfId="231"/>
    <cellStyle name="Normal 2 17" xfId="232"/>
    <cellStyle name="Normal 2 17 2" xfId="233"/>
    <cellStyle name="Normal 2 17 3" xfId="234"/>
    <cellStyle name="Normal 2 17 4"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11 2" xfId="385"/>
    <cellStyle name="Normal 2 7 11 3" xfId="386"/>
    <cellStyle name="Normal 2 7 2" xfId="387"/>
    <cellStyle name="Normal 2 7 2 2" xfId="388"/>
    <cellStyle name="Normal 2 7 2 3" xfId="389"/>
    <cellStyle name="Normal 2 7 3" xfId="390"/>
    <cellStyle name="Normal 2 7 3 2" xfId="391"/>
    <cellStyle name="Normal 2 7 4" xfId="392"/>
    <cellStyle name="Normal 2 7 4 2" xfId="393"/>
    <cellStyle name="Normal 2 7 5" xfId="394"/>
    <cellStyle name="Normal 2 7 5 2" xfId="395"/>
    <cellStyle name="Normal 2 7 6" xfId="396"/>
    <cellStyle name="Normal 2 7 6 2" xfId="397"/>
    <cellStyle name="Normal 2 7 7" xfId="398"/>
    <cellStyle name="Normal 2 7 7 2" xfId="399"/>
    <cellStyle name="Normal 2 7 8" xfId="400"/>
    <cellStyle name="Normal 2 7 8 2" xfId="401"/>
    <cellStyle name="Normal 2 7 9" xfId="402"/>
    <cellStyle name="Normal 2 8" xfId="403"/>
    <cellStyle name="Normal 2 8 10" xfId="404"/>
    <cellStyle name="Normal 2 8 11" xfId="405"/>
    <cellStyle name="Normal 2 8 2" xfId="406"/>
    <cellStyle name="Normal 2 8 2 2" xfId="407"/>
    <cellStyle name="Normal 2 8 3" xfId="408"/>
    <cellStyle name="Normal 2 8 3 2" xfId="409"/>
    <cellStyle name="Normal 2 8 4" xfId="410"/>
    <cellStyle name="Normal 2 8 4 2" xfId="411"/>
    <cellStyle name="Normal 2 8 5" xfId="412"/>
    <cellStyle name="Normal 2 8 5 2" xfId="413"/>
    <cellStyle name="Normal 2 8 6" xfId="414"/>
    <cellStyle name="Normal 2 8 6 2" xfId="415"/>
    <cellStyle name="Normal 2 8 7" xfId="416"/>
    <cellStyle name="Normal 2 8 7 2" xfId="417"/>
    <cellStyle name="Normal 2 8 8" xfId="418"/>
    <cellStyle name="Normal 2 8 8 2" xfId="419"/>
    <cellStyle name="Normal 2 8 9" xfId="420"/>
    <cellStyle name="Normal 2 9" xfId="421"/>
    <cellStyle name="Normal 2 9 10" xfId="422"/>
    <cellStyle name="Normal 2 9 11" xfId="423"/>
    <cellStyle name="Normal 2 9 2" xfId="424"/>
    <cellStyle name="Normal 2 9 2 2" xfId="425"/>
    <cellStyle name="Normal 2 9 3" xfId="426"/>
    <cellStyle name="Normal 2 9 3 2" xfId="427"/>
    <cellStyle name="Normal 2 9 4" xfId="428"/>
    <cellStyle name="Normal 2 9 4 2" xfId="429"/>
    <cellStyle name="Normal 2 9 5" xfId="430"/>
    <cellStyle name="Normal 2 9 5 2" xfId="431"/>
    <cellStyle name="Normal 2 9 6" xfId="432"/>
    <cellStyle name="Normal 2 9 6 2" xfId="433"/>
    <cellStyle name="Normal 2 9 7" xfId="434"/>
    <cellStyle name="Normal 2 9 7 2" xfId="435"/>
    <cellStyle name="Normal 2 9 8" xfId="436"/>
    <cellStyle name="Normal 2 9 8 2" xfId="437"/>
    <cellStyle name="Normal 2 9 9" xfId="438"/>
    <cellStyle name="Normal 20" xfId="439"/>
    <cellStyle name="Normal 20 2" xfId="440"/>
    <cellStyle name="Normal 20 3" xfId="441"/>
    <cellStyle name="Normal 21" xfId="442"/>
    <cellStyle name="Normal 21 2" xfId="443"/>
    <cellStyle name="Normal 21 2 2" xfId="444"/>
    <cellStyle name="Normal 21 2 3" xfId="445"/>
    <cellStyle name="Normal 21 3" xfId="446"/>
    <cellStyle name="Normal 21 3 2" xfId="447"/>
    <cellStyle name="Normal 21 4" xfId="448"/>
    <cellStyle name="Normal 21 5" xfId="449"/>
    <cellStyle name="Normal 22" xfId="450"/>
    <cellStyle name="Normal 22 2" xfId="451"/>
    <cellStyle name="Normal 22 3" xfId="452"/>
    <cellStyle name="Normal 23" xfId="453"/>
    <cellStyle name="Normal 23 2" xfId="454"/>
    <cellStyle name="Normal 23 3" xfId="455"/>
    <cellStyle name="Normal 24" xfId="456"/>
    <cellStyle name="Normal 24 2" xfId="457"/>
    <cellStyle name="Normal 24 3" xfId="458"/>
    <cellStyle name="Normal 25" xfId="459"/>
    <cellStyle name="Normal 25 2" xfId="460"/>
    <cellStyle name="Normal 25 3" xfId="461"/>
    <cellStyle name="Normal 26" xfId="462"/>
    <cellStyle name="Normal 27" xfId="463"/>
    <cellStyle name="Normal 27 2" xfId="464"/>
    <cellStyle name="Normal 28" xfId="465"/>
    <cellStyle name="Normal 28 2" xfId="466"/>
    <cellStyle name="Normal 3" xfId="467"/>
    <cellStyle name="Normal 3 10" xfId="468"/>
    <cellStyle name="Normal 3 10 2" xfId="469"/>
    <cellStyle name="Normal 3 11" xfId="470"/>
    <cellStyle name="Normal 3 12" xfId="471"/>
    <cellStyle name="Normal 3 13" xfId="472"/>
    <cellStyle name="Normal 3 14" xfId="473"/>
    <cellStyle name="Normal 3 15" xfId="474"/>
    <cellStyle name="Normal 3 2" xfId="475"/>
    <cellStyle name="Normal 3 2 2" xfId="476"/>
    <cellStyle name="Normal 3 2 2 2" xfId="477"/>
    <cellStyle name="Normal 3 2 2 3" xfId="478"/>
    <cellStyle name="Normal 3 2 3" xfId="479"/>
    <cellStyle name="Normal 3 2 4" xfId="480"/>
    <cellStyle name="Normal 3 2 5" xfId="481"/>
    <cellStyle name="Normal 3 3" xfId="482"/>
    <cellStyle name="Normal 3 3 2" xfId="483"/>
    <cellStyle name="Normal 3 3 2 2" xfId="484"/>
    <cellStyle name="Normal 3 3 2 3" xfId="485"/>
    <cellStyle name="Normal 3 3 3" xfId="486"/>
    <cellStyle name="Normal 3 3 4" xfId="487"/>
    <cellStyle name="Normal 3 4" xfId="488"/>
    <cellStyle name="Normal 3 5" xfId="489"/>
    <cellStyle name="Normal 3 6" xfId="490"/>
    <cellStyle name="Normal 3 7" xfId="491"/>
    <cellStyle name="Normal 3 7 2" xfId="492"/>
    <cellStyle name="Normal 3 7 3" xfId="493"/>
    <cellStyle name="Normal 3 8" xfId="494"/>
    <cellStyle name="Normal 3 8 2" xfId="495"/>
    <cellStyle name="Normal 3 8 3" xfId="496"/>
    <cellStyle name="Normal 3 9" xfId="497"/>
    <cellStyle name="Normal 3 9 2" xfId="498"/>
    <cellStyle name="Normal 3 9 3" xfId="499"/>
    <cellStyle name="Normal 4" xfId="500"/>
    <cellStyle name="Normal 4 10" xfId="501"/>
    <cellStyle name="Normal 4 11" xfId="502"/>
    <cellStyle name="Normal 4 12" xfId="503"/>
    <cellStyle name="Normal 4 13" xfId="504"/>
    <cellStyle name="Normal 4 2" xfId="505"/>
    <cellStyle name="Normal 4 2 2" xfId="506"/>
    <cellStyle name="Normal 4 2 2 2" xfId="507"/>
    <cellStyle name="Normal 4 2 2 3" xfId="508"/>
    <cellStyle name="Normal 4 2 2 3 2" xfId="509"/>
    <cellStyle name="Normal 4 2 2 3 3" xfId="510"/>
    <cellStyle name="Normal 4 2 3" xfId="511"/>
    <cellStyle name="Normal 4 2 4" xfId="512"/>
    <cellStyle name="Normal 4 2 5" xfId="513"/>
    <cellStyle name="Normal 4 3" xfId="514"/>
    <cellStyle name="Normal 4 3 2" xfId="515"/>
    <cellStyle name="Normal 4 3 3" xfId="516"/>
    <cellStyle name="Normal 4 4" xfId="517"/>
    <cellStyle name="Normal 4 5" xfId="518"/>
    <cellStyle name="Normal 4 5 2" xfId="519"/>
    <cellStyle name="Normal 4 5 3" xfId="520"/>
    <cellStyle name="Normal 4 6" xfId="521"/>
    <cellStyle name="Normal 4 6 2" xfId="522"/>
    <cellStyle name="Normal 4 6 3" xfId="523"/>
    <cellStyle name="Normal 4 7" xfId="524"/>
    <cellStyle name="Normal 4 8" xfId="525"/>
    <cellStyle name="Normal 4 9" xfId="526"/>
    <cellStyle name="Normal 5" xfId="527"/>
    <cellStyle name="Normal 5 2" xfId="528"/>
    <cellStyle name="Normal 5 3" xfId="529"/>
    <cellStyle name="Normal 5 3 2" xfId="530"/>
    <cellStyle name="Normal 5 3 3" xfId="531"/>
    <cellStyle name="Normal 5 4" xfId="532"/>
    <cellStyle name="Normal 5 5" xfId="533"/>
    <cellStyle name="Normal 5 5 2" xfId="534"/>
    <cellStyle name="Normal 5 5 3" xfId="535"/>
    <cellStyle name="Normal 5 6" xfId="536"/>
    <cellStyle name="Normal 5 6 2" xfId="537"/>
    <cellStyle name="Normal 6" xfId="538"/>
    <cellStyle name="Normal 6 2" xfId="539"/>
    <cellStyle name="Normal 6 3" xfId="540"/>
    <cellStyle name="Normal 6 4" xfId="541"/>
    <cellStyle name="Normal 6 5" xfId="542"/>
    <cellStyle name="Normal 7" xfId="543"/>
    <cellStyle name="Normal 7 2" xfId="544"/>
    <cellStyle name="Normal 7 2 2" xfId="545"/>
    <cellStyle name="Normal 7 2 2 2" xfId="546"/>
    <cellStyle name="Normal 7 2 2 3" xfId="547"/>
    <cellStyle name="Normal 7 2 3" xfId="548"/>
    <cellStyle name="Normal 7 2 4" xfId="549"/>
    <cellStyle name="Normal 7 2 4 2" xfId="550"/>
    <cellStyle name="Normal 7 2 4 3" xfId="551"/>
    <cellStyle name="Normal 7 2 5" xfId="552"/>
    <cellStyle name="Normal 7 3" xfId="553"/>
    <cellStyle name="Normal 7 4" xfId="554"/>
    <cellStyle name="Normal 7 4 2" xfId="555"/>
    <cellStyle name="Normal 7 4 3" xfId="556"/>
    <cellStyle name="Normal 7 5" xfId="557"/>
    <cellStyle name="Normal 7 5 2" xfId="558"/>
    <cellStyle name="Normal 7 5 3" xfId="559"/>
    <cellStyle name="Normal 7 5 4" xfId="560"/>
    <cellStyle name="Normal 7 5 5" xfId="561"/>
    <cellStyle name="Normal 7 6" xfId="562"/>
    <cellStyle name="Normal 7 7" xfId="563"/>
    <cellStyle name="Normal 8" xfId="564"/>
    <cellStyle name="Normal 8 2" xfId="565"/>
    <cellStyle name="Normal 8 3" xfId="566"/>
    <cellStyle name="Normal 9" xfId="567"/>
    <cellStyle name="Normal 9 2" xfId="568"/>
    <cellStyle name="Normal 9 2 2" xfId="569"/>
    <cellStyle name="Normal 9 2 3" xfId="570"/>
    <cellStyle name="Normal 9 3" xfId="571"/>
    <cellStyle name="Normal 9 4" xfId="572"/>
    <cellStyle name="Normal 9 5" xfId="573"/>
    <cellStyle name="Normal 9 5 2" xfId="574"/>
    <cellStyle name="Normal 9 5 3" xfId="575"/>
    <cellStyle name="Normal 9 6" xfId="576"/>
    <cellStyle name="Normal 9 6 2" xfId="577"/>
    <cellStyle name="Normal 9 6 3" xfId="578"/>
    <cellStyle name="Normal_debt" xfId="579"/>
    <cellStyle name="Normal_lpform" xfId="580"/>
    <cellStyle name="Note" xfId="581"/>
    <cellStyle name="Output" xfId="582"/>
    <cellStyle name="Percent" xfId="583"/>
    <cellStyle name="Title" xfId="584"/>
    <cellStyle name="Total" xfId="585"/>
    <cellStyle name="Warning Text" xfId="586"/>
  </cellStyles>
  <dxfs count="1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26"/>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color indexed="26"/>
      </font>
      <fill>
        <patternFill patternType="solid">
          <bgColor indexed="26"/>
        </patternFill>
      </fill>
    </dxf>
    <dxf>
      <font>
        <color rgb="FFFFFFC0"/>
      </font>
      <fill>
        <patternFill patternType="solid">
          <bgColor rgb="FFFFFFC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mailto:megan.schulz@ks.gov" TargetMode="Externa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3"/>
  <sheetViews>
    <sheetView tabSelected="1" zoomScalePageLayoutView="0" workbookViewId="0" topLeftCell="A1">
      <selection activeCell="S16" sqref="S16"/>
    </sheetView>
  </sheetViews>
  <sheetFormatPr defaultColWidth="8.796875" defaultRowHeight="15.75"/>
  <cols>
    <col min="1" max="1" width="68.19921875" style="5" customWidth="1"/>
    <col min="2" max="16384" width="8.796875" style="5" customWidth="1"/>
  </cols>
  <sheetData>
    <row r="1" ht="15.75">
      <c r="A1" s="4" t="s">
        <v>815</v>
      </c>
    </row>
    <row r="3" ht="34.5" customHeight="1">
      <c r="A3" s="685" t="s">
        <v>982</v>
      </c>
    </row>
    <row r="4" ht="15.75">
      <c r="A4" s="6"/>
    </row>
    <row r="5" ht="52.5" customHeight="1">
      <c r="A5" s="7" t="s">
        <v>2</v>
      </c>
    </row>
    <row r="6" ht="15.75">
      <c r="A6" s="7"/>
    </row>
    <row r="7" ht="51.75" customHeight="1">
      <c r="A7" s="7" t="s">
        <v>741</v>
      </c>
    </row>
    <row r="8" ht="15.75">
      <c r="A8" s="7"/>
    </row>
    <row r="9" ht="15.75">
      <c r="A9" s="7" t="s">
        <v>804</v>
      </c>
    </row>
    <row r="12" ht="15.75">
      <c r="A12" s="4" t="s">
        <v>42</v>
      </c>
    </row>
    <row r="14" ht="15.75">
      <c r="A14" s="6" t="s">
        <v>43</v>
      </c>
    </row>
    <row r="17" ht="45" customHeight="1">
      <c r="A17" s="8" t="s">
        <v>265</v>
      </c>
    </row>
    <row r="18" ht="9.75" customHeight="1">
      <c r="A18" s="8"/>
    </row>
    <row r="21" ht="15.75">
      <c r="A21" s="4" t="s">
        <v>258</v>
      </c>
    </row>
    <row r="23" ht="34.5" customHeight="1">
      <c r="A23" s="7" t="s">
        <v>259</v>
      </c>
    </row>
    <row r="24" ht="9.75" customHeight="1">
      <c r="A24" s="7"/>
    </row>
    <row r="25" ht="15.75">
      <c r="A25" s="9" t="s">
        <v>260</v>
      </c>
    </row>
    <row r="26" ht="15.75">
      <c r="A26" s="7"/>
    </row>
    <row r="27" ht="17.25" customHeight="1">
      <c r="A27" s="10" t="s">
        <v>261</v>
      </c>
    </row>
    <row r="28" ht="17.25" customHeight="1">
      <c r="A28" s="11"/>
    </row>
    <row r="29" ht="87.75" customHeight="1">
      <c r="A29" s="12" t="s">
        <v>25</v>
      </c>
    </row>
    <row r="31" ht="15.75">
      <c r="A31" s="13" t="s">
        <v>262</v>
      </c>
    </row>
    <row r="33" ht="20.25" customHeight="1">
      <c r="A33" s="14" t="s">
        <v>44</v>
      </c>
    </row>
    <row r="35" ht="15.75">
      <c r="A35" s="7" t="s">
        <v>263</v>
      </c>
    </row>
    <row r="37" ht="15.75">
      <c r="A37" s="4" t="s">
        <v>264</v>
      </c>
    </row>
    <row r="39" ht="70.5" customHeight="1">
      <c r="A39" s="7" t="s">
        <v>647</v>
      </c>
    </row>
    <row r="40" ht="52.5" customHeight="1">
      <c r="A40" s="15" t="s">
        <v>0</v>
      </c>
    </row>
    <row r="41" ht="36.75" customHeight="1">
      <c r="A41" s="7" t="s">
        <v>20</v>
      </c>
    </row>
    <row r="42" ht="101.25" customHeight="1">
      <c r="A42" s="673" t="s">
        <v>742</v>
      </c>
    </row>
    <row r="43" ht="10.5" customHeight="1">
      <c r="A43" s="7"/>
    </row>
    <row r="44" ht="69" customHeight="1">
      <c r="A44" s="7" t="s">
        <v>648</v>
      </c>
    </row>
    <row r="45" ht="53.25" customHeight="1">
      <c r="A45" s="7" t="s">
        <v>1</v>
      </c>
    </row>
    <row r="46" ht="103.5" customHeight="1">
      <c r="A46" s="7" t="s">
        <v>85</v>
      </c>
    </row>
    <row r="47" ht="12" customHeight="1">
      <c r="A47" s="7"/>
    </row>
    <row r="48" ht="73.5" customHeight="1">
      <c r="A48" s="674" t="s">
        <v>743</v>
      </c>
    </row>
    <row r="49" ht="69.75" customHeight="1">
      <c r="A49" s="333" t="s">
        <v>531</v>
      </c>
    </row>
    <row r="50" ht="60.75" customHeight="1">
      <c r="A50" s="675" t="s">
        <v>744</v>
      </c>
    </row>
    <row r="51" ht="12" customHeight="1">
      <c r="A51" s="7"/>
    </row>
    <row r="52" ht="68.25" customHeight="1">
      <c r="A52" s="7" t="s">
        <v>532</v>
      </c>
    </row>
    <row r="53" ht="50.25" customHeight="1">
      <c r="A53" s="7" t="s">
        <v>783</v>
      </c>
    </row>
    <row r="54" ht="89.25" customHeight="1">
      <c r="A54" s="677" t="s">
        <v>784</v>
      </c>
    </row>
    <row r="55" ht="38.25" customHeight="1">
      <c r="A55" s="676" t="s">
        <v>745</v>
      </c>
    </row>
    <row r="56" ht="91.5" customHeight="1">
      <c r="A56" s="677" t="s">
        <v>785</v>
      </c>
    </row>
    <row r="57" ht="15.75" customHeight="1"/>
    <row r="58" ht="70.5" customHeight="1">
      <c r="A58" s="677" t="s">
        <v>786</v>
      </c>
    </row>
    <row r="59" ht="132" customHeight="1">
      <c r="A59" s="677" t="s">
        <v>787</v>
      </c>
    </row>
    <row r="60" ht="47.25" customHeight="1">
      <c r="A60" s="677" t="s">
        <v>788</v>
      </c>
    </row>
    <row r="61" ht="15.75">
      <c r="A61" s="7"/>
    </row>
    <row r="62" ht="68.25" customHeight="1">
      <c r="A62" s="677" t="s">
        <v>746</v>
      </c>
    </row>
    <row r="63" ht="15.75">
      <c r="A63" s="7"/>
    </row>
    <row r="64" ht="35.25" customHeight="1">
      <c r="A64" s="7" t="s">
        <v>533</v>
      </c>
    </row>
    <row r="65" ht="22.5" customHeight="1">
      <c r="A65" s="7" t="s">
        <v>539</v>
      </c>
    </row>
    <row r="66" ht="81.75" customHeight="1">
      <c r="A66" s="7" t="s">
        <v>540</v>
      </c>
    </row>
    <row r="67" ht="35.25" customHeight="1">
      <c r="A67" s="7" t="s">
        <v>537</v>
      </c>
    </row>
    <row r="68" ht="29.25" customHeight="1">
      <c r="A68" s="7" t="s">
        <v>538</v>
      </c>
    </row>
    <row r="69" ht="15.75">
      <c r="A69" s="7"/>
    </row>
    <row r="70" ht="72.75" customHeight="1">
      <c r="A70" s="7" t="s">
        <v>534</v>
      </c>
    </row>
    <row r="72" s="7" customFormat="1" ht="69.75" customHeight="1">
      <c r="A72" s="7" t="s">
        <v>535</v>
      </c>
    </row>
    <row r="74" ht="141.75" customHeight="1">
      <c r="A74" s="677" t="s">
        <v>747</v>
      </c>
    </row>
    <row r="76" ht="72.75" customHeight="1">
      <c r="A76" s="7" t="s">
        <v>748</v>
      </c>
    </row>
    <row r="77" ht="72.75" customHeight="1">
      <c r="A77" s="677" t="s">
        <v>749</v>
      </c>
    </row>
    <row r="78" ht="86.25" customHeight="1">
      <c r="A78" s="478" t="s">
        <v>750</v>
      </c>
    </row>
    <row r="79" ht="72.75" customHeight="1">
      <c r="A79" s="478" t="s">
        <v>751</v>
      </c>
    </row>
    <row r="80" ht="72.75" customHeight="1">
      <c r="A80" s="478" t="s">
        <v>752</v>
      </c>
    </row>
    <row r="81" ht="78" customHeight="1">
      <c r="A81" s="7" t="s">
        <v>753</v>
      </c>
    </row>
    <row r="82" ht="124.5" customHeight="1">
      <c r="A82" s="7" t="s">
        <v>754</v>
      </c>
    </row>
    <row r="83" ht="75.75" customHeight="1">
      <c r="A83" s="7" t="s">
        <v>755</v>
      </c>
    </row>
    <row r="84" ht="95.25" customHeight="1">
      <c r="A84" s="7" t="s">
        <v>756</v>
      </c>
    </row>
    <row r="85" ht="120.75" customHeight="1">
      <c r="A85" s="7" t="s">
        <v>757</v>
      </c>
    </row>
    <row r="86" ht="102.75" customHeight="1">
      <c r="A86" s="678" t="s">
        <v>758</v>
      </c>
    </row>
    <row r="87" ht="62.25" customHeight="1">
      <c r="A87" s="679" t="s">
        <v>759</v>
      </c>
    </row>
    <row r="88" ht="126.75" customHeight="1">
      <c r="A88" s="7" t="s">
        <v>780</v>
      </c>
    </row>
    <row r="89" ht="87.75" customHeight="1">
      <c r="A89" s="678" t="s">
        <v>760</v>
      </c>
    </row>
    <row r="90" ht="125.25" customHeight="1">
      <c r="A90" s="678" t="s">
        <v>781</v>
      </c>
    </row>
    <row r="91" ht="125.25" customHeight="1">
      <c r="A91" s="7" t="s">
        <v>761</v>
      </c>
    </row>
    <row r="92" ht="137.25" customHeight="1">
      <c r="A92" s="7" t="s">
        <v>762</v>
      </c>
    </row>
    <row r="93" ht="108" customHeight="1">
      <c r="A93" s="311" t="s">
        <v>763</v>
      </c>
    </row>
    <row r="94" ht="12.75" customHeight="1">
      <c r="A94" s="7"/>
    </row>
    <row r="95" ht="141" customHeight="1">
      <c r="A95" s="7" t="s">
        <v>764</v>
      </c>
    </row>
    <row r="96" ht="103.5" customHeight="1">
      <c r="A96" s="678" t="s">
        <v>765</v>
      </c>
    </row>
    <row r="97" ht="56.25" customHeight="1">
      <c r="A97" s="678" t="s">
        <v>766</v>
      </c>
    </row>
    <row r="98" ht="27" customHeight="1">
      <c r="A98" s="7" t="s">
        <v>767</v>
      </c>
    </row>
    <row r="99" ht="9.75" customHeight="1"/>
    <row r="100" ht="53.25" customHeight="1">
      <c r="A100" s="7" t="s">
        <v>768</v>
      </c>
    </row>
    <row r="101" ht="24.75" customHeight="1">
      <c r="A101" s="7" t="s">
        <v>769</v>
      </c>
    </row>
    <row r="102" ht="57" customHeight="1">
      <c r="A102" s="478" t="s">
        <v>770</v>
      </c>
    </row>
    <row r="103" ht="120" customHeight="1">
      <c r="A103" s="478" t="s">
        <v>771</v>
      </c>
    </row>
    <row r="104" ht="134.25" customHeight="1">
      <c r="A104" s="478" t="s">
        <v>772</v>
      </c>
    </row>
    <row r="105" ht="81.75" customHeight="1">
      <c r="A105" s="680" t="s">
        <v>773</v>
      </c>
    </row>
    <row r="106" ht="53.25" customHeight="1">
      <c r="A106" s="7" t="s">
        <v>774</v>
      </c>
    </row>
    <row r="107" ht="53.25" customHeight="1">
      <c r="A107" s="7" t="s">
        <v>775</v>
      </c>
    </row>
    <row r="108" ht="14.25" customHeight="1"/>
    <row r="109" ht="66" customHeight="1">
      <c r="A109" s="7" t="s">
        <v>776</v>
      </c>
    </row>
    <row r="111" ht="51.75" customHeight="1">
      <c r="A111" s="478" t="s">
        <v>777</v>
      </c>
    </row>
    <row r="112" ht="102" customHeight="1">
      <c r="A112" s="478" t="s">
        <v>778</v>
      </c>
    </row>
    <row r="113" ht="100.5" customHeight="1">
      <c r="A113" s="478" t="s">
        <v>779</v>
      </c>
    </row>
  </sheetData>
  <sheetProtection sheet="1"/>
  <printOptions/>
  <pageMargins left="0.5" right="0.5" top="0.5" bottom="0.5" header="0.5" footer="0"/>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zoomScale="85" zoomScaleNormal="85" zoomScalePageLayoutView="0" workbookViewId="0" topLeftCell="A1">
      <selection activeCell="F60" sqref="F60"/>
    </sheetView>
  </sheetViews>
  <sheetFormatPr defaultColWidth="8.796875" defaultRowHeight="15.75"/>
  <cols>
    <col min="1" max="1" width="6.296875" style="5" customWidth="1"/>
    <col min="2" max="2" width="17.796875" style="5" customWidth="1"/>
    <col min="3" max="3" width="16.19921875" style="5" customWidth="1"/>
    <col min="4" max="8" width="13.59765625" style="5" customWidth="1"/>
    <col min="9" max="9" width="6.296875" style="5" customWidth="1"/>
    <col min="10" max="16384" width="8.796875" style="5" customWidth="1"/>
  </cols>
  <sheetData>
    <row r="1" spans="1:9" ht="15.75">
      <c r="A1" s="70"/>
      <c r="B1" s="74">
        <f>inputPrYr!D3</f>
        <v>0</v>
      </c>
      <c r="C1" s="17"/>
      <c r="D1" s="17"/>
      <c r="E1" s="17"/>
      <c r="F1" s="70"/>
      <c r="G1" s="70"/>
      <c r="H1" s="70"/>
      <c r="I1" s="90">
        <f>inputPrYr!D7</f>
        <v>0</v>
      </c>
    </row>
    <row r="2" spans="1:9" ht="15.75">
      <c r="A2" s="70"/>
      <c r="B2" s="74"/>
      <c r="C2" s="17"/>
      <c r="D2" s="17"/>
      <c r="E2" s="17"/>
      <c r="F2" s="91"/>
      <c r="G2" s="91"/>
      <c r="H2" s="91"/>
      <c r="I2" s="91"/>
    </row>
    <row r="3" spans="1:9" ht="15.75">
      <c r="A3" s="70"/>
      <c r="B3" s="74"/>
      <c r="C3" s="17"/>
      <c r="D3" s="17"/>
      <c r="E3" s="17"/>
      <c r="F3" s="91"/>
      <c r="G3" s="91"/>
      <c r="H3" s="91"/>
      <c r="I3" s="91"/>
    </row>
    <row r="4" spans="1:9" ht="15.75">
      <c r="A4" s="70"/>
      <c r="B4" s="74"/>
      <c r="C4" s="17"/>
      <c r="D4" s="17"/>
      <c r="E4" s="17"/>
      <c r="F4" s="91"/>
      <c r="G4" s="91"/>
      <c r="H4" s="91"/>
      <c r="I4" s="91"/>
    </row>
    <row r="5" spans="1:9" ht="15.75">
      <c r="A5" s="70"/>
      <c r="B5" s="17"/>
      <c r="C5" s="17"/>
      <c r="D5" s="17"/>
      <c r="E5" s="17"/>
      <c r="F5" s="17"/>
      <c r="G5" s="17"/>
      <c r="H5" s="17"/>
      <c r="I5" s="17"/>
    </row>
    <row r="6" spans="1:9" ht="15.75">
      <c r="A6" s="933" t="s">
        <v>820</v>
      </c>
      <c r="B6" s="933"/>
      <c r="C6" s="933"/>
      <c r="D6" s="933"/>
      <c r="E6" s="933"/>
      <c r="F6" s="933"/>
      <c r="G6" s="933"/>
      <c r="H6" s="933"/>
      <c r="I6" s="934"/>
    </row>
    <row r="7" spans="1:9" ht="15.75">
      <c r="A7" s="70"/>
      <c r="B7" s="92"/>
      <c r="C7" s="93"/>
      <c r="D7" s="93"/>
      <c r="E7" s="93"/>
      <c r="F7" s="93"/>
      <c r="G7" s="93"/>
      <c r="H7" s="93"/>
      <c r="I7" s="91"/>
    </row>
    <row r="8" spans="1:9" ht="15.75">
      <c r="A8" s="70"/>
      <c r="B8" s="17"/>
      <c r="C8" s="94"/>
      <c r="D8" s="95"/>
      <c r="E8" s="18"/>
      <c r="F8" s="17"/>
      <c r="G8" s="17"/>
      <c r="H8" s="17"/>
      <c r="I8" s="91"/>
    </row>
    <row r="9" spans="1:9" ht="21" customHeight="1">
      <c r="A9" s="70"/>
      <c r="B9" s="97" t="s">
        <v>714</v>
      </c>
      <c r="C9" s="890" t="str">
        <f>CONCATENATE("Tax Levy Amount in ",I1-1," Budget")</f>
        <v>Tax Levy Amount in -1 Budget</v>
      </c>
      <c r="D9" s="895" t="str">
        <f>CONCATENATE("Allocation for Year ",I1,"")</f>
        <v>Allocation for Year 0</v>
      </c>
      <c r="E9" s="930"/>
      <c r="F9" s="930"/>
      <c r="G9" s="930"/>
      <c r="H9" s="931"/>
      <c r="I9" s="91"/>
    </row>
    <row r="10" spans="1:9" ht="15.75">
      <c r="A10" s="70"/>
      <c r="B10" s="32" t="str">
        <f>CONCATENATE("for ",I1-1,"")</f>
        <v>for -1</v>
      </c>
      <c r="C10" s="932"/>
      <c r="D10" s="32" t="s">
        <v>184</v>
      </c>
      <c r="E10" s="32" t="s">
        <v>185</v>
      </c>
      <c r="F10" s="32" t="s">
        <v>218</v>
      </c>
      <c r="G10" s="760" t="s">
        <v>821</v>
      </c>
      <c r="H10" s="760" t="s">
        <v>822</v>
      </c>
      <c r="I10" s="91"/>
    </row>
    <row r="11" spans="1:9" ht="15.75">
      <c r="A11" s="70"/>
      <c r="B11" s="53" t="str">
        <f>inputPrYr!B24</f>
        <v>General</v>
      </c>
      <c r="C11" s="53" t="str">
        <f>IF(inputPrYr!E24&gt;0,inputPrYr!E24,"  ")</f>
        <v>  </v>
      </c>
      <c r="D11" s="53">
        <f>IF(inputPrYr!E24=0,0,D25-SUM(D12:D22))</f>
        <v>0</v>
      </c>
      <c r="E11" s="53">
        <f>IF(inputPrYr!E24=0,0,E27-SUM(E12:E22))</f>
        <v>0</v>
      </c>
      <c r="F11" s="53">
        <f>IF(inputPrYr!E24=0,0,F29-SUM(F12:F22))</f>
        <v>0</v>
      </c>
      <c r="G11" s="53">
        <f>IF(inputPrYr!E24=0,0,G31-SUM(G12:G22))</f>
        <v>0</v>
      </c>
      <c r="H11" s="53">
        <f>IF(inputPrYr!E24=0,0,H33-SUM(H12:H22))</f>
        <v>0</v>
      </c>
      <c r="I11" s="91"/>
    </row>
    <row r="12" spans="1:9" ht="15.75">
      <c r="A12" s="70"/>
      <c r="B12" s="53" t="str">
        <f>inputPrYr!B25</f>
        <v>Debt Service</v>
      </c>
      <c r="C12" s="53" t="str">
        <f>IF(inputPrYr!E25&gt;0,inputPrYr!E25,"  ")</f>
        <v>  </v>
      </c>
      <c r="D12" s="53">
        <f>IF(inputPrYr!E25=0,0,ROUND(C12*$D$35,0))</f>
        <v>0</v>
      </c>
      <c r="E12" s="53">
        <f>IF(inputPrYr!E25=0,0,ROUND(C12*$E$37,0))</f>
        <v>0</v>
      </c>
      <c r="F12" s="53">
        <f>IF(inputPrYr!E25=0,0,ROUND($C12*$F$39,0))</f>
        <v>0</v>
      </c>
      <c r="G12" s="53">
        <f>IF(inputPrYr!E25=0,0,ROUND($C12*$G$41,0))</f>
        <v>0</v>
      </c>
      <c r="H12" s="53">
        <f>IF(inputPrYr!E25=0,0,ROUND($C12*$H$43,0))</f>
        <v>0</v>
      </c>
      <c r="I12" s="91"/>
    </row>
    <row r="13" spans="1:9" ht="15.75">
      <c r="A13" s="70"/>
      <c r="B13" s="53" t="str">
        <f>inputPrYr!B26</f>
        <v>Library</v>
      </c>
      <c r="C13" s="53" t="str">
        <f>IF(inputPrYr!E26&gt;0,inputPrYr!E26,"  ")</f>
        <v>  </v>
      </c>
      <c r="D13" s="53">
        <f>IF(inputPrYr!E26=0,0,ROUND(C13*$D$35,0))</f>
        <v>0</v>
      </c>
      <c r="E13" s="53">
        <f>IF(inputPrYr!E26=0,0,ROUND(C13*$E$37,0))</f>
        <v>0</v>
      </c>
      <c r="F13" s="53">
        <f>IF(inputPrYr!E26=0,0,ROUND($C13*$F$39,0))</f>
        <v>0</v>
      </c>
      <c r="G13" s="53">
        <f>IF(inputPrYr!E26=0,0,ROUND($C13*$G$41,0))</f>
        <v>0</v>
      </c>
      <c r="H13" s="53">
        <f>IF(inputPrYr!E26=0,0,ROUND($C13*$H$43,0))</f>
        <v>0</v>
      </c>
      <c r="I13" s="91"/>
    </row>
    <row r="14" spans="1:9" ht="15.75">
      <c r="A14" s="70"/>
      <c r="B14" s="53" t="str">
        <f>IF(inputPrYr!$B27&gt;"  ",inputPrYr!$B27,"  ")</f>
        <v>Road</v>
      </c>
      <c r="C14" s="53" t="str">
        <f>IF(inputPrYr!E27&gt;0,inputPrYr!E27,"  ")</f>
        <v>  </v>
      </c>
      <c r="D14" s="53">
        <f>IF(inputPrYr!E27=0,0,ROUND(C14*$D$35,0))</f>
        <v>0</v>
      </c>
      <c r="E14" s="53">
        <f>IF(inputPrYr!E27=0,0,ROUND(C14*$E$37,0))</f>
        <v>0</v>
      </c>
      <c r="F14" s="53">
        <f>IF(inputPrYr!E27=0,0,ROUND($C14*$F$39,0))</f>
        <v>0</v>
      </c>
      <c r="G14" s="53">
        <f>IF(inputPrYr!E27=0,0,ROUND($C14*$G$41,0))</f>
        <v>0</v>
      </c>
      <c r="H14" s="53">
        <f>IF(inputPrYr!E27=0,0,ROUND($C14*$H$43,0))</f>
        <v>0</v>
      </c>
      <c r="I14" s="91"/>
    </row>
    <row r="15" spans="1:9" ht="15.75">
      <c r="A15" s="70"/>
      <c r="B15" s="53" t="str">
        <f>IF(inputPrYr!$B28&gt;"  ",inputPrYr!$B28,"  ")</f>
        <v>Special Road</v>
      </c>
      <c r="C15" s="53" t="str">
        <f>IF(inputPrYr!E28&gt;0,inputPrYr!E28,"  ")</f>
        <v>  </v>
      </c>
      <c r="D15" s="53">
        <f>IF(inputPrYr!E28=0,0,ROUND(C15*$D$35,0))</f>
        <v>0</v>
      </c>
      <c r="E15" s="53">
        <f>IF(inputPrYr!E28=0,0,ROUND(C15*$E$37,0))</f>
        <v>0</v>
      </c>
      <c r="F15" s="53">
        <f>IF(inputPrYr!E28=0,0,ROUND($C15*$F$39,0))</f>
        <v>0</v>
      </c>
      <c r="G15" s="53">
        <f>IF(inputPrYr!E28=0,0,ROUND($C15*$G$41,0))</f>
        <v>0</v>
      </c>
      <c r="H15" s="53">
        <f>IF(inputPrYr!E28=0,0,ROUND($C15*$H$43,0))</f>
        <v>0</v>
      </c>
      <c r="I15" s="91"/>
    </row>
    <row r="16" spans="1:11" ht="15.75">
      <c r="A16" s="70"/>
      <c r="B16" s="53" t="str">
        <f>IF(inputPrYr!$B29&gt;"  ",inputPrYr!$B29,"  ")</f>
        <v>Noxious Weed</v>
      </c>
      <c r="C16" s="53" t="str">
        <f>IF(inputPrYr!E29&gt;0,inputPrYr!E29,"  ")</f>
        <v>  </v>
      </c>
      <c r="D16" s="53">
        <f>IF(inputPrYr!E29=0,0,ROUND(C16*$D$35,0))</f>
        <v>0</v>
      </c>
      <c r="E16" s="53">
        <f>IF(inputPrYr!E29=0,0,ROUND(C16*$E$37,0))</f>
        <v>0</v>
      </c>
      <c r="F16" s="53">
        <f>IF(inputPrYr!E29=0,0,ROUND($C16*$F$39,0))</f>
        <v>0</v>
      </c>
      <c r="G16" s="53">
        <f>IF(inputPrYr!E29=0,0,ROUND($C16*$G$41,0))</f>
        <v>0</v>
      </c>
      <c r="H16" s="53">
        <f>IF(inputPrYr!E29=0,0,ROUND($C16*$H$43,0))</f>
        <v>0</v>
      </c>
      <c r="I16" s="91"/>
      <c r="K16" s="100"/>
    </row>
    <row r="17" spans="1:11" ht="15.75">
      <c r="A17" s="70"/>
      <c r="B17" s="53" t="str">
        <f>IF(inputPrYr!$B30&gt;"  ",inputPrYr!$B30,"  ")</f>
        <v>  </v>
      </c>
      <c r="C17" s="53" t="str">
        <f>IF(inputPrYr!E30&gt;0,inputPrYr!E30,"  ")</f>
        <v>  </v>
      </c>
      <c r="D17" s="53">
        <f>IF(inputPrYr!E30=0,0,ROUND(C17*$D$35,0))</f>
        <v>0</v>
      </c>
      <c r="E17" s="53">
        <f>IF(inputPrYr!E30=0,0,ROUND(C17*$E$37,0))</f>
        <v>0</v>
      </c>
      <c r="F17" s="53">
        <f>IF(inputPrYr!E30=0,0,ROUND($C17*$F$39,0))</f>
        <v>0</v>
      </c>
      <c r="G17" s="53">
        <f>IF(inputPrYr!E30=0,0,ROUND($C17*$G$41,0))</f>
        <v>0</v>
      </c>
      <c r="H17" s="53">
        <f>IF(inputPrYr!E30=0,0,ROUND($C17*$H$43,0))</f>
        <v>0</v>
      </c>
      <c r="I17" s="91"/>
      <c r="K17" s="100"/>
    </row>
    <row r="18" spans="1:9" ht="15.75">
      <c r="A18" s="70"/>
      <c r="B18" s="53" t="str">
        <f>IF(inputPrYr!$B31&gt;"  ",inputPrYr!$B31,"  ")</f>
        <v>  </v>
      </c>
      <c r="C18" s="53" t="str">
        <f>IF(inputPrYr!E31&gt;0,inputPrYr!E31,"  ")</f>
        <v>  </v>
      </c>
      <c r="D18" s="53">
        <f>IF(inputPrYr!E31=0,0,ROUND(C18*$D$35,0))</f>
        <v>0</v>
      </c>
      <c r="E18" s="53">
        <f>IF(inputPrYr!E31=0,0,ROUND(C18*$E$37,0))</f>
        <v>0</v>
      </c>
      <c r="F18" s="53">
        <f>IF(inputPrYr!E31=0,0,ROUND($C18*$F$39,0))</f>
        <v>0</v>
      </c>
      <c r="G18" s="53">
        <f>IF(inputPrYr!E31=0,0,ROUND($C18*$G$41,0))</f>
        <v>0</v>
      </c>
      <c r="H18" s="53">
        <f>IF(inputPrYr!E31=0,0,ROUND($C18*$H$43,0))</f>
        <v>0</v>
      </c>
      <c r="I18" s="91"/>
    </row>
    <row r="19" spans="1:9" ht="15.75">
      <c r="A19" s="70"/>
      <c r="B19" s="53" t="str">
        <f>IF(inputPrYr!$B32&gt;"  ",inputPrYr!$B32,"  ")</f>
        <v>  </v>
      </c>
      <c r="C19" s="53" t="str">
        <f>IF(inputPrYr!E32&gt;0,inputPrYr!E32,"  ")</f>
        <v>  </v>
      </c>
      <c r="D19" s="53">
        <f>IF(inputPrYr!E32=0,0,ROUND(C19*$D$35,0))</f>
        <v>0</v>
      </c>
      <c r="E19" s="53">
        <f>IF(inputPrYr!E32=0,0,ROUND(C19*$E$37,0))</f>
        <v>0</v>
      </c>
      <c r="F19" s="53">
        <f>IF(inputPrYr!E32=0,0,ROUND($C19*$F$39,0))</f>
        <v>0</v>
      </c>
      <c r="G19" s="53">
        <f>IF(inputPrYr!E32=0,0,ROUND($C19*$G$41,0))</f>
        <v>0</v>
      </c>
      <c r="H19" s="53">
        <f>IF(inputPrYr!E32=0,0,ROUND($C19*$H$43,0))</f>
        <v>0</v>
      </c>
      <c r="I19" s="91"/>
    </row>
    <row r="20" spans="1:9" ht="15.75">
      <c r="A20" s="70"/>
      <c r="B20" s="53" t="str">
        <f>IF(inputPrYr!$B33&gt;"  ",inputPrYr!$B33,"  ")</f>
        <v>  </v>
      </c>
      <c r="C20" s="53" t="str">
        <f>IF(inputPrYr!E33&gt;0,inputPrYr!E33,"  ")</f>
        <v>  </v>
      </c>
      <c r="D20" s="53">
        <f>IF(inputPrYr!E33=0,0,ROUND(C20*$D$35,0))</f>
        <v>0</v>
      </c>
      <c r="E20" s="53">
        <f>IF(inputPrYr!E33=0,0,ROUND(C20*$E$37,0))</f>
        <v>0</v>
      </c>
      <c r="F20" s="53">
        <f>IF(inputPrYr!E33=0,0,ROUND($C20*$F$39,0))</f>
        <v>0</v>
      </c>
      <c r="G20" s="53">
        <f>IF(inputPrYr!E33=0,0,ROUND($C20*$G$41,0))</f>
        <v>0</v>
      </c>
      <c r="H20" s="53">
        <f>IF(inputPrYr!E33=0,0,ROUND($C20*$H$43,0))</f>
        <v>0</v>
      </c>
      <c r="I20" s="91"/>
    </row>
    <row r="21" spans="1:9" ht="15.75">
      <c r="A21" s="70"/>
      <c r="B21" s="53" t="str">
        <f>IF(inputPrYr!$B34&gt;"  ",inputPrYr!$B34,"  ")</f>
        <v>  </v>
      </c>
      <c r="C21" s="53" t="str">
        <f>IF(inputPrYr!E34&gt;0,inputPrYr!E34,"  ")</f>
        <v>  </v>
      </c>
      <c r="D21" s="53">
        <f>IF(inputPrYr!E34=0,0,ROUND(C21*$D$35,0))</f>
        <v>0</v>
      </c>
      <c r="E21" s="53">
        <f>IF(inputPrYr!E34=0,0,ROUND(C21*$E$37,0))</f>
        <v>0</v>
      </c>
      <c r="F21" s="53">
        <f>IF(inputPrYr!E34=0,0,ROUND($C21*$F$39,0))</f>
        <v>0</v>
      </c>
      <c r="G21" s="53">
        <f>IF(inputPrYr!E34=0,0,ROUND($C21*$G$41,0))</f>
        <v>0</v>
      </c>
      <c r="H21" s="53">
        <f>IF(inputPrYr!E34=0,0,ROUND($C21*$H$43,0))</f>
        <v>0</v>
      </c>
      <c r="I21" s="91"/>
    </row>
    <row r="22" spans="1:9" ht="15.75">
      <c r="A22" s="70"/>
      <c r="B22" s="53" t="str">
        <f>IF(inputPrYr!$B35&gt;"  ",inputPrYr!$B35,"  ")</f>
        <v>  </v>
      </c>
      <c r="C22" s="53" t="str">
        <f>IF(inputPrYr!E35&gt;0,inputPrYr!E35,"  ")</f>
        <v>  </v>
      </c>
      <c r="D22" s="53">
        <f>IF(inputPrYr!E35=0,0,ROUND(C22*$D$35,0))</f>
        <v>0</v>
      </c>
      <c r="E22" s="53">
        <f>IF(inputPrYr!E35=0,0,ROUND(C22*$E$37,0))</f>
        <v>0</v>
      </c>
      <c r="F22" s="53">
        <f>IF(inputPrYr!E35=0,0,ROUND($C22*$F$39,0))</f>
        <v>0</v>
      </c>
      <c r="G22" s="53">
        <f>IF(inputPrYr!E35=0,0,ROUND($C22*$G$41,0))</f>
        <v>0</v>
      </c>
      <c r="H22" s="53">
        <f>IF(inputPrYr!E35=0,0,ROUND($C22*$H$43,0))</f>
        <v>0</v>
      </c>
      <c r="I22" s="91"/>
    </row>
    <row r="23" spans="1:9" ht="16.5" thickBot="1">
      <c r="A23" s="70"/>
      <c r="B23" s="43" t="s">
        <v>92</v>
      </c>
      <c r="C23" s="101">
        <f aca="true" t="shared" si="0" ref="C23:H23">SUM(C11:C22)</f>
        <v>0</v>
      </c>
      <c r="D23" s="102">
        <f t="shared" si="0"/>
        <v>0</v>
      </c>
      <c r="E23" s="102">
        <f t="shared" si="0"/>
        <v>0</v>
      </c>
      <c r="F23" s="102">
        <f t="shared" si="0"/>
        <v>0</v>
      </c>
      <c r="G23" s="102">
        <f t="shared" si="0"/>
        <v>0</v>
      </c>
      <c r="H23" s="102">
        <f t="shared" si="0"/>
        <v>0</v>
      </c>
      <c r="I23" s="91"/>
    </row>
    <row r="24" spans="1:9" ht="16.5" thickTop="1">
      <c r="A24" s="70"/>
      <c r="B24" s="17"/>
      <c r="C24" s="17"/>
      <c r="D24" s="17"/>
      <c r="E24" s="17"/>
      <c r="F24" s="17"/>
      <c r="G24" s="17"/>
      <c r="H24" s="17"/>
      <c r="I24" s="17"/>
    </row>
    <row r="25" spans="1:9" ht="15.75">
      <c r="A25" s="70"/>
      <c r="B25" s="505" t="s">
        <v>823</v>
      </c>
      <c r="C25" s="103"/>
      <c r="D25" s="104">
        <f>inputOth!E49</f>
        <v>0</v>
      </c>
      <c r="E25" s="17"/>
      <c r="F25" s="17"/>
      <c r="G25" s="17"/>
      <c r="H25" s="17"/>
      <c r="I25" s="17"/>
    </row>
    <row r="26" spans="1:9" ht="15.75">
      <c r="A26" s="70"/>
      <c r="B26" s="761"/>
      <c r="C26" s="17"/>
      <c r="D26" s="17"/>
      <c r="E26" s="17"/>
      <c r="F26" s="17"/>
      <c r="G26" s="17"/>
      <c r="H26" s="17"/>
      <c r="I26" s="17"/>
    </row>
    <row r="27" spans="1:9" ht="15.75">
      <c r="A27" s="70"/>
      <c r="B27" s="505" t="s">
        <v>824</v>
      </c>
      <c r="C27" s="17"/>
      <c r="D27" s="17"/>
      <c r="E27" s="104">
        <f>inputOth!E50</f>
        <v>0</v>
      </c>
      <c r="F27" s="17"/>
      <c r="G27" s="17"/>
      <c r="H27" s="17"/>
      <c r="I27" s="17"/>
    </row>
    <row r="28" spans="1:9" ht="15.75">
      <c r="A28" s="70"/>
      <c r="B28" s="761"/>
      <c r="C28" s="17"/>
      <c r="D28" s="17"/>
      <c r="E28" s="17"/>
      <c r="F28" s="17"/>
      <c r="G28" s="17"/>
      <c r="H28" s="17"/>
      <c r="I28" s="17"/>
    </row>
    <row r="29" spans="1:9" ht="15.75">
      <c r="A29" s="70"/>
      <c r="B29" s="505" t="s">
        <v>825</v>
      </c>
      <c r="C29" s="17"/>
      <c r="D29" s="17"/>
      <c r="E29" s="17"/>
      <c r="F29" s="104">
        <f>inputOth!E51</f>
        <v>0</v>
      </c>
      <c r="G29" s="105"/>
      <c r="H29" s="105"/>
      <c r="I29" s="105"/>
    </row>
    <row r="30" spans="1:9" ht="15.75">
      <c r="A30" s="70"/>
      <c r="B30" s="761"/>
      <c r="C30" s="17"/>
      <c r="D30" s="17"/>
      <c r="E30" s="17"/>
      <c r="F30" s="105"/>
      <c r="G30" s="105"/>
      <c r="H30" s="105"/>
      <c r="I30" s="105"/>
    </row>
    <row r="31" spans="1:9" ht="15.75">
      <c r="A31" s="70"/>
      <c r="B31" s="761" t="s">
        <v>826</v>
      </c>
      <c r="C31" s="17"/>
      <c r="D31" s="17"/>
      <c r="E31" s="17"/>
      <c r="F31" s="105"/>
      <c r="G31" s="104">
        <f>inputOth!E52</f>
        <v>0</v>
      </c>
      <c r="H31" s="105"/>
      <c r="I31" s="105"/>
    </row>
    <row r="32" spans="1:9" ht="15.75">
      <c r="A32" s="70"/>
      <c r="B32" s="761"/>
      <c r="C32" s="17"/>
      <c r="D32" s="17"/>
      <c r="E32" s="17"/>
      <c r="F32" s="105"/>
      <c r="G32" s="105"/>
      <c r="H32" s="105"/>
      <c r="I32" s="105"/>
    </row>
    <row r="33" spans="1:9" ht="15.75">
      <c r="A33" s="70"/>
      <c r="B33" s="761" t="s">
        <v>827</v>
      </c>
      <c r="C33" s="17"/>
      <c r="D33" s="17"/>
      <c r="E33" s="17"/>
      <c r="F33" s="105"/>
      <c r="G33" s="105"/>
      <c r="H33" s="104">
        <f>inputOth!E53</f>
        <v>0</v>
      </c>
      <c r="I33" s="105"/>
    </row>
    <row r="34" spans="1:9" ht="15.75">
      <c r="A34" s="70"/>
      <c r="B34" s="17"/>
      <c r="C34" s="759"/>
      <c r="D34" s="759"/>
      <c r="E34" s="759"/>
      <c r="F34" s="759"/>
      <c r="G34" s="759"/>
      <c r="H34" s="759"/>
      <c r="I34" s="17"/>
    </row>
    <row r="35" spans="1:9" ht="15.75">
      <c r="A35" s="70"/>
      <c r="B35" s="25"/>
      <c r="C35" s="762" t="s">
        <v>828</v>
      </c>
      <c r="D35" s="758">
        <f>IF(C23=0,0,D25/C23)</f>
        <v>0</v>
      </c>
      <c r="E35" s="759"/>
      <c r="F35" s="759"/>
      <c r="G35" s="759"/>
      <c r="H35" s="759"/>
      <c r="I35" s="17"/>
    </row>
    <row r="36" spans="1:9" ht="15.75">
      <c r="A36" s="70"/>
      <c r="B36" s="17"/>
      <c r="C36" s="757"/>
      <c r="D36" s="759"/>
      <c r="E36" s="759"/>
      <c r="F36" s="759"/>
      <c r="G36" s="759"/>
      <c r="H36" s="759"/>
      <c r="I36" s="17"/>
    </row>
    <row r="37" spans="1:9" ht="15.75">
      <c r="A37" s="70"/>
      <c r="B37" s="25"/>
      <c r="C37" s="759"/>
      <c r="D37" s="763" t="s">
        <v>829</v>
      </c>
      <c r="E37" s="756">
        <f>IF(C23=0,0,E27/C23)</f>
        <v>0</v>
      </c>
      <c r="F37" s="759"/>
      <c r="G37" s="759"/>
      <c r="H37" s="759"/>
      <c r="I37" s="17"/>
    </row>
    <row r="38" spans="1:9" ht="15.75">
      <c r="A38" s="70"/>
      <c r="B38" s="17"/>
      <c r="C38" s="759"/>
      <c r="D38" s="759"/>
      <c r="E38" s="759"/>
      <c r="F38" s="759"/>
      <c r="G38" s="759"/>
      <c r="H38" s="759"/>
      <c r="I38" s="17"/>
    </row>
    <row r="39" spans="1:9" ht="15.75">
      <c r="A39" s="70"/>
      <c r="B39" s="25"/>
      <c r="C39" s="759"/>
      <c r="D39" s="759"/>
      <c r="E39" s="764" t="s">
        <v>830</v>
      </c>
      <c r="F39" s="758">
        <f>IF(C23=0,0,F29/C23)</f>
        <v>0</v>
      </c>
      <c r="G39" s="755"/>
      <c r="H39" s="755"/>
      <c r="I39" s="106"/>
    </row>
    <row r="40" spans="1:9" ht="15.75">
      <c r="A40" s="70"/>
      <c r="B40" s="25"/>
      <c r="C40" s="759"/>
      <c r="D40" s="759"/>
      <c r="E40" s="759"/>
      <c r="F40" s="755"/>
      <c r="G40" s="755"/>
      <c r="H40" s="755"/>
      <c r="I40" s="106"/>
    </row>
    <row r="41" spans="1:9" ht="15.75">
      <c r="A41" s="70"/>
      <c r="B41" s="25"/>
      <c r="C41" s="759"/>
      <c r="D41" s="759"/>
      <c r="E41" s="759"/>
      <c r="F41" s="765" t="s">
        <v>831</v>
      </c>
      <c r="G41" s="758">
        <f>IF(C23=0,0,G31/C23)</f>
        <v>0</v>
      </c>
      <c r="H41" s="755"/>
      <c r="I41" s="106"/>
    </row>
    <row r="42" spans="1:9" ht="15.75">
      <c r="A42" s="70"/>
      <c r="B42" s="25"/>
      <c r="C42" s="759"/>
      <c r="D42" s="759"/>
      <c r="E42" s="759"/>
      <c r="F42" s="755"/>
      <c r="G42" s="755"/>
      <c r="H42" s="755"/>
      <c r="I42" s="106"/>
    </row>
    <row r="43" spans="1:9" ht="15.75">
      <c r="A43" s="70"/>
      <c r="B43" s="25"/>
      <c r="C43" s="759"/>
      <c r="D43" s="759"/>
      <c r="E43" s="759"/>
      <c r="F43" s="755"/>
      <c r="G43" s="766" t="s">
        <v>832</v>
      </c>
      <c r="H43" s="758">
        <f>IF(C23=0,0,H33/C23)</f>
        <v>0</v>
      </c>
      <c r="I43" s="106"/>
    </row>
    <row r="44" spans="1:9" ht="15.75">
      <c r="A44" s="70"/>
      <c r="B44" s="70"/>
      <c r="C44" s="754"/>
      <c r="D44" s="754"/>
      <c r="E44" s="754"/>
      <c r="F44" s="754"/>
      <c r="G44" s="754"/>
      <c r="H44" s="754"/>
      <c r="I44" s="70"/>
    </row>
    <row r="45" spans="1:9" ht="15.75">
      <c r="A45" s="70"/>
      <c r="B45" s="70"/>
      <c r="C45" s="70"/>
      <c r="D45" s="70"/>
      <c r="E45" s="70"/>
      <c r="F45" s="70"/>
      <c r="G45" s="70"/>
      <c r="H45" s="70"/>
      <c r="I45" s="70"/>
    </row>
    <row r="49" spans="2:5" ht="15.75">
      <c r="B49" s="107"/>
      <c r="C49" s="107"/>
      <c r="D49" s="107"/>
      <c r="E49" s="108"/>
    </row>
  </sheetData>
  <sheetProtection sheet="1"/>
  <mergeCells count="3">
    <mergeCell ref="D9:H9"/>
    <mergeCell ref="C9:C10"/>
    <mergeCell ref="A6:I6"/>
  </mergeCells>
  <printOptions/>
  <pageMargins left="0.4" right="0.4" top="0.83" bottom="0.85" header="0.3" footer="0.6"/>
  <pageSetup blackAndWhite="1" fitToHeight="1" fitToWidth="1" horizontalDpi="300" verticalDpi="300" orientation="landscape" scale="71" r:id="rId1"/>
  <headerFooter alignWithMargins="0">
    <oddHeader>&amp;RState of Kansas
Township
</oddHeader>
    <oddFooter>&amp;CPage No. 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22" sqref="E22"/>
    </sheetView>
  </sheetViews>
  <sheetFormatPr defaultColWidth="8.796875" defaultRowHeight="15.75"/>
  <cols>
    <col min="1" max="2" width="16" style="108" customWidth="1"/>
    <col min="3" max="6" width="11.5" style="108" customWidth="1"/>
    <col min="7" max="16384" width="8.796875" style="108" customWidth="1"/>
  </cols>
  <sheetData>
    <row r="1" spans="1:6" ht="15.75">
      <c r="A1" s="74"/>
      <c r="B1" s="17"/>
      <c r="C1" s="17"/>
      <c r="D1" s="17"/>
      <c r="E1" s="91"/>
      <c r="F1" s="17">
        <f>inputPrYr!D7</f>
        <v>0</v>
      </c>
    </row>
    <row r="2" spans="1:6" ht="15.75">
      <c r="A2" s="109">
        <f>inputPrYr!D3</f>
        <v>0</v>
      </c>
      <c r="B2" s="109"/>
      <c r="C2" s="17"/>
      <c r="D2" s="17"/>
      <c r="E2" s="91"/>
      <c r="F2" s="17"/>
    </row>
    <row r="3" spans="1:6" ht="15.75">
      <c r="A3" s="74"/>
      <c r="B3" s="109"/>
      <c r="C3" s="17"/>
      <c r="D3" s="17"/>
      <c r="E3" s="91"/>
      <c r="F3" s="17"/>
    </row>
    <row r="4" spans="1:6" ht="15.75">
      <c r="A4" s="74"/>
      <c r="B4" s="17"/>
      <c r="C4" s="17"/>
      <c r="D4" s="17"/>
      <c r="E4" s="91"/>
      <c r="F4" s="17"/>
    </row>
    <row r="5" spans="1:6" ht="15" customHeight="1">
      <c r="A5" s="889" t="s">
        <v>249</v>
      </c>
      <c r="B5" s="889"/>
      <c r="C5" s="889"/>
      <c r="D5" s="889"/>
      <c r="E5" s="889"/>
      <c r="F5" s="889"/>
    </row>
    <row r="6" spans="1:6" ht="14.25" customHeight="1">
      <c r="A6" s="16"/>
      <c r="B6" s="110"/>
      <c r="C6" s="110"/>
      <c r="D6" s="110"/>
      <c r="E6" s="110"/>
      <c r="F6" s="110"/>
    </row>
    <row r="7" spans="1:6" ht="15" customHeight="1">
      <c r="A7" s="111" t="s">
        <v>100</v>
      </c>
      <c r="B7" s="111" t="s">
        <v>542</v>
      </c>
      <c r="C7" s="112" t="s">
        <v>139</v>
      </c>
      <c r="D7" s="112" t="s">
        <v>250</v>
      </c>
      <c r="E7" s="111" t="s">
        <v>251</v>
      </c>
      <c r="F7" s="111" t="s">
        <v>252</v>
      </c>
    </row>
    <row r="8" spans="1:6" ht="15" customHeight="1">
      <c r="A8" s="113" t="s">
        <v>543</v>
      </c>
      <c r="B8" s="113" t="s">
        <v>544</v>
      </c>
      <c r="C8" s="114" t="s">
        <v>253</v>
      </c>
      <c r="D8" s="114" t="s">
        <v>253</v>
      </c>
      <c r="E8" s="114" t="s">
        <v>253</v>
      </c>
      <c r="F8" s="114" t="s">
        <v>254</v>
      </c>
    </row>
    <row r="9" spans="1:6" s="117" customFormat="1" ht="15" customHeight="1" thickBot="1">
      <c r="A9" s="115" t="s">
        <v>255</v>
      </c>
      <c r="B9" s="116" t="s">
        <v>256</v>
      </c>
      <c r="C9" s="116">
        <f>F1-2</f>
        <v>-2</v>
      </c>
      <c r="D9" s="116">
        <f>F1-1</f>
        <v>-1</v>
      </c>
      <c r="E9" s="116">
        <f>F1</f>
        <v>0</v>
      </c>
      <c r="F9" s="116" t="s">
        <v>87</v>
      </c>
    </row>
    <row r="10" spans="1:6" ht="15" customHeight="1" thickTop="1">
      <c r="A10" s="118"/>
      <c r="B10" s="118"/>
      <c r="C10" s="119"/>
      <c r="D10" s="119"/>
      <c r="E10" s="119"/>
      <c r="F10" s="118"/>
    </row>
    <row r="11" spans="1:6" ht="15" customHeight="1">
      <c r="A11" s="48" t="s">
        <v>58</v>
      </c>
      <c r="B11" s="48" t="s">
        <v>104</v>
      </c>
      <c r="C11" s="120">
        <f>gen!$C$43</f>
        <v>0</v>
      </c>
      <c r="D11" s="120">
        <f>gen!$D$43</f>
        <v>0</v>
      </c>
      <c r="E11" s="120">
        <f>gen!$E$43</f>
        <v>0</v>
      </c>
      <c r="F11" s="48">
        <f>IF(C11+D11+E11&gt;0,"80-1406b","")</f>
      </c>
    </row>
    <row r="12" spans="1:6" ht="15" customHeight="1">
      <c r="A12" s="48" t="s">
        <v>58</v>
      </c>
      <c r="B12" s="48" t="s">
        <v>104</v>
      </c>
      <c r="C12" s="120">
        <f>gen!$C$45</f>
        <v>0</v>
      </c>
      <c r="D12" s="120">
        <f>gen!$D$45</f>
        <v>0</v>
      </c>
      <c r="E12" s="120">
        <f>gen!$E$45</f>
        <v>0</v>
      </c>
      <c r="F12" s="48">
        <f>IF(C12+D12+E12&gt;0,"80-122","")</f>
      </c>
    </row>
    <row r="13" spans="1:6" ht="15" customHeight="1">
      <c r="A13" s="48" t="s">
        <v>91</v>
      </c>
      <c r="B13" s="48" t="s">
        <v>104</v>
      </c>
      <c r="C13" s="120">
        <f>road!$C$39</f>
        <v>0</v>
      </c>
      <c r="D13" s="120">
        <f>road!$D$39</f>
        <v>0</v>
      </c>
      <c r="E13" s="120">
        <f>road!$E$39</f>
        <v>0</v>
      </c>
      <c r="F13" s="48">
        <f>IF(C13+D13+E13&gt;0,"68-141g","")</f>
      </c>
    </row>
    <row r="14" spans="1:6" ht="15" customHeight="1">
      <c r="A14" s="121"/>
      <c r="B14" s="121"/>
      <c r="C14" s="122"/>
      <c r="D14" s="122"/>
      <c r="E14" s="122"/>
      <c r="F14" s="121"/>
    </row>
    <row r="15" spans="1:6" ht="15" customHeight="1">
      <c r="A15" s="121"/>
      <c r="B15" s="121"/>
      <c r="C15" s="122"/>
      <c r="D15" s="122"/>
      <c r="E15" s="122"/>
      <c r="F15" s="121"/>
    </row>
    <row r="16" spans="1:6" ht="15" customHeight="1">
      <c r="A16" s="121"/>
      <c r="B16" s="121"/>
      <c r="C16" s="122"/>
      <c r="D16" s="122"/>
      <c r="E16" s="122"/>
      <c r="F16" s="121"/>
    </row>
    <row r="17" spans="1:6" ht="15" customHeight="1">
      <c r="A17" s="121"/>
      <c r="B17" s="121"/>
      <c r="C17" s="122"/>
      <c r="D17" s="122"/>
      <c r="E17" s="122"/>
      <c r="F17" s="121"/>
    </row>
    <row r="18" spans="1:6" ht="15" customHeight="1">
      <c r="A18" s="121"/>
      <c r="B18" s="121"/>
      <c r="C18" s="122"/>
      <c r="D18" s="122"/>
      <c r="E18" s="122"/>
      <c r="F18" s="121"/>
    </row>
    <row r="19" spans="1:6" ht="15" customHeight="1">
      <c r="A19" s="121"/>
      <c r="B19" s="123"/>
      <c r="C19" s="122"/>
      <c r="D19" s="122"/>
      <c r="E19" s="122"/>
      <c r="F19" s="121"/>
    </row>
    <row r="20" spans="1:6" ht="15" customHeight="1">
      <c r="A20" s="121"/>
      <c r="B20" s="121"/>
      <c r="C20" s="122"/>
      <c r="D20" s="122"/>
      <c r="E20" s="122"/>
      <c r="F20" s="121"/>
    </row>
    <row r="21" spans="1:6" ht="15" customHeight="1">
      <c r="A21" s="121"/>
      <c r="B21" s="121"/>
      <c r="C21" s="122"/>
      <c r="D21" s="122"/>
      <c r="E21" s="122"/>
      <c r="F21" s="121"/>
    </row>
    <row r="22" spans="1:6" ht="15" customHeight="1">
      <c r="A22" s="121"/>
      <c r="B22" s="121"/>
      <c r="C22" s="122"/>
      <c r="D22" s="122"/>
      <c r="E22" s="122"/>
      <c r="F22" s="121"/>
    </row>
    <row r="23" spans="1:6" ht="15" customHeight="1">
      <c r="A23" s="121"/>
      <c r="B23" s="121"/>
      <c r="C23" s="122"/>
      <c r="D23" s="122"/>
      <c r="E23" s="122"/>
      <c r="F23" s="121"/>
    </row>
    <row r="24" spans="1:6" ht="15" customHeight="1">
      <c r="A24" s="121"/>
      <c r="B24" s="121"/>
      <c r="C24" s="122"/>
      <c r="D24" s="122"/>
      <c r="E24" s="122"/>
      <c r="F24" s="121"/>
    </row>
    <row r="25" spans="1:6" ht="15" customHeight="1">
      <c r="A25" s="121"/>
      <c r="B25" s="121"/>
      <c r="C25" s="122"/>
      <c r="D25" s="122"/>
      <c r="E25" s="122"/>
      <c r="F25" s="121"/>
    </row>
    <row r="26" spans="1:6" ht="15" customHeight="1">
      <c r="A26" s="121"/>
      <c r="B26" s="121"/>
      <c r="C26" s="122"/>
      <c r="D26" s="122"/>
      <c r="E26" s="122"/>
      <c r="F26" s="121"/>
    </row>
    <row r="27" spans="1:6" ht="15.75">
      <c r="A27" s="124"/>
      <c r="B27" s="47" t="s">
        <v>92</v>
      </c>
      <c r="C27" s="125">
        <f>SUM(C10:C26)</f>
        <v>0</v>
      </c>
      <c r="D27" s="126">
        <f>SUM(D10:D26)</f>
        <v>0</v>
      </c>
      <c r="E27" s="126">
        <f>SUM(E10:E26)</f>
        <v>0</v>
      </c>
      <c r="F27" s="124"/>
    </row>
    <row r="28" spans="1:6" ht="15.75">
      <c r="A28" s="124"/>
      <c r="B28" s="47" t="s">
        <v>541</v>
      </c>
      <c r="C28" s="17"/>
      <c r="D28" s="121"/>
      <c r="E28" s="121"/>
      <c r="F28" s="124"/>
    </row>
    <row r="29" spans="1:6" ht="15.75">
      <c r="A29" s="124"/>
      <c r="B29" s="47" t="s">
        <v>257</v>
      </c>
      <c r="C29" s="127">
        <f>C27</f>
        <v>0</v>
      </c>
      <c r="D29" s="127">
        <f>SUM(D27-D28)</f>
        <v>0</v>
      </c>
      <c r="E29" s="127">
        <f>SUM(E27-E28)</f>
        <v>0</v>
      </c>
      <c r="F29" s="124"/>
    </row>
    <row r="30" spans="1:6" ht="15.75">
      <c r="A30" s="124"/>
      <c r="B30" s="17"/>
      <c r="C30" s="17"/>
      <c r="D30" s="17"/>
      <c r="E30" s="17"/>
      <c r="F30" s="124"/>
    </row>
    <row r="31" spans="1:6" ht="15.75">
      <c r="A31" s="124"/>
      <c r="B31" s="17"/>
      <c r="C31" s="17"/>
      <c r="D31" s="17"/>
      <c r="E31" s="17"/>
      <c r="F31" s="124"/>
    </row>
    <row r="32" spans="1:6" ht="15.75">
      <c r="A32" s="336" t="s">
        <v>545</v>
      </c>
      <c r="B32" s="337" t="str">
        <f>CONCATENATE("Adjustments are required only if the transfer is being made in ",D9," and/or ",E9," from a non-budgeted fund.")</f>
        <v>Adjustments are required only if the transfer is being made in -1 and/or 0 from a non-budgeted fund.</v>
      </c>
      <c r="C32" s="17"/>
      <c r="D32" s="17"/>
      <c r="E32" s="17"/>
      <c r="F32" s="12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5</oddFooter>
  </headerFooter>
</worksheet>
</file>

<file path=xl/worksheets/sheet12.xml><?xml version="1.0" encoding="utf-8"?>
<worksheet xmlns="http://schemas.openxmlformats.org/spreadsheetml/2006/main" xmlns:r="http://schemas.openxmlformats.org/officeDocument/2006/relationships">
  <dimension ref="A1:A27"/>
  <sheetViews>
    <sheetView zoomScalePageLayoutView="0" workbookViewId="0" topLeftCell="A1">
      <selection activeCell="E22" sqref="E22"/>
    </sheetView>
  </sheetViews>
  <sheetFormatPr defaultColWidth="8.796875" defaultRowHeight="15.75"/>
  <cols>
    <col min="1" max="1" width="70.09765625" style="66" customWidth="1"/>
    <col min="2" max="16384" width="8.796875" style="66" customWidth="1"/>
  </cols>
  <sheetData>
    <row r="1" ht="18.75">
      <c r="A1" s="349" t="s">
        <v>276</v>
      </c>
    </row>
    <row r="2" ht="15.75">
      <c r="A2" s="5"/>
    </row>
    <row r="3" ht="15.75">
      <c r="A3" s="5"/>
    </row>
    <row r="4" ht="52.5" customHeight="1">
      <c r="A4" s="344" t="s">
        <v>303</v>
      </c>
    </row>
    <row r="5" ht="15.75">
      <c r="A5" s="5"/>
    </row>
    <row r="6" ht="15.75">
      <c r="A6" s="5"/>
    </row>
    <row r="7" ht="70.5" customHeight="1">
      <c r="A7" s="344" t="s">
        <v>304</v>
      </c>
    </row>
    <row r="8" ht="15.75">
      <c r="A8" s="345"/>
    </row>
    <row r="9" ht="15.75">
      <c r="A9" s="5"/>
    </row>
    <row r="10" ht="56.25" customHeight="1">
      <c r="A10" s="344" t="s">
        <v>305</v>
      </c>
    </row>
    <row r="11" ht="15.75">
      <c r="A11" s="345"/>
    </row>
    <row r="12" ht="15.75">
      <c r="A12" s="345"/>
    </row>
    <row r="13" ht="57.75" customHeight="1">
      <c r="A13" s="344" t="s">
        <v>713</v>
      </c>
    </row>
    <row r="14" ht="15.75">
      <c r="A14" s="345"/>
    </row>
    <row r="15" ht="15.75">
      <c r="A15" s="345"/>
    </row>
    <row r="16" ht="87.75" customHeight="1">
      <c r="A16" s="344" t="s">
        <v>306</v>
      </c>
    </row>
    <row r="17" ht="15.75">
      <c r="A17" s="345"/>
    </row>
    <row r="18" ht="15.75">
      <c r="A18" s="5"/>
    </row>
    <row r="19" ht="54.75" customHeight="1">
      <c r="A19" s="344" t="s">
        <v>307</v>
      </c>
    </row>
    <row r="20" ht="15.75">
      <c r="A20" s="5"/>
    </row>
    <row r="21" ht="15.75">
      <c r="A21" s="5"/>
    </row>
    <row r="22" ht="69" customHeight="1">
      <c r="A22" s="344" t="s">
        <v>308</v>
      </c>
    </row>
    <row r="23" ht="15.75">
      <c r="A23" s="5"/>
    </row>
    <row r="24" ht="15.75">
      <c r="A24" s="346"/>
    </row>
    <row r="25" ht="47.25" customHeight="1">
      <c r="A25" s="347" t="s">
        <v>309</v>
      </c>
    </row>
    <row r="26" ht="15.75">
      <c r="A26" s="348"/>
    </row>
    <row r="27" ht="15.75">
      <c r="A27" s="346"/>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Y39"/>
  <sheetViews>
    <sheetView zoomScale="75" zoomScaleNormal="75" zoomScalePageLayoutView="0" workbookViewId="0" topLeftCell="A1">
      <selection activeCell="E22" sqref="E22"/>
    </sheetView>
  </sheetViews>
  <sheetFormatPr defaultColWidth="8.796875" defaultRowHeight="15.75"/>
  <cols>
    <col min="1" max="1" width="1.4921875" style="130" customWidth="1"/>
    <col min="2" max="2" width="18.69921875" style="130" customWidth="1"/>
    <col min="3" max="3" width="8.796875" style="130" customWidth="1"/>
    <col min="4" max="4" width="7.8984375" style="130" customWidth="1"/>
    <col min="5" max="5" width="8.796875" style="130" customWidth="1"/>
    <col min="6" max="6" width="16.19921875" style="130" customWidth="1"/>
    <col min="7" max="16384" width="8.796875" style="130" customWidth="1"/>
  </cols>
  <sheetData>
    <row r="1" spans="1:12" ht="15.75">
      <c r="A1" s="156"/>
      <c r="B1" s="128">
        <f>inputPrYr!$D$3</f>
        <v>0</v>
      </c>
      <c r="C1" s="129"/>
      <c r="D1" s="129"/>
      <c r="E1" s="129"/>
      <c r="F1" s="129"/>
      <c r="G1" s="129"/>
      <c r="H1" s="129"/>
      <c r="I1" s="129"/>
      <c r="J1" s="17"/>
      <c r="K1" s="17"/>
      <c r="L1" s="90">
        <f>inputPrYr!D7</f>
        <v>0</v>
      </c>
    </row>
    <row r="2" spans="1:12" ht="15.75">
      <c r="A2" s="156"/>
      <c r="B2" s="128">
        <f>inputPrYr!$D$4</f>
        <v>0</v>
      </c>
      <c r="C2" s="129"/>
      <c r="D2" s="129"/>
      <c r="E2" s="129"/>
      <c r="F2" s="129"/>
      <c r="G2" s="129"/>
      <c r="H2" s="129"/>
      <c r="I2" s="129"/>
      <c r="J2" s="17"/>
      <c r="K2" s="17"/>
      <c r="L2" s="91"/>
    </row>
    <row r="3" spans="1:12" ht="15.75">
      <c r="A3" s="156"/>
      <c r="B3" s="131" t="s">
        <v>182</v>
      </c>
      <c r="C3" s="132"/>
      <c r="D3" s="132"/>
      <c r="E3" s="18"/>
      <c r="F3" s="132"/>
      <c r="G3" s="132"/>
      <c r="H3" s="132"/>
      <c r="I3" s="132"/>
      <c r="J3" s="132"/>
      <c r="K3" s="132"/>
      <c r="L3" s="132"/>
    </row>
    <row r="4" spans="1:12" ht="15.75">
      <c r="A4" s="156"/>
      <c r="B4" s="129"/>
      <c r="C4" s="129"/>
      <c r="D4" s="129"/>
      <c r="E4" s="129"/>
      <c r="F4" s="129"/>
      <c r="G4" s="129"/>
      <c r="H4" s="129"/>
      <c r="I4" s="129"/>
      <c r="J4" s="129"/>
      <c r="K4" s="129"/>
      <c r="L4" s="129"/>
    </row>
    <row r="5" spans="1:12" ht="15.75">
      <c r="A5" s="156"/>
      <c r="B5" s="97" t="s">
        <v>715</v>
      </c>
      <c r="C5" s="97" t="s">
        <v>160</v>
      </c>
      <c r="D5" s="97" t="s">
        <v>167</v>
      </c>
      <c r="E5" s="97"/>
      <c r="F5" s="97" t="s">
        <v>115</v>
      </c>
      <c r="G5" s="133"/>
      <c r="H5" s="134"/>
      <c r="I5" s="133" t="s">
        <v>161</v>
      </c>
      <c r="J5" s="134"/>
      <c r="K5" s="133" t="s">
        <v>161</v>
      </c>
      <c r="L5" s="134"/>
    </row>
    <row r="6" spans="1:12" ht="15.75">
      <c r="A6" s="156"/>
      <c r="B6" s="135" t="s">
        <v>162</v>
      </c>
      <c r="C6" s="135" t="s">
        <v>162</v>
      </c>
      <c r="D6" s="135" t="s">
        <v>114</v>
      </c>
      <c r="E6" s="135" t="s">
        <v>115</v>
      </c>
      <c r="F6" s="135" t="s">
        <v>219</v>
      </c>
      <c r="G6" s="136" t="s">
        <v>163</v>
      </c>
      <c r="H6" s="137"/>
      <c r="I6" s="136">
        <f>L1-1</f>
        <v>-1</v>
      </c>
      <c r="J6" s="137"/>
      <c r="K6" s="136">
        <f>L1</f>
        <v>0</v>
      </c>
      <c r="L6" s="137"/>
    </row>
    <row r="7" spans="1:12" ht="15.75">
      <c r="A7" s="156"/>
      <c r="B7" s="99" t="s">
        <v>716</v>
      </c>
      <c r="C7" s="99" t="s">
        <v>164</v>
      </c>
      <c r="D7" s="99" t="s">
        <v>136</v>
      </c>
      <c r="E7" s="99" t="s">
        <v>165</v>
      </c>
      <c r="F7" s="138" t="str">
        <f>CONCATENATE("Jan 1,",L1-1,"")</f>
        <v>Jan 1,-1</v>
      </c>
      <c r="G7" s="47" t="s">
        <v>167</v>
      </c>
      <c r="H7" s="47" t="s">
        <v>168</v>
      </c>
      <c r="I7" s="47" t="s">
        <v>167</v>
      </c>
      <c r="J7" s="47" t="s">
        <v>168</v>
      </c>
      <c r="K7" s="47" t="s">
        <v>167</v>
      </c>
      <c r="L7" s="47" t="s">
        <v>168</v>
      </c>
    </row>
    <row r="8" spans="1:12" ht="15.75">
      <c r="A8" s="156"/>
      <c r="B8" s="139" t="s">
        <v>156</v>
      </c>
      <c r="C8" s="140"/>
      <c r="D8" s="139"/>
      <c r="E8" s="139"/>
      <c r="F8" s="139"/>
      <c r="G8" s="141"/>
      <c r="H8" s="141"/>
      <c r="I8" s="139"/>
      <c r="J8" s="139"/>
      <c r="K8" s="139"/>
      <c r="L8" s="139"/>
    </row>
    <row r="9" spans="1:12" ht="15.75">
      <c r="A9" s="156"/>
      <c r="B9" s="142"/>
      <c r="C9" s="339"/>
      <c r="D9" s="144"/>
      <c r="E9" s="145"/>
      <c r="F9" s="146"/>
      <c r="G9" s="147"/>
      <c r="H9" s="147"/>
      <c r="I9" s="146"/>
      <c r="J9" s="146"/>
      <c r="K9" s="146"/>
      <c r="L9" s="146"/>
    </row>
    <row r="10" spans="1:12" ht="15.75">
      <c r="A10" s="156"/>
      <c r="B10" s="142"/>
      <c r="C10" s="339"/>
      <c r="D10" s="144"/>
      <c r="E10" s="145"/>
      <c r="F10" s="146"/>
      <c r="G10" s="147"/>
      <c r="H10" s="147"/>
      <c r="I10" s="146"/>
      <c r="J10" s="146"/>
      <c r="K10" s="146"/>
      <c r="L10" s="146"/>
    </row>
    <row r="11" spans="1:12" ht="15.75">
      <c r="A11" s="156"/>
      <c r="B11" s="48" t="s">
        <v>237</v>
      </c>
      <c r="C11" s="148"/>
      <c r="D11" s="149"/>
      <c r="E11" s="125"/>
      <c r="F11" s="150">
        <f>SUM(F9:F10)</f>
        <v>0</v>
      </c>
      <c r="G11" s="151"/>
      <c r="H11" s="151"/>
      <c r="I11" s="150">
        <f>SUM(I9:I10)</f>
        <v>0</v>
      </c>
      <c r="J11" s="150">
        <f>SUM(J9:J10)</f>
        <v>0</v>
      </c>
      <c r="K11" s="150">
        <f>SUM(K9:K10)</f>
        <v>0</v>
      </c>
      <c r="L11" s="150">
        <f>SUM(L9:L10)</f>
        <v>0</v>
      </c>
    </row>
    <row r="12" spans="1:12" ht="15.75">
      <c r="A12" s="156"/>
      <c r="B12" s="48" t="s">
        <v>128</v>
      </c>
      <c r="C12" s="148"/>
      <c r="D12" s="149"/>
      <c r="E12" s="125"/>
      <c r="F12" s="53"/>
      <c r="G12" s="151"/>
      <c r="H12" s="151"/>
      <c r="I12" s="53"/>
      <c r="J12" s="53"/>
      <c r="K12" s="53"/>
      <c r="L12" s="53"/>
    </row>
    <row r="13" spans="1:12" ht="15.75">
      <c r="A13" s="156"/>
      <c r="B13" s="142"/>
      <c r="C13" s="339"/>
      <c r="D13" s="144"/>
      <c r="E13" s="145"/>
      <c r="F13" s="146"/>
      <c r="G13" s="147"/>
      <c r="H13" s="147"/>
      <c r="I13" s="146"/>
      <c r="J13" s="146"/>
      <c r="K13" s="146"/>
      <c r="L13" s="146"/>
    </row>
    <row r="14" spans="1:12" ht="15.75">
      <c r="A14" s="156"/>
      <c r="B14" s="142"/>
      <c r="C14" s="339"/>
      <c r="D14" s="144"/>
      <c r="E14" s="145"/>
      <c r="F14" s="146"/>
      <c r="G14" s="147"/>
      <c r="H14" s="147"/>
      <c r="I14" s="146"/>
      <c r="J14" s="146"/>
      <c r="K14" s="146"/>
      <c r="L14" s="146"/>
    </row>
    <row r="15" spans="1:12" ht="15.75">
      <c r="A15" s="156"/>
      <c r="B15" s="48" t="s">
        <v>238</v>
      </c>
      <c r="C15" s="148"/>
      <c r="D15" s="149"/>
      <c r="E15" s="125"/>
      <c r="F15" s="150">
        <f>SUM(F13:F14)</f>
        <v>0</v>
      </c>
      <c r="G15" s="151"/>
      <c r="H15" s="151"/>
      <c r="I15" s="150">
        <f>SUM(I13:I14)</f>
        <v>0</v>
      </c>
      <c r="J15" s="150">
        <f>SUM(J13:J14)</f>
        <v>0</v>
      </c>
      <c r="K15" s="150">
        <f>SUM(K13:K14)</f>
        <v>0</v>
      </c>
      <c r="L15" s="150">
        <f>SUM(L13:L14)</f>
        <v>0</v>
      </c>
    </row>
    <row r="16" spans="1:12" ht="15.75">
      <c r="A16" s="156"/>
      <c r="B16" s="152" t="s">
        <v>183</v>
      </c>
      <c r="C16" s="629"/>
      <c r="D16" s="630"/>
      <c r="E16" s="631"/>
      <c r="F16" s="154">
        <f>SUM(F11+F15)</f>
        <v>0</v>
      </c>
      <c r="G16" s="629"/>
      <c r="H16" s="632"/>
      <c r="I16" s="154">
        <f>SUM(I11+I15)</f>
        <v>0</v>
      </c>
      <c r="J16" s="154">
        <f>SUM(J11+J15)</f>
        <v>0</v>
      </c>
      <c r="K16" s="154">
        <f>SUM(K11+K15)</f>
        <v>0</v>
      </c>
      <c r="L16" s="154">
        <f>SUM(L11+L15)</f>
        <v>0</v>
      </c>
    </row>
    <row r="17" spans="1:25" ht="15.75">
      <c r="A17" s="156"/>
      <c r="B17" s="17"/>
      <c r="C17" s="17"/>
      <c r="D17" s="24"/>
      <c r="E17" s="24"/>
      <c r="F17" s="24"/>
      <c r="G17" s="24"/>
      <c r="H17" s="24"/>
      <c r="I17" s="24"/>
      <c r="J17" s="24"/>
      <c r="K17" s="24"/>
      <c r="L17" s="24"/>
      <c r="M17" s="5"/>
      <c r="N17" s="5"/>
      <c r="O17" s="5"/>
      <c r="P17" s="5"/>
      <c r="Q17" s="5"/>
      <c r="R17" s="5"/>
      <c r="S17" s="5"/>
      <c r="T17" s="5"/>
      <c r="U17" s="5"/>
      <c r="V17" s="5"/>
      <c r="W17" s="5"/>
      <c r="X17" s="5"/>
      <c r="Y17" s="5"/>
    </row>
    <row r="18" spans="1:12" s="157" customFormat="1" ht="15.75">
      <c r="A18" s="156"/>
      <c r="B18" s="935" t="s">
        <v>181</v>
      </c>
      <c r="C18" s="867"/>
      <c r="D18" s="867"/>
      <c r="E18" s="867"/>
      <c r="F18" s="867"/>
      <c r="G18" s="867"/>
      <c r="H18" s="867"/>
      <c r="I18" s="867"/>
      <c r="J18" s="155"/>
      <c r="K18" s="155"/>
      <c r="L18" s="156"/>
    </row>
    <row r="19" spans="1:12" s="157" customFormat="1" ht="15.75">
      <c r="A19" s="156"/>
      <c r="B19" s="24"/>
      <c r="C19" s="158"/>
      <c r="D19" s="158"/>
      <c r="E19" s="158"/>
      <c r="F19" s="158"/>
      <c r="G19" s="158"/>
      <c r="H19" s="158"/>
      <c r="I19" s="158"/>
      <c r="J19" s="159"/>
      <c r="K19" s="159"/>
      <c r="L19" s="156"/>
    </row>
    <row r="20" spans="1:12" s="157" customFormat="1" ht="15.75">
      <c r="A20" s="156"/>
      <c r="B20" s="96"/>
      <c r="C20" s="96"/>
      <c r="D20" s="97" t="s">
        <v>166</v>
      </c>
      <c r="E20" s="96"/>
      <c r="F20" s="97" t="s">
        <v>92</v>
      </c>
      <c r="G20" s="96"/>
      <c r="H20" s="96"/>
      <c r="I20" s="96"/>
      <c r="J20" s="160"/>
      <c r="K20" s="161"/>
      <c r="L20" s="156"/>
    </row>
    <row r="21" spans="1:12" s="157" customFormat="1" ht="15.75">
      <c r="A21" s="156"/>
      <c r="B21" s="28"/>
      <c r="C21" s="135"/>
      <c r="D21" s="135" t="s">
        <v>162</v>
      </c>
      <c r="E21" s="135" t="s">
        <v>167</v>
      </c>
      <c r="F21" s="135" t="s">
        <v>115</v>
      </c>
      <c r="G21" s="135" t="s">
        <v>168</v>
      </c>
      <c r="H21" s="135" t="s">
        <v>169</v>
      </c>
      <c r="I21" s="135" t="s">
        <v>169</v>
      </c>
      <c r="J21" s="156"/>
      <c r="K21" s="156"/>
      <c r="L21" s="156"/>
    </row>
    <row r="22" spans="1:12" s="157" customFormat="1" ht="15.75">
      <c r="A22" s="156"/>
      <c r="B22" s="135" t="s">
        <v>717</v>
      </c>
      <c r="C22" s="135" t="s">
        <v>170</v>
      </c>
      <c r="D22" s="135" t="s">
        <v>171</v>
      </c>
      <c r="E22" s="135" t="s">
        <v>114</v>
      </c>
      <c r="F22" s="135" t="s">
        <v>172</v>
      </c>
      <c r="G22" s="135" t="s">
        <v>212</v>
      </c>
      <c r="H22" s="135" t="s">
        <v>173</v>
      </c>
      <c r="I22" s="135" t="s">
        <v>173</v>
      </c>
      <c r="J22" s="156"/>
      <c r="K22" s="156"/>
      <c r="L22" s="156"/>
    </row>
    <row r="23" spans="1:12" s="157" customFormat="1" ht="15.75">
      <c r="A23" s="156"/>
      <c r="B23" s="99" t="s">
        <v>718</v>
      </c>
      <c r="C23" s="99" t="s">
        <v>160</v>
      </c>
      <c r="D23" s="162" t="s">
        <v>174</v>
      </c>
      <c r="E23" s="99" t="s">
        <v>136</v>
      </c>
      <c r="F23" s="162" t="s">
        <v>220</v>
      </c>
      <c r="G23" s="138" t="str">
        <f>CONCATENATE("Jan 1,",L1-1,"")</f>
        <v>Jan 1,-1</v>
      </c>
      <c r="H23" s="99">
        <f>L1-1</f>
        <v>-1</v>
      </c>
      <c r="I23" s="99">
        <f>L1</f>
        <v>0</v>
      </c>
      <c r="J23" s="156"/>
      <c r="K23" s="156"/>
      <c r="L23" s="156"/>
    </row>
    <row r="24" spans="1:12" s="157" customFormat="1" ht="15.75">
      <c r="A24" s="156"/>
      <c r="B24" s="142"/>
      <c r="C24" s="143"/>
      <c r="D24" s="163"/>
      <c r="E24" s="144"/>
      <c r="F24" s="145"/>
      <c r="G24" s="145"/>
      <c r="H24" s="145"/>
      <c r="I24" s="145"/>
      <c r="J24" s="156"/>
      <c r="K24" s="156"/>
      <c r="L24" s="156"/>
    </row>
    <row r="25" spans="1:12" s="157" customFormat="1" ht="15.75">
      <c r="A25" s="156"/>
      <c r="B25" s="142"/>
      <c r="C25" s="143"/>
      <c r="D25" s="163"/>
      <c r="E25" s="144"/>
      <c r="F25" s="145"/>
      <c r="G25" s="145"/>
      <c r="H25" s="145"/>
      <c r="I25" s="145"/>
      <c r="J25" s="156"/>
      <c r="K25" s="156"/>
      <c r="L25" s="156"/>
    </row>
    <row r="26" spans="1:12" s="157" customFormat="1" ht="15.75">
      <c r="A26" s="156"/>
      <c r="B26" s="142"/>
      <c r="C26" s="143"/>
      <c r="D26" s="163"/>
      <c r="E26" s="144"/>
      <c r="F26" s="145"/>
      <c r="G26" s="145"/>
      <c r="H26" s="145"/>
      <c r="I26" s="145"/>
      <c r="J26" s="156"/>
      <c r="K26" s="156"/>
      <c r="L26" s="156"/>
    </row>
    <row r="27" spans="1:12" s="157" customFormat="1" ht="15.75">
      <c r="A27" s="156"/>
      <c r="B27" s="142"/>
      <c r="C27" s="143"/>
      <c r="D27" s="163"/>
      <c r="E27" s="144"/>
      <c r="F27" s="145"/>
      <c r="G27" s="145"/>
      <c r="H27" s="145"/>
      <c r="I27" s="145"/>
      <c r="J27" s="156"/>
      <c r="K27" s="156"/>
      <c r="L27" s="156"/>
    </row>
    <row r="28" spans="1:12" s="157" customFormat="1" ht="15.75">
      <c r="A28" s="156"/>
      <c r="B28" s="142"/>
      <c r="C28" s="143"/>
      <c r="D28" s="163"/>
      <c r="E28" s="144"/>
      <c r="F28" s="145"/>
      <c r="G28" s="145"/>
      <c r="H28" s="145"/>
      <c r="I28" s="145"/>
      <c r="J28" s="156"/>
      <c r="K28" s="156"/>
      <c r="L28" s="156"/>
    </row>
    <row r="29" spans="1:12" s="157" customFormat="1" ht="15.75">
      <c r="A29" s="156"/>
      <c r="B29" s="142"/>
      <c r="C29" s="143"/>
      <c r="D29" s="163"/>
      <c r="E29" s="144"/>
      <c r="F29" s="145"/>
      <c r="G29" s="145"/>
      <c r="H29" s="145"/>
      <c r="I29" s="145"/>
      <c r="J29" s="156"/>
      <c r="K29" s="156"/>
      <c r="L29" s="156"/>
    </row>
    <row r="30" spans="1:12" s="157" customFormat="1" ht="15.75">
      <c r="A30" s="156"/>
      <c r="B30" s="142"/>
      <c r="C30" s="143"/>
      <c r="D30" s="163"/>
      <c r="E30" s="144"/>
      <c r="F30" s="145"/>
      <c r="G30" s="145"/>
      <c r="H30" s="145"/>
      <c r="I30" s="145"/>
      <c r="J30" s="156"/>
      <c r="K30" s="156"/>
      <c r="L30" s="156"/>
    </row>
    <row r="31" spans="1:12" s="157" customFormat="1" ht="15.75">
      <c r="A31" s="156"/>
      <c r="B31" s="142"/>
      <c r="C31" s="143"/>
      <c r="D31" s="163"/>
      <c r="E31" s="144"/>
      <c r="F31" s="145"/>
      <c r="G31" s="145"/>
      <c r="H31" s="145"/>
      <c r="I31" s="145"/>
      <c r="J31" s="156"/>
      <c r="K31" s="156"/>
      <c r="L31" s="156"/>
    </row>
    <row r="32" spans="1:12" s="157" customFormat="1" ht="15.75">
      <c r="A32" s="156"/>
      <c r="B32" s="142"/>
      <c r="C32" s="143"/>
      <c r="D32" s="163"/>
      <c r="E32" s="144"/>
      <c r="F32" s="145"/>
      <c r="G32" s="145"/>
      <c r="H32" s="145"/>
      <c r="I32" s="145"/>
      <c r="J32" s="156"/>
      <c r="K32" s="156"/>
      <c r="L32" s="156"/>
    </row>
    <row r="33" spans="1:12" s="157" customFormat="1" ht="15.75">
      <c r="A33" s="156"/>
      <c r="B33" s="142"/>
      <c r="C33" s="143"/>
      <c r="D33" s="163"/>
      <c r="E33" s="144"/>
      <c r="F33" s="145"/>
      <c r="G33" s="145"/>
      <c r="H33" s="145"/>
      <c r="I33" s="145"/>
      <c r="J33" s="156"/>
      <c r="K33" s="156"/>
      <c r="L33" s="156"/>
    </row>
    <row r="34" spans="1:12" s="157" customFormat="1" ht="15.75">
      <c r="A34" s="156"/>
      <c r="B34" s="142"/>
      <c r="C34" s="143"/>
      <c r="D34" s="163"/>
      <c r="E34" s="144"/>
      <c r="F34" s="145"/>
      <c r="G34" s="145"/>
      <c r="H34" s="145"/>
      <c r="I34" s="145"/>
      <c r="J34" s="156"/>
      <c r="K34" s="156"/>
      <c r="L34" s="156"/>
    </row>
    <row r="35" spans="1:12" s="157" customFormat="1" ht="15.75">
      <c r="A35" s="156"/>
      <c r="B35" s="142"/>
      <c r="C35" s="143"/>
      <c r="D35" s="163"/>
      <c r="E35" s="144"/>
      <c r="F35" s="145"/>
      <c r="G35" s="145"/>
      <c r="H35" s="145"/>
      <c r="I35" s="145"/>
      <c r="J35" s="156"/>
      <c r="K35" s="156"/>
      <c r="L35" s="156"/>
    </row>
    <row r="36" spans="1:12" ht="15.75">
      <c r="A36" s="156"/>
      <c r="B36" s="634"/>
      <c r="C36" s="153"/>
      <c r="D36" s="153"/>
      <c r="E36" s="164"/>
      <c r="F36" s="633" t="s">
        <v>183</v>
      </c>
      <c r="G36" s="154">
        <f>SUM(G24:G35)</f>
        <v>0</v>
      </c>
      <c r="H36" s="154">
        <f>SUM(H24:H35)</f>
        <v>0</v>
      </c>
      <c r="I36" s="154">
        <f>SUM(I24:I35)</f>
        <v>0</v>
      </c>
      <c r="J36" s="129"/>
      <c r="K36" s="129"/>
      <c r="L36" s="165"/>
    </row>
    <row r="37" spans="1:12" ht="15.75">
      <c r="A37" s="156"/>
      <c r="B37" s="129"/>
      <c r="C37" s="129"/>
      <c r="D37" s="129"/>
      <c r="E37" s="129"/>
      <c r="F37" s="129"/>
      <c r="G37" s="129"/>
      <c r="H37" s="129"/>
      <c r="I37" s="129"/>
      <c r="J37" s="129"/>
      <c r="K37" s="129"/>
      <c r="L37" s="129"/>
    </row>
    <row r="38" spans="1:12" ht="15.75">
      <c r="A38" s="156"/>
      <c r="B38" s="166" t="s">
        <v>53</v>
      </c>
      <c r="C38" s="166"/>
      <c r="D38" s="166"/>
      <c r="E38" s="166"/>
      <c r="F38" s="166"/>
      <c r="G38" s="166"/>
      <c r="H38" s="166"/>
      <c r="I38" s="129"/>
      <c r="J38" s="129"/>
      <c r="K38" s="129"/>
      <c r="L38" s="129"/>
    </row>
    <row r="39" ht="15.75">
      <c r="B39" s="167"/>
    </row>
  </sheetData>
  <sheetProtection sheet="1"/>
  <mergeCells count="1">
    <mergeCell ref="B18:I18"/>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6</oddFooter>
  </headerFooter>
</worksheet>
</file>

<file path=xl/worksheets/sheet1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P108" sqref="P108"/>
    </sheetView>
  </sheetViews>
  <sheetFormatPr defaultColWidth="8.796875" defaultRowHeight="15.75"/>
  <cols>
    <col min="1" max="1" width="2.296875" style="599" customWidth="1"/>
    <col min="2" max="4" width="8.796875" style="599" customWidth="1"/>
    <col min="5" max="5" width="8.69921875" style="599" customWidth="1"/>
    <col min="6" max="6" width="8.796875" style="599" customWidth="1"/>
    <col min="7" max="7" width="8.69921875" style="599" customWidth="1"/>
    <col min="8" max="16384" width="8.796875" style="599" customWidth="1"/>
  </cols>
  <sheetData>
    <row r="1" spans="2:9" ht="15.75">
      <c r="B1" s="598"/>
      <c r="C1" s="598"/>
      <c r="D1" s="598"/>
      <c r="E1" s="598"/>
      <c r="F1" s="598"/>
      <c r="G1" s="598"/>
      <c r="H1" s="598"/>
      <c r="I1" s="598"/>
    </row>
    <row r="2" spans="2:9" ht="15.75">
      <c r="B2" s="936" t="s">
        <v>661</v>
      </c>
      <c r="C2" s="936"/>
      <c r="D2" s="936"/>
      <c r="E2" s="936"/>
      <c r="F2" s="936"/>
      <c r="G2" s="936"/>
      <c r="H2" s="936"/>
      <c r="I2" s="936"/>
    </row>
    <row r="3" spans="2:9" ht="15.75">
      <c r="B3" s="936" t="s">
        <v>662</v>
      </c>
      <c r="C3" s="936"/>
      <c r="D3" s="936"/>
      <c r="E3" s="936"/>
      <c r="F3" s="936"/>
      <c r="G3" s="936"/>
      <c r="H3" s="936"/>
      <c r="I3" s="936"/>
    </row>
    <row r="4" spans="2:9" ht="15.75">
      <c r="B4" s="600"/>
      <c r="C4" s="600"/>
      <c r="D4" s="600"/>
      <c r="E4" s="600"/>
      <c r="F4" s="600"/>
      <c r="G4" s="600"/>
      <c r="H4" s="600"/>
      <c r="I4" s="600"/>
    </row>
    <row r="5" spans="2:9" ht="15.75">
      <c r="B5" s="937" t="str">
        <f>CONCATENATE("Budgeted Year: ",inputPrYr!D7,"")</f>
        <v>Budgeted Year: </v>
      </c>
      <c r="C5" s="937"/>
      <c r="D5" s="937"/>
      <c r="E5" s="937"/>
      <c r="F5" s="937"/>
      <c r="G5" s="937"/>
      <c r="H5" s="937"/>
      <c r="I5" s="937"/>
    </row>
    <row r="6" spans="2:9" ht="15.75">
      <c r="B6" s="601"/>
      <c r="C6" s="600"/>
      <c r="D6" s="600"/>
      <c r="E6" s="600"/>
      <c r="F6" s="600"/>
      <c r="G6" s="600"/>
      <c r="H6" s="600"/>
      <c r="I6" s="600"/>
    </row>
    <row r="7" spans="2:9" ht="15.75">
      <c r="B7" s="601" t="str">
        <f>CONCATENATE("Library found in: ",inputPrYr!D3,"")</f>
        <v>Library found in: </v>
      </c>
      <c r="C7" s="600"/>
      <c r="D7" s="600"/>
      <c r="E7" s="600"/>
      <c r="F7" s="600"/>
      <c r="G7" s="600"/>
      <c r="H7" s="600"/>
      <c r="I7" s="600"/>
    </row>
    <row r="8" spans="2:9" ht="15.75">
      <c r="B8" s="601">
        <f>inputPrYr!D4</f>
        <v>0</v>
      </c>
      <c r="C8" s="600"/>
      <c r="D8" s="600"/>
      <c r="E8" s="600"/>
      <c r="F8" s="600"/>
      <c r="G8" s="600"/>
      <c r="H8" s="600"/>
      <c r="I8" s="600"/>
    </row>
    <row r="9" spans="2:9" ht="15.75">
      <c r="B9" s="600"/>
      <c r="C9" s="600"/>
      <c r="D9" s="600"/>
      <c r="E9" s="600"/>
      <c r="F9" s="600"/>
      <c r="G9" s="600"/>
      <c r="H9" s="600"/>
      <c r="I9" s="600"/>
    </row>
    <row r="10" spans="2:9" ht="39" customHeight="1">
      <c r="B10" s="938" t="s">
        <v>663</v>
      </c>
      <c r="C10" s="938"/>
      <c r="D10" s="938"/>
      <c r="E10" s="938"/>
      <c r="F10" s="938"/>
      <c r="G10" s="938"/>
      <c r="H10" s="938"/>
      <c r="I10" s="938"/>
    </row>
    <row r="11" spans="2:9" ht="15.75">
      <c r="B11" s="600"/>
      <c r="C11" s="600"/>
      <c r="D11" s="600"/>
      <c r="E11" s="600"/>
      <c r="F11" s="600"/>
      <c r="G11" s="600"/>
      <c r="H11" s="600"/>
      <c r="I11" s="600"/>
    </row>
    <row r="12" spans="2:9" ht="15.75">
      <c r="B12" s="602" t="s">
        <v>664</v>
      </c>
      <c r="C12" s="600"/>
      <c r="D12" s="600"/>
      <c r="E12" s="600"/>
      <c r="F12" s="600"/>
      <c r="G12" s="600"/>
      <c r="H12" s="600"/>
      <c r="I12" s="600"/>
    </row>
    <row r="13" spans="2:9" ht="15.75">
      <c r="B13" s="600"/>
      <c r="C13" s="600"/>
      <c r="D13" s="600"/>
      <c r="E13" s="603" t="s">
        <v>119</v>
      </c>
      <c r="F13" s="600"/>
      <c r="G13" s="603" t="s">
        <v>665</v>
      </c>
      <c r="H13" s="600"/>
      <c r="I13" s="600"/>
    </row>
    <row r="14" spans="2:9" ht="15.75">
      <c r="B14" s="600"/>
      <c r="C14" s="600"/>
      <c r="D14" s="600"/>
      <c r="E14" s="604">
        <f>inputPrYr!D7-1</f>
        <v>-1</v>
      </c>
      <c r="F14" s="600"/>
      <c r="G14" s="604">
        <f>inputPrYr!D7</f>
        <v>0</v>
      </c>
      <c r="H14" s="600"/>
      <c r="I14" s="600"/>
    </row>
    <row r="15" spans="2:9" ht="15.75">
      <c r="B15" s="601" t="str">
        <f>'DebtSvs-Library'!B49</f>
        <v>Ad Valorem Tax</v>
      </c>
      <c r="C15" s="600"/>
      <c r="D15" s="600"/>
      <c r="E15" s="605">
        <f>'DebtSvs-Library'!D49</f>
        <v>0</v>
      </c>
      <c r="F15" s="600"/>
      <c r="G15" s="605">
        <f>'DebtSvs-Library'!E82</f>
        <v>0</v>
      </c>
      <c r="H15" s="600"/>
      <c r="I15" s="600"/>
    </row>
    <row r="16" spans="2:9" ht="15.75">
      <c r="B16" s="601" t="str">
        <f>'DebtSvs-Library'!B50</f>
        <v>Delinquent Tax</v>
      </c>
      <c r="C16" s="600"/>
      <c r="D16" s="600"/>
      <c r="E16" s="605">
        <f>'DebtSvs-Library'!D50</f>
        <v>0</v>
      </c>
      <c r="F16" s="600"/>
      <c r="G16" s="605">
        <f>'DebtSvs-Library'!E50</f>
        <v>0</v>
      </c>
      <c r="H16" s="600"/>
      <c r="I16" s="600"/>
    </row>
    <row r="17" spans="2:9" ht="15.75">
      <c r="B17" s="601" t="str">
        <f>'DebtSvs-Library'!B51</f>
        <v>Motor Vehicle Tax</v>
      </c>
      <c r="C17" s="600"/>
      <c r="D17" s="600"/>
      <c r="E17" s="605">
        <f>'DebtSvs-Library'!D51</f>
        <v>0</v>
      </c>
      <c r="F17" s="600"/>
      <c r="G17" s="605">
        <f>'DebtSvs-Library'!E51</f>
        <v>0</v>
      </c>
      <c r="H17" s="600"/>
      <c r="I17" s="600"/>
    </row>
    <row r="18" spans="2:9" ht="15.75">
      <c r="B18" s="601" t="str">
        <f>'DebtSvs-Library'!B52</f>
        <v>Recreational Vehicle Tax</v>
      </c>
      <c r="C18" s="600"/>
      <c r="D18" s="600"/>
      <c r="E18" s="605">
        <f>'DebtSvs-Library'!D52</f>
        <v>0</v>
      </c>
      <c r="F18" s="600"/>
      <c r="G18" s="605">
        <f>'DebtSvs-Library'!E52</f>
        <v>0</v>
      </c>
      <c r="H18" s="600"/>
      <c r="I18" s="600"/>
    </row>
    <row r="19" spans="2:9" ht="15.75">
      <c r="B19" s="601" t="str">
        <f>'DebtSvs-Library'!B53</f>
        <v>16/20M Vehicle Tax</v>
      </c>
      <c r="C19" s="600"/>
      <c r="D19" s="600"/>
      <c r="E19" s="605">
        <f>'DebtSvs-Library'!D53</f>
        <v>0</v>
      </c>
      <c r="F19" s="600"/>
      <c r="G19" s="605">
        <f>'DebtSvs-Library'!E53</f>
        <v>0</v>
      </c>
      <c r="H19" s="600"/>
      <c r="I19" s="600"/>
    </row>
    <row r="20" spans="2:9" ht="15.75">
      <c r="B20" s="600" t="s">
        <v>241</v>
      </c>
      <c r="C20" s="600"/>
      <c r="D20" s="600"/>
      <c r="E20" s="605">
        <v>0</v>
      </c>
      <c r="F20" s="600"/>
      <c r="G20" s="605">
        <v>0</v>
      </c>
      <c r="H20" s="600"/>
      <c r="I20" s="600"/>
    </row>
    <row r="21" spans="2:9" ht="15.75">
      <c r="B21" s="600"/>
      <c r="C21" s="600"/>
      <c r="D21" s="600"/>
      <c r="E21" s="605">
        <v>0</v>
      </c>
      <c r="F21" s="600"/>
      <c r="G21" s="605">
        <v>0</v>
      </c>
      <c r="H21" s="600"/>
      <c r="I21" s="600"/>
    </row>
    <row r="22" spans="2:9" ht="15.75">
      <c r="B22" s="600" t="s">
        <v>666</v>
      </c>
      <c r="C22" s="600"/>
      <c r="D22" s="600"/>
      <c r="E22" s="606">
        <f>SUM(E15:E21)</f>
        <v>0</v>
      </c>
      <c r="F22" s="600"/>
      <c r="G22" s="606">
        <f>SUM(G15:G21)</f>
        <v>0</v>
      </c>
      <c r="H22" s="600"/>
      <c r="I22" s="600"/>
    </row>
    <row r="23" spans="2:9" ht="15.75">
      <c r="B23" s="600" t="s">
        <v>667</v>
      </c>
      <c r="C23" s="600"/>
      <c r="D23" s="600"/>
      <c r="E23" s="607">
        <f>G22-E22</f>
        <v>0</v>
      </c>
      <c r="F23" s="600"/>
      <c r="G23" s="608"/>
      <c r="H23" s="600"/>
      <c r="I23" s="600"/>
    </row>
    <row r="24" spans="2:9" ht="15.75">
      <c r="B24" s="600" t="s">
        <v>668</v>
      </c>
      <c r="C24" s="600"/>
      <c r="D24" s="609" t="str">
        <f>IF((G22-E22)&gt;=0,"Qualify","Not Qualify")</f>
        <v>Qualify</v>
      </c>
      <c r="E24" s="600"/>
      <c r="F24" s="600"/>
      <c r="G24" s="600"/>
      <c r="H24" s="600"/>
      <c r="I24" s="600"/>
    </row>
    <row r="25" spans="2:9" ht="15.75">
      <c r="B25" s="600"/>
      <c r="C25" s="600"/>
      <c r="D25" s="600"/>
      <c r="E25" s="600"/>
      <c r="F25" s="600"/>
      <c r="G25" s="600"/>
      <c r="H25" s="600"/>
      <c r="I25" s="600"/>
    </row>
    <row r="26" spans="2:9" ht="15.75">
      <c r="B26" s="602" t="s">
        <v>669</v>
      </c>
      <c r="C26" s="600"/>
      <c r="D26" s="600"/>
      <c r="E26" s="600"/>
      <c r="F26" s="600"/>
      <c r="G26" s="600"/>
      <c r="H26" s="600"/>
      <c r="I26" s="600"/>
    </row>
    <row r="27" spans="2:9" ht="15.75">
      <c r="B27" s="600" t="s">
        <v>670</v>
      </c>
      <c r="C27" s="600"/>
      <c r="D27" s="600"/>
      <c r="E27" s="605">
        <f>summ!E51</f>
        <v>0</v>
      </c>
      <c r="F27" s="600"/>
      <c r="G27" s="605">
        <f>summ!G51</f>
        <v>0</v>
      </c>
      <c r="H27" s="600"/>
      <c r="I27" s="600"/>
    </row>
    <row r="28" spans="2:9" ht="15.75">
      <c r="B28" s="600" t="s">
        <v>671</v>
      </c>
      <c r="C28" s="600"/>
      <c r="D28" s="600"/>
      <c r="E28" s="610" t="str">
        <f>IF(G27-E27&gt;=0,"No","Yes")</f>
        <v>No</v>
      </c>
      <c r="F28" s="600"/>
      <c r="G28" s="600"/>
      <c r="H28" s="600"/>
      <c r="I28" s="600"/>
    </row>
    <row r="29" spans="2:9" ht="15.75">
      <c r="B29" s="600" t="s">
        <v>672</v>
      </c>
      <c r="C29" s="600"/>
      <c r="D29" s="600"/>
      <c r="E29" s="611" t="str">
        <f>summ!F29</f>
        <v>  </v>
      </c>
      <c r="F29" s="600"/>
      <c r="G29" s="611">
        <f>summ!I45</f>
        <v>0</v>
      </c>
      <c r="H29" s="600"/>
      <c r="I29" s="600"/>
    </row>
    <row r="30" spans="2:9" ht="15.75">
      <c r="B30" s="600" t="s">
        <v>673</v>
      </c>
      <c r="C30" s="600"/>
      <c r="D30" s="600"/>
      <c r="E30" s="612" t="e">
        <f>G29-E29</f>
        <v>#VALUE!</v>
      </c>
      <c r="F30" s="600"/>
      <c r="G30" s="600"/>
      <c r="H30" s="600"/>
      <c r="I30" s="600"/>
    </row>
    <row r="31" spans="2:9" ht="15.75">
      <c r="B31" s="600" t="s">
        <v>668</v>
      </c>
      <c r="C31" s="600"/>
      <c r="D31" s="613" t="e">
        <f>IF(E30&gt;=0,"Qualify","Not Qualify")</f>
        <v>#VALUE!</v>
      </c>
      <c r="E31" s="600"/>
      <c r="F31" s="600"/>
      <c r="G31" s="600"/>
      <c r="H31" s="600"/>
      <c r="I31" s="600"/>
    </row>
    <row r="32" spans="2:9" ht="15.75">
      <c r="B32" s="600"/>
      <c r="C32" s="600"/>
      <c r="D32" s="600"/>
      <c r="E32" s="600"/>
      <c r="F32" s="600"/>
      <c r="G32" s="600"/>
      <c r="H32" s="600"/>
      <c r="I32" s="600"/>
    </row>
    <row r="33" spans="2:9" ht="15.75">
      <c r="B33" s="600" t="s">
        <v>674</v>
      </c>
      <c r="C33" s="600"/>
      <c r="D33" s="600"/>
      <c r="E33" s="600"/>
      <c r="F33" s="614" t="str">
        <f>IF(D24="Not Qualify",IF(D31="Not Qualify",IF(D31="Not Qualify","Not Qualify","Qualify"),"Qualify"),"Qualify")</f>
        <v>Qualify</v>
      </c>
      <c r="G33" s="600"/>
      <c r="H33" s="600"/>
      <c r="I33" s="600"/>
    </row>
    <row r="34" spans="2:9" ht="15.75">
      <c r="B34" s="600"/>
      <c r="C34" s="600"/>
      <c r="D34" s="600"/>
      <c r="E34" s="600"/>
      <c r="F34" s="600"/>
      <c r="G34" s="600"/>
      <c r="H34" s="600"/>
      <c r="I34" s="600"/>
    </row>
    <row r="35" spans="2:9" ht="15.75">
      <c r="B35" s="600"/>
      <c r="C35" s="600"/>
      <c r="D35" s="600"/>
      <c r="E35" s="600"/>
      <c r="F35" s="600"/>
      <c r="G35" s="600"/>
      <c r="H35" s="600"/>
      <c r="I35" s="600"/>
    </row>
    <row r="36" spans="2:9" ht="37.5" customHeight="1">
      <c r="B36" s="938" t="s">
        <v>675</v>
      </c>
      <c r="C36" s="938"/>
      <c r="D36" s="938"/>
      <c r="E36" s="938"/>
      <c r="F36" s="938"/>
      <c r="G36" s="938"/>
      <c r="H36" s="938"/>
      <c r="I36" s="938"/>
    </row>
    <row r="37" spans="2:9" ht="15.75">
      <c r="B37" s="600"/>
      <c r="C37" s="600"/>
      <c r="D37" s="600"/>
      <c r="E37" s="600"/>
      <c r="F37" s="600"/>
      <c r="G37" s="600"/>
      <c r="H37" s="600"/>
      <c r="I37" s="600"/>
    </row>
    <row r="38" spans="2:9" ht="15.75">
      <c r="B38" s="600"/>
      <c r="C38" s="600"/>
      <c r="D38" s="600"/>
      <c r="E38" s="600"/>
      <c r="F38" s="600"/>
      <c r="G38" s="600"/>
      <c r="H38" s="600"/>
      <c r="I38" s="600"/>
    </row>
    <row r="39" spans="2:9" ht="15.75">
      <c r="B39" s="600"/>
      <c r="C39" s="600"/>
      <c r="D39" s="600"/>
      <c r="E39" s="600"/>
      <c r="F39" s="600"/>
      <c r="G39" s="600"/>
      <c r="H39" s="600"/>
      <c r="I39" s="600"/>
    </row>
    <row r="40" spans="2:9" ht="15.75">
      <c r="B40" s="600"/>
      <c r="C40" s="600"/>
      <c r="D40" s="600"/>
      <c r="E40" s="615" t="s">
        <v>676</v>
      </c>
      <c r="F40" s="616">
        <v>7</v>
      </c>
      <c r="G40" s="600"/>
      <c r="H40" s="600"/>
      <c r="I40" s="600"/>
    </row>
    <row r="41" spans="2:9" ht="15.75">
      <c r="B41" s="600"/>
      <c r="C41" s="600"/>
      <c r="D41" s="600"/>
      <c r="E41" s="600"/>
      <c r="F41" s="600"/>
      <c r="G41" s="600"/>
      <c r="H41" s="600"/>
      <c r="I41" s="600"/>
    </row>
    <row r="42" spans="2:9" ht="15.75">
      <c r="B42" s="600"/>
      <c r="C42" s="600"/>
      <c r="D42" s="600"/>
      <c r="E42" s="600"/>
      <c r="F42" s="600"/>
      <c r="G42" s="600"/>
      <c r="H42" s="600"/>
      <c r="I42" s="600"/>
    </row>
    <row r="43" spans="2:9" ht="15.75">
      <c r="B43" s="939" t="s">
        <v>677</v>
      </c>
      <c r="C43" s="940"/>
      <c r="D43" s="940"/>
      <c r="E43" s="940"/>
      <c r="F43" s="940"/>
      <c r="G43" s="940"/>
      <c r="H43" s="940"/>
      <c r="I43" s="940"/>
    </row>
    <row r="44" spans="2:9" ht="15.75">
      <c r="B44" s="600"/>
      <c r="C44" s="600"/>
      <c r="D44" s="600"/>
      <c r="E44" s="600"/>
      <c r="F44" s="600"/>
      <c r="G44" s="600"/>
      <c r="H44" s="600"/>
      <c r="I44" s="600"/>
    </row>
    <row r="45" spans="2:9" ht="15.75">
      <c r="B45" s="617" t="s">
        <v>678</v>
      </c>
      <c r="C45" s="600"/>
      <c r="D45" s="600"/>
      <c r="E45" s="600"/>
      <c r="F45" s="600"/>
      <c r="G45" s="600"/>
      <c r="H45" s="600"/>
      <c r="I45" s="600"/>
    </row>
    <row r="46" spans="2:9" ht="15.75">
      <c r="B46" s="617" t="str">
        <f>CONCATENATE("sources in your ",G14," library fund is not equal to or greater than the amount from the same")</f>
        <v>sources in your 0 library fund is not equal to or greater than the amount from the same</v>
      </c>
      <c r="C46" s="600"/>
      <c r="D46" s="600"/>
      <c r="E46" s="600"/>
      <c r="F46" s="600"/>
      <c r="G46" s="600"/>
      <c r="H46" s="600"/>
      <c r="I46" s="600"/>
    </row>
    <row r="47" spans="2:9" ht="15.75">
      <c r="B47" s="617" t="str">
        <f>CONCATENATE("sources in ",E14,".")</f>
        <v>sources in -1.</v>
      </c>
      <c r="C47" s="598"/>
      <c r="D47" s="598"/>
      <c r="E47" s="598"/>
      <c r="F47" s="598"/>
      <c r="G47" s="598"/>
      <c r="H47" s="598"/>
      <c r="I47" s="598"/>
    </row>
    <row r="48" spans="2:9" ht="15.75">
      <c r="B48" s="598"/>
      <c r="C48" s="598"/>
      <c r="D48" s="598"/>
      <c r="E48" s="598"/>
      <c r="F48" s="598"/>
      <c r="G48" s="598"/>
      <c r="H48" s="598"/>
      <c r="I48" s="598"/>
    </row>
    <row r="49" spans="2:9" ht="15.75">
      <c r="B49" s="617" t="s">
        <v>679</v>
      </c>
      <c r="C49" s="617"/>
      <c r="D49" s="618"/>
      <c r="E49" s="618"/>
      <c r="F49" s="618"/>
      <c r="G49" s="618"/>
      <c r="H49" s="618"/>
      <c r="I49" s="618"/>
    </row>
    <row r="50" spans="2:9" ht="15.75">
      <c r="B50" s="617" t="s">
        <v>680</v>
      </c>
      <c r="C50" s="617"/>
      <c r="D50" s="618"/>
      <c r="E50" s="618"/>
      <c r="F50" s="618"/>
      <c r="G50" s="618"/>
      <c r="H50" s="618"/>
      <c r="I50" s="618"/>
    </row>
    <row r="51" spans="2:9" ht="15.75">
      <c r="B51" s="617" t="s">
        <v>681</v>
      </c>
      <c r="C51" s="617"/>
      <c r="D51" s="618"/>
      <c r="E51" s="618"/>
      <c r="F51" s="618"/>
      <c r="G51" s="618"/>
      <c r="H51" s="618"/>
      <c r="I51" s="618"/>
    </row>
    <row r="52" spans="2:9" ht="15">
      <c r="B52" s="618"/>
      <c r="C52" s="618"/>
      <c r="D52" s="618"/>
      <c r="E52" s="618"/>
      <c r="F52" s="618"/>
      <c r="G52" s="618"/>
      <c r="H52" s="618"/>
      <c r="I52" s="618"/>
    </row>
    <row r="53" spans="2:9" ht="15.75">
      <c r="B53" s="619" t="s">
        <v>682</v>
      </c>
      <c r="C53" s="618"/>
      <c r="D53" s="618"/>
      <c r="E53" s="618"/>
      <c r="F53" s="618"/>
      <c r="G53" s="618"/>
      <c r="H53" s="618"/>
      <c r="I53" s="618"/>
    </row>
    <row r="54" spans="2:9" ht="15">
      <c r="B54" s="618"/>
      <c r="C54" s="618"/>
      <c r="D54" s="618"/>
      <c r="E54" s="618"/>
      <c r="F54" s="618"/>
      <c r="G54" s="618"/>
      <c r="H54" s="618"/>
      <c r="I54" s="618"/>
    </row>
    <row r="55" spans="2:9" ht="15.75">
      <c r="B55" s="617" t="s">
        <v>683</v>
      </c>
      <c r="C55" s="618"/>
      <c r="D55" s="618"/>
      <c r="E55" s="618"/>
      <c r="F55" s="618"/>
      <c r="G55" s="618"/>
      <c r="H55" s="618"/>
      <c r="I55" s="618"/>
    </row>
    <row r="56" spans="2:9" ht="15.75">
      <c r="B56" s="617" t="s">
        <v>684</v>
      </c>
      <c r="C56" s="618"/>
      <c r="D56" s="618"/>
      <c r="E56" s="618"/>
      <c r="F56" s="618"/>
      <c r="G56" s="618"/>
      <c r="H56" s="618"/>
      <c r="I56" s="618"/>
    </row>
    <row r="57" spans="2:9" ht="15">
      <c r="B57" s="618"/>
      <c r="C57" s="618"/>
      <c r="D57" s="618"/>
      <c r="E57" s="618"/>
      <c r="F57" s="618"/>
      <c r="G57" s="618"/>
      <c r="H57" s="618"/>
      <c r="I57" s="618"/>
    </row>
    <row r="58" spans="2:9" ht="15.75">
      <c r="B58" s="619" t="s">
        <v>685</v>
      </c>
      <c r="C58" s="617"/>
      <c r="D58" s="617"/>
      <c r="E58" s="617"/>
      <c r="F58" s="617"/>
      <c r="G58" s="618"/>
      <c r="H58" s="618"/>
      <c r="I58" s="618"/>
    </row>
    <row r="59" spans="2:9" ht="15.75">
      <c r="B59" s="617"/>
      <c r="C59" s="617"/>
      <c r="D59" s="617"/>
      <c r="E59" s="617"/>
      <c r="F59" s="617"/>
      <c r="G59" s="618"/>
      <c r="H59" s="618"/>
      <c r="I59" s="618"/>
    </row>
    <row r="60" spans="2:9" ht="15.75">
      <c r="B60" s="617" t="s">
        <v>686</v>
      </c>
      <c r="C60" s="617"/>
      <c r="D60" s="617"/>
      <c r="E60" s="617"/>
      <c r="F60" s="617"/>
      <c r="G60" s="618"/>
      <c r="H60" s="618"/>
      <c r="I60" s="618"/>
    </row>
    <row r="61" spans="2:9" ht="15.75">
      <c r="B61" s="617" t="s">
        <v>687</v>
      </c>
      <c r="C61" s="617"/>
      <c r="D61" s="617"/>
      <c r="E61" s="617"/>
      <c r="F61" s="617"/>
      <c r="G61" s="618"/>
      <c r="H61" s="618"/>
      <c r="I61" s="618"/>
    </row>
    <row r="62" spans="2:9" ht="15.75">
      <c r="B62" s="617" t="s">
        <v>688</v>
      </c>
      <c r="C62" s="617"/>
      <c r="D62" s="617"/>
      <c r="E62" s="617"/>
      <c r="F62" s="617"/>
      <c r="G62" s="618"/>
      <c r="H62" s="618"/>
      <c r="I62" s="618"/>
    </row>
    <row r="63" spans="2:9" ht="15.75">
      <c r="B63" s="617" t="s">
        <v>689</v>
      </c>
      <c r="C63" s="617"/>
      <c r="D63" s="617"/>
      <c r="E63" s="617"/>
      <c r="F63" s="617"/>
      <c r="G63" s="618"/>
      <c r="H63" s="618"/>
      <c r="I63" s="618"/>
    </row>
    <row r="64" spans="2:9" ht="15">
      <c r="B64" s="620"/>
      <c r="C64" s="620"/>
      <c r="D64" s="620"/>
      <c r="E64" s="620"/>
      <c r="F64" s="620"/>
      <c r="G64" s="618"/>
      <c r="H64" s="618"/>
      <c r="I64" s="618"/>
    </row>
    <row r="65" spans="2:9" ht="15.75">
      <c r="B65" s="617" t="s">
        <v>690</v>
      </c>
      <c r="C65" s="620"/>
      <c r="D65" s="620"/>
      <c r="E65" s="620"/>
      <c r="F65" s="620"/>
      <c r="G65" s="618"/>
      <c r="H65" s="618"/>
      <c r="I65" s="618"/>
    </row>
    <row r="66" spans="2:9" ht="15.75">
      <c r="B66" s="617" t="s">
        <v>691</v>
      </c>
      <c r="C66" s="620"/>
      <c r="D66" s="620"/>
      <c r="E66" s="620"/>
      <c r="F66" s="620"/>
      <c r="G66" s="618"/>
      <c r="H66" s="618"/>
      <c r="I66" s="618"/>
    </row>
    <row r="67" spans="2:9" ht="15">
      <c r="B67" s="620"/>
      <c r="C67" s="620"/>
      <c r="D67" s="620"/>
      <c r="E67" s="620"/>
      <c r="F67" s="620"/>
      <c r="G67" s="618"/>
      <c r="H67" s="618"/>
      <c r="I67" s="618"/>
    </row>
    <row r="68" spans="2:9" ht="15.75">
      <c r="B68" s="617" t="s">
        <v>692</v>
      </c>
      <c r="C68" s="620"/>
      <c r="D68" s="620"/>
      <c r="E68" s="620"/>
      <c r="F68" s="620"/>
      <c r="G68" s="618"/>
      <c r="H68" s="618"/>
      <c r="I68" s="618"/>
    </row>
    <row r="69" spans="2:9" ht="15.75">
      <c r="B69" s="617" t="s">
        <v>693</v>
      </c>
      <c r="C69" s="620"/>
      <c r="D69" s="620"/>
      <c r="E69" s="620"/>
      <c r="F69" s="620"/>
      <c r="G69" s="618"/>
      <c r="H69" s="618"/>
      <c r="I69" s="618"/>
    </row>
    <row r="70" spans="2:9" ht="15">
      <c r="B70" s="620"/>
      <c r="C70" s="620"/>
      <c r="D70" s="620"/>
      <c r="E70" s="620"/>
      <c r="F70" s="620"/>
      <c r="G70" s="618"/>
      <c r="H70" s="618"/>
      <c r="I70" s="618"/>
    </row>
    <row r="71" spans="2:9" ht="15.75">
      <c r="B71" s="619" t="s">
        <v>694</v>
      </c>
      <c r="C71" s="620"/>
      <c r="D71" s="620"/>
      <c r="E71" s="620"/>
      <c r="F71" s="620"/>
      <c r="G71" s="618"/>
      <c r="H71" s="618"/>
      <c r="I71" s="618"/>
    </row>
    <row r="72" spans="2:9" ht="15">
      <c r="B72" s="620"/>
      <c r="C72" s="620"/>
      <c r="D72" s="620"/>
      <c r="E72" s="620"/>
      <c r="F72" s="620"/>
      <c r="G72" s="618"/>
      <c r="H72" s="618"/>
      <c r="I72" s="618"/>
    </row>
    <row r="73" spans="2:9" ht="15.75">
      <c r="B73" s="617" t="s">
        <v>695</v>
      </c>
      <c r="C73" s="620"/>
      <c r="D73" s="620"/>
      <c r="E73" s="620"/>
      <c r="F73" s="620"/>
      <c r="G73" s="618"/>
      <c r="H73" s="618"/>
      <c r="I73" s="618"/>
    </row>
    <row r="74" spans="2:9" ht="15.75">
      <c r="B74" s="617" t="s">
        <v>696</v>
      </c>
      <c r="C74" s="620"/>
      <c r="D74" s="620"/>
      <c r="E74" s="620"/>
      <c r="F74" s="620"/>
      <c r="G74" s="618"/>
      <c r="H74" s="618"/>
      <c r="I74" s="618"/>
    </row>
    <row r="75" spans="2:9" ht="15">
      <c r="B75" s="620"/>
      <c r="C75" s="620"/>
      <c r="D75" s="620"/>
      <c r="E75" s="620"/>
      <c r="F75" s="620"/>
      <c r="G75" s="618"/>
      <c r="H75" s="618"/>
      <c r="I75" s="618"/>
    </row>
    <row r="76" spans="2:9" ht="15.75">
      <c r="B76" s="619" t="s">
        <v>697</v>
      </c>
      <c r="C76" s="620"/>
      <c r="D76" s="620"/>
      <c r="E76" s="620"/>
      <c r="F76" s="620"/>
      <c r="G76" s="618"/>
      <c r="H76" s="618"/>
      <c r="I76" s="618"/>
    </row>
    <row r="77" spans="2:9" ht="15">
      <c r="B77" s="620"/>
      <c r="C77" s="620"/>
      <c r="D77" s="620"/>
      <c r="E77" s="620"/>
      <c r="F77" s="620"/>
      <c r="G77" s="618"/>
      <c r="H77" s="618"/>
      <c r="I77" s="618"/>
    </row>
    <row r="78" spans="2:9" ht="15.75">
      <c r="B78" s="617" t="str">
        <f>CONCATENATE("If the ",G14," municipal budget has not been published and has not been submitted to the County")</f>
        <v>If the 0 municipal budget has not been published and has not been submitted to the County</v>
      </c>
      <c r="C78" s="620"/>
      <c r="D78" s="620"/>
      <c r="E78" s="620"/>
      <c r="F78" s="620"/>
      <c r="G78" s="618"/>
      <c r="H78" s="618"/>
      <c r="I78" s="618"/>
    </row>
    <row r="79" spans="2:9" ht="15.75">
      <c r="B79" s="617" t="s">
        <v>698</v>
      </c>
      <c r="C79" s="620"/>
      <c r="D79" s="620"/>
      <c r="E79" s="620"/>
      <c r="F79" s="620"/>
      <c r="G79" s="618"/>
      <c r="H79" s="618"/>
      <c r="I79" s="618"/>
    </row>
    <row r="80" spans="2:9" ht="15">
      <c r="B80" s="620"/>
      <c r="C80" s="620"/>
      <c r="D80" s="620"/>
      <c r="E80" s="620"/>
      <c r="F80" s="620"/>
      <c r="G80" s="618"/>
      <c r="H80" s="618"/>
      <c r="I80" s="618"/>
    </row>
    <row r="81" spans="2:9" ht="15.75">
      <c r="B81" s="619" t="s">
        <v>334</v>
      </c>
      <c r="C81" s="620"/>
      <c r="D81" s="620"/>
      <c r="E81" s="620"/>
      <c r="F81" s="620"/>
      <c r="G81" s="618"/>
      <c r="H81" s="618"/>
      <c r="I81" s="618"/>
    </row>
    <row r="82" spans="2:9" ht="15">
      <c r="B82" s="620"/>
      <c r="C82" s="620"/>
      <c r="D82" s="620"/>
      <c r="E82" s="620"/>
      <c r="F82" s="620"/>
      <c r="G82" s="618"/>
      <c r="H82" s="618"/>
      <c r="I82" s="618"/>
    </row>
    <row r="83" spans="2:9" ht="15.75">
      <c r="B83" s="617" t="s">
        <v>699</v>
      </c>
      <c r="C83" s="620"/>
      <c r="D83" s="620"/>
      <c r="E83" s="620"/>
      <c r="F83" s="620"/>
      <c r="G83" s="618"/>
      <c r="H83" s="618"/>
      <c r="I83" s="618"/>
    </row>
    <row r="84" spans="2:9" ht="15.75">
      <c r="B84" s="617" t="str">
        <f>CONCATENATE("Budget Year ",G14," is equal to or greater than that for Current Year Estimate ",E14,".")</f>
        <v>Budget Year 0 is equal to or greater than that for Current Year Estimate -1.</v>
      </c>
      <c r="C84" s="620"/>
      <c r="D84" s="620"/>
      <c r="E84" s="620"/>
      <c r="F84" s="620"/>
      <c r="G84" s="618"/>
      <c r="H84" s="618"/>
      <c r="I84" s="618"/>
    </row>
    <row r="85" spans="2:9" ht="15">
      <c r="B85" s="620"/>
      <c r="C85" s="620"/>
      <c r="D85" s="620"/>
      <c r="E85" s="620"/>
      <c r="F85" s="620"/>
      <c r="G85" s="618"/>
      <c r="H85" s="618"/>
      <c r="I85" s="618"/>
    </row>
    <row r="86" spans="2:9" ht="15.75">
      <c r="B86" s="617" t="s">
        <v>700</v>
      </c>
      <c r="C86" s="620"/>
      <c r="D86" s="620"/>
      <c r="E86" s="620"/>
      <c r="F86" s="620"/>
      <c r="G86" s="618"/>
      <c r="H86" s="618"/>
      <c r="I86" s="618"/>
    </row>
    <row r="87" spans="2:9" ht="15.75">
      <c r="B87" s="617" t="s">
        <v>701</v>
      </c>
      <c r="C87" s="620"/>
      <c r="D87" s="620"/>
      <c r="E87" s="620"/>
      <c r="F87" s="620"/>
      <c r="G87" s="618"/>
      <c r="H87" s="618"/>
      <c r="I87" s="618"/>
    </row>
    <row r="88" spans="2:9" ht="15.75">
      <c r="B88" s="617" t="s">
        <v>702</v>
      </c>
      <c r="C88" s="620"/>
      <c r="D88" s="620"/>
      <c r="E88" s="620"/>
      <c r="F88" s="620"/>
      <c r="G88" s="618"/>
      <c r="H88" s="618"/>
      <c r="I88" s="618"/>
    </row>
    <row r="89" spans="2:9" ht="15.75">
      <c r="B89" s="617" t="str">
        <f>CONCATENATE("purpose for the previous (",E14,") year.")</f>
        <v>purpose for the previous (-1) year.</v>
      </c>
      <c r="C89" s="620"/>
      <c r="D89" s="620"/>
      <c r="E89" s="620"/>
      <c r="F89" s="620"/>
      <c r="G89" s="618"/>
      <c r="H89" s="618"/>
      <c r="I89" s="618"/>
    </row>
    <row r="90" spans="2:9" ht="15">
      <c r="B90" s="620"/>
      <c r="C90" s="620"/>
      <c r="D90" s="620"/>
      <c r="E90" s="620"/>
      <c r="F90" s="620"/>
      <c r="G90" s="618"/>
      <c r="H90" s="618"/>
      <c r="I90" s="618"/>
    </row>
    <row r="91" spans="2:9" ht="15.75">
      <c r="B91" s="617" t="str">
        <f>CONCATENATE("Next, look to see if delinquent tax for ",G14," is budgeted. Often this line is budgeted at $0 or left")</f>
        <v>Next, look to see if delinquent tax for 0 is budgeted. Often this line is budgeted at $0 or left</v>
      </c>
      <c r="C91" s="620"/>
      <c r="D91" s="620"/>
      <c r="E91" s="620"/>
      <c r="F91" s="620"/>
      <c r="G91" s="618"/>
      <c r="H91" s="618"/>
      <c r="I91" s="618"/>
    </row>
    <row r="92" spans="2:9" ht="15.75">
      <c r="B92" s="617" t="s">
        <v>703</v>
      </c>
      <c r="C92" s="620"/>
      <c r="D92" s="620"/>
      <c r="E92" s="620"/>
      <c r="F92" s="620"/>
      <c r="G92" s="618"/>
      <c r="H92" s="618"/>
      <c r="I92" s="618"/>
    </row>
    <row r="93" spans="2:9" ht="15.75">
      <c r="B93" s="617" t="s">
        <v>704</v>
      </c>
      <c r="C93" s="620"/>
      <c r="D93" s="620"/>
      <c r="E93" s="620"/>
      <c r="F93" s="620"/>
      <c r="G93" s="618"/>
      <c r="H93" s="618"/>
      <c r="I93" s="618"/>
    </row>
    <row r="94" spans="2:9" ht="15.75">
      <c r="B94" s="617" t="s">
        <v>705</v>
      </c>
      <c r="C94" s="620"/>
      <c r="D94" s="620"/>
      <c r="E94" s="620"/>
      <c r="F94" s="620"/>
      <c r="G94" s="618"/>
      <c r="H94" s="618"/>
      <c r="I94" s="618"/>
    </row>
    <row r="95" spans="2:9" ht="15">
      <c r="B95" s="620"/>
      <c r="C95" s="620"/>
      <c r="D95" s="620"/>
      <c r="E95" s="620"/>
      <c r="F95" s="620"/>
      <c r="G95" s="618"/>
      <c r="H95" s="618"/>
      <c r="I95" s="618"/>
    </row>
    <row r="96" spans="2:9" ht="15.75">
      <c r="B96" s="619" t="s">
        <v>706</v>
      </c>
      <c r="C96" s="620"/>
      <c r="D96" s="620"/>
      <c r="E96" s="620"/>
      <c r="F96" s="620"/>
      <c r="G96" s="618"/>
      <c r="H96" s="618"/>
      <c r="I96" s="618"/>
    </row>
    <row r="97" spans="2:9" ht="15">
      <c r="B97" s="620"/>
      <c r="C97" s="620"/>
      <c r="D97" s="620"/>
      <c r="E97" s="620"/>
      <c r="F97" s="620"/>
      <c r="G97" s="618"/>
      <c r="H97" s="618"/>
      <c r="I97" s="618"/>
    </row>
    <row r="98" spans="2:9" ht="15.75">
      <c r="B98" s="617" t="s">
        <v>707</v>
      </c>
      <c r="C98" s="620"/>
      <c r="D98" s="620"/>
      <c r="E98" s="620"/>
      <c r="F98" s="620"/>
      <c r="G98" s="618"/>
      <c r="H98" s="618"/>
      <c r="I98" s="618"/>
    </row>
    <row r="99" spans="2:9" ht="15.75">
      <c r="B99" s="617" t="s">
        <v>708</v>
      </c>
      <c r="C99" s="620"/>
      <c r="D99" s="620"/>
      <c r="E99" s="620"/>
      <c r="F99" s="620"/>
      <c r="G99" s="618"/>
      <c r="H99" s="618"/>
      <c r="I99" s="618"/>
    </row>
    <row r="100" spans="2:9" ht="15">
      <c r="B100" s="620"/>
      <c r="C100" s="620"/>
      <c r="D100" s="620"/>
      <c r="E100" s="620"/>
      <c r="F100" s="620"/>
      <c r="G100" s="618"/>
      <c r="H100" s="618"/>
      <c r="I100" s="618"/>
    </row>
    <row r="101" spans="2:9" ht="15.75">
      <c r="B101" s="617" t="s">
        <v>709</v>
      </c>
      <c r="C101" s="620"/>
      <c r="D101" s="620"/>
      <c r="E101" s="620"/>
      <c r="F101" s="620"/>
      <c r="G101" s="618"/>
      <c r="H101" s="618"/>
      <c r="I101" s="618"/>
    </row>
    <row r="102" spans="2:9" ht="15.75">
      <c r="B102" s="617" t="s">
        <v>710</v>
      </c>
      <c r="C102" s="620"/>
      <c r="D102" s="620"/>
      <c r="E102" s="620"/>
      <c r="F102" s="620"/>
      <c r="G102" s="618"/>
      <c r="H102" s="618"/>
      <c r="I102" s="618"/>
    </row>
    <row r="103" spans="2:9" ht="15.75">
      <c r="B103" s="617" t="s">
        <v>711</v>
      </c>
      <c r="C103" s="620"/>
      <c r="D103" s="620"/>
      <c r="E103" s="620"/>
      <c r="F103" s="620"/>
      <c r="G103" s="618"/>
      <c r="H103" s="618"/>
      <c r="I103" s="618"/>
    </row>
    <row r="104" spans="2:9" ht="15.75">
      <c r="B104" s="617" t="s">
        <v>712</v>
      </c>
      <c r="C104" s="620"/>
      <c r="D104" s="620"/>
      <c r="E104" s="620"/>
      <c r="F104" s="620"/>
      <c r="G104" s="618"/>
      <c r="H104" s="618"/>
      <c r="I104" s="618"/>
    </row>
    <row r="105" spans="2:9" ht="15.75">
      <c r="B105" s="747" t="s">
        <v>984</v>
      </c>
      <c r="C105" s="681"/>
      <c r="D105" s="681"/>
      <c r="E105" s="681"/>
      <c r="F105" s="681"/>
      <c r="G105" s="618"/>
      <c r="H105" s="618"/>
      <c r="I105" s="618"/>
    </row>
    <row r="108" ht="15">
      <c r="G108" s="621"/>
    </row>
  </sheetData>
  <sheetProtection/>
  <mergeCells count="6">
    <mergeCell ref="B2:I2"/>
    <mergeCell ref="B3:I3"/>
    <mergeCell ref="B5:I5"/>
    <mergeCell ref="B10:I10"/>
    <mergeCell ref="B36:I36"/>
    <mergeCell ref="B43:I43"/>
  </mergeCells>
  <hyperlinks>
    <hyperlink ref="B105" r:id="rId1" display="megan.schulz@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Y68" sqref="Y68"/>
    </sheetView>
  </sheetViews>
  <sheetFormatPr defaultColWidth="8.796875" defaultRowHeight="15.75"/>
  <cols>
    <col min="1" max="1" width="2.3984375" style="108" customWidth="1"/>
    <col min="2" max="2" width="31" style="108" customWidth="1"/>
    <col min="3" max="4" width="15.69921875" style="108" customWidth="1"/>
    <col min="5" max="5" width="13.69921875" style="108" customWidth="1"/>
    <col min="6" max="6" width="8.796875" style="108" customWidth="1"/>
    <col min="7" max="7" width="9.19921875" style="108" customWidth="1"/>
    <col min="8" max="8" width="8.796875" style="108" customWidth="1"/>
    <col min="9" max="9" width="4.5" style="108" customWidth="1"/>
    <col min="10" max="10" width="9" style="108" customWidth="1"/>
    <col min="11" max="16384" width="8.796875" style="108" customWidth="1"/>
  </cols>
  <sheetData>
    <row r="1" spans="2:5" ht="15.75">
      <c r="B1" s="74">
        <f>inputPrYr!D3</f>
        <v>0</v>
      </c>
      <c r="C1" s="17"/>
      <c r="D1" s="17"/>
      <c r="E1" s="90">
        <f>inputPrYr!D7</f>
        <v>0</v>
      </c>
    </row>
    <row r="2" spans="2:5" ht="15.75">
      <c r="B2" s="81" t="s">
        <v>16</v>
      </c>
      <c r="C2" s="17"/>
      <c r="D2" s="17"/>
      <c r="E2" s="168"/>
    </row>
    <row r="3" spans="2:5" ht="15.75">
      <c r="B3" s="17"/>
      <c r="C3" s="31"/>
      <c r="D3" s="31"/>
      <c r="E3" s="169"/>
    </row>
    <row r="4" spans="2:5" ht="15.75">
      <c r="B4" s="25" t="s">
        <v>117</v>
      </c>
      <c r="C4" s="353" t="s">
        <v>118</v>
      </c>
      <c r="D4" s="354" t="s">
        <v>119</v>
      </c>
      <c r="E4" s="27" t="s">
        <v>120</v>
      </c>
    </row>
    <row r="5" spans="2:5" ht="15.75">
      <c r="B5" s="428" t="str">
        <f>inputPrYr!B24</f>
        <v>General</v>
      </c>
      <c r="C5" s="170" t="str">
        <f>CONCATENATE("Actual for ",$E$1-2,"")</f>
        <v>Actual for -2</v>
      </c>
      <c r="D5" s="170" t="str">
        <f>CONCATENATE("Estimate for ",$E$1-1,"")</f>
        <v>Estimate for -1</v>
      </c>
      <c r="E5" s="32" t="str">
        <f>CONCATENATE("Year for ",$E$1,"")</f>
        <v>Year for 0</v>
      </c>
    </row>
    <row r="6" spans="2:5" ht="15.75">
      <c r="B6" s="33" t="s">
        <v>215</v>
      </c>
      <c r="C6" s="171"/>
      <c r="D6" s="351">
        <f>C50</f>
        <v>0</v>
      </c>
      <c r="E6" s="125">
        <f>D50</f>
        <v>0</v>
      </c>
    </row>
    <row r="7" spans="2:5" ht="15.75">
      <c r="B7" s="33" t="s">
        <v>217</v>
      </c>
      <c r="C7" s="351"/>
      <c r="D7" s="351"/>
      <c r="E7" s="174"/>
    </row>
    <row r="8" spans="2:5" ht="15.75">
      <c r="B8" s="33" t="s">
        <v>123</v>
      </c>
      <c r="C8" s="171"/>
      <c r="D8" s="351">
        <f>IF(inputPrYr!H23&gt;0,inputPrYr!G24,inputPrYr!E24)</f>
        <v>0</v>
      </c>
      <c r="E8" s="174" t="s">
        <v>106</v>
      </c>
    </row>
    <row r="9" spans="2:5" ht="15.75">
      <c r="B9" s="33" t="s">
        <v>124</v>
      </c>
      <c r="C9" s="171"/>
      <c r="D9" s="171"/>
      <c r="E9" s="145"/>
    </row>
    <row r="10" spans="2:5" ht="15.75">
      <c r="B10" s="33" t="s">
        <v>125</v>
      </c>
      <c r="C10" s="171"/>
      <c r="D10" s="171"/>
      <c r="E10" s="125">
        <f>mvalloc!D11</f>
        <v>0</v>
      </c>
    </row>
    <row r="11" spans="2:5" ht="15.75">
      <c r="B11" s="33" t="s">
        <v>126</v>
      </c>
      <c r="C11" s="171"/>
      <c r="D11" s="171"/>
      <c r="E11" s="125">
        <f>mvalloc!E11</f>
        <v>0</v>
      </c>
    </row>
    <row r="12" spans="2:5" ht="15.75">
      <c r="B12" s="41" t="s">
        <v>175</v>
      </c>
      <c r="C12" s="171"/>
      <c r="D12" s="171"/>
      <c r="E12" s="125">
        <f>mvalloc!F11</f>
        <v>0</v>
      </c>
    </row>
    <row r="13" spans="2:5" ht="15.75">
      <c r="B13" s="753" t="s">
        <v>818</v>
      </c>
      <c r="C13" s="171"/>
      <c r="D13" s="171"/>
      <c r="E13" s="125">
        <f>mvalloc!G11</f>
        <v>0</v>
      </c>
    </row>
    <row r="14" spans="2:5" ht="15.75">
      <c r="B14" s="753" t="s">
        <v>819</v>
      </c>
      <c r="C14" s="171"/>
      <c r="D14" s="171"/>
      <c r="E14" s="125">
        <f>mvalloc!H11</f>
        <v>0</v>
      </c>
    </row>
    <row r="15" spans="2:5" ht="15.75">
      <c r="B15" s="41" t="s">
        <v>241</v>
      </c>
      <c r="C15" s="171"/>
      <c r="D15" s="171"/>
      <c r="E15" s="125">
        <f>inputOth!E54</f>
        <v>0</v>
      </c>
    </row>
    <row r="16" spans="2:5" ht="15.75">
      <c r="B16" s="33" t="s">
        <v>127</v>
      </c>
      <c r="C16" s="171"/>
      <c r="D16" s="171"/>
      <c r="E16" s="125">
        <f>inputOth!E22</f>
        <v>0</v>
      </c>
    </row>
    <row r="17" spans="2:5" ht="15.75">
      <c r="B17" s="176"/>
      <c r="C17" s="171"/>
      <c r="D17" s="171"/>
      <c r="E17" s="145"/>
    </row>
    <row r="18" spans="2:5" ht="15.75">
      <c r="B18" s="121"/>
      <c r="C18" s="171"/>
      <c r="D18" s="171"/>
      <c r="E18" s="121"/>
    </row>
    <row r="19" spans="2:5" ht="15.75">
      <c r="B19" s="177"/>
      <c r="C19" s="171"/>
      <c r="D19" s="171"/>
      <c r="E19" s="145"/>
    </row>
    <row r="20" spans="2:5" ht="15.75">
      <c r="B20" s="177"/>
      <c r="C20" s="171"/>
      <c r="D20" s="171"/>
      <c r="E20" s="145"/>
    </row>
    <row r="21" spans="2:5" ht="15.75">
      <c r="B21" s="177"/>
      <c r="C21" s="171"/>
      <c r="D21" s="171"/>
      <c r="E21" s="145"/>
    </row>
    <row r="22" spans="2:5" ht="15.75">
      <c r="B22" s="176"/>
      <c r="C22" s="171"/>
      <c r="D22" s="171"/>
      <c r="E22" s="145"/>
    </row>
    <row r="23" spans="2:5" ht="15.75">
      <c r="B23" s="177" t="s">
        <v>129</v>
      </c>
      <c r="C23" s="171"/>
      <c r="D23" s="171"/>
      <c r="E23" s="145"/>
    </row>
    <row r="24" spans="2:5" ht="15.75">
      <c r="B24" s="41" t="s">
        <v>47</v>
      </c>
      <c r="C24" s="171"/>
      <c r="D24" s="171"/>
      <c r="E24" s="185">
        <f>nhood!E6*-1</f>
        <v>0</v>
      </c>
    </row>
    <row r="25" spans="2:5" ht="15.75">
      <c r="B25" s="178" t="s">
        <v>45</v>
      </c>
      <c r="C25" s="171"/>
      <c r="D25" s="171"/>
      <c r="E25" s="145"/>
    </row>
    <row r="26" spans="2:5" ht="15.75">
      <c r="B26" s="178" t="s">
        <v>46</v>
      </c>
      <c r="C26" s="350">
        <f>IF(C27*0.1&lt;C25,"Exceed 10% Rule","")</f>
      </c>
      <c r="D26" s="350">
        <f>IF(D27*0.1&lt;D25,"Exceed 10% Rule","")</f>
      </c>
      <c r="E26" s="341">
        <f>IF((E56+E27)*0.1&lt;E25,"Exceed 10% Rule","")</f>
      </c>
    </row>
    <row r="27" spans="2:5" ht="15.75">
      <c r="B27" s="180" t="s">
        <v>130</v>
      </c>
      <c r="C27" s="352">
        <f>SUM(C8:C25)</f>
        <v>0</v>
      </c>
      <c r="D27" s="352">
        <f>SUM(D8:D25)</f>
        <v>0</v>
      </c>
      <c r="E27" s="182">
        <f>SUM(E8:E25)</f>
        <v>0</v>
      </c>
    </row>
    <row r="28" spans="2:5" ht="15.75">
      <c r="B28" s="59" t="s">
        <v>131</v>
      </c>
      <c r="C28" s="352">
        <f>C27+C6</f>
        <v>0</v>
      </c>
      <c r="D28" s="352">
        <f>D27+D6</f>
        <v>0</v>
      </c>
      <c r="E28" s="182">
        <f>E27+E6</f>
        <v>0</v>
      </c>
    </row>
    <row r="29" spans="2:5" ht="15.75">
      <c r="B29" s="33" t="s">
        <v>132</v>
      </c>
      <c r="C29" s="351"/>
      <c r="D29" s="351"/>
      <c r="E29" s="125"/>
    </row>
    <row r="30" spans="2:10" ht="15.75">
      <c r="B30" s="176"/>
      <c r="C30" s="171"/>
      <c r="D30" s="171"/>
      <c r="E30" s="145"/>
      <c r="G30" s="941" t="str">
        <f>CONCATENATE("Desired Carryover Into ",E1+1,"")</f>
        <v>Desired Carryover Into 1</v>
      </c>
      <c r="H30" s="942"/>
      <c r="I30" s="942"/>
      <c r="J30" s="943"/>
    </row>
    <row r="31" spans="2:10" ht="15.75">
      <c r="B31" s="177" t="s">
        <v>207</v>
      </c>
      <c r="C31" s="171"/>
      <c r="D31" s="171"/>
      <c r="E31" s="145"/>
      <c r="G31" s="452"/>
      <c r="H31" s="24"/>
      <c r="I31" s="444"/>
      <c r="J31" s="453"/>
    </row>
    <row r="32" spans="2:10" ht="15.75">
      <c r="B32" s="177" t="s">
        <v>222</v>
      </c>
      <c r="C32" s="171"/>
      <c r="D32" s="171"/>
      <c r="E32" s="145"/>
      <c r="G32" s="454" t="s">
        <v>642</v>
      </c>
      <c r="H32" s="444"/>
      <c r="I32" s="444"/>
      <c r="J32" s="455">
        <v>0</v>
      </c>
    </row>
    <row r="33" spans="2:10" ht="15.75">
      <c r="B33" s="177" t="s">
        <v>208</v>
      </c>
      <c r="C33" s="171"/>
      <c r="D33" s="171"/>
      <c r="E33" s="145"/>
      <c r="G33" s="452" t="s">
        <v>643</v>
      </c>
      <c r="H33" s="24"/>
      <c r="I33" s="24"/>
      <c r="J33" s="639">
        <f>IF(J32=0,"",ROUND((J32+E56-G45)/inputOth!E8*1000,3)-G50)</f>
      </c>
    </row>
    <row r="34" spans="2:10" ht="15.75">
      <c r="B34" s="177" t="s">
        <v>143</v>
      </c>
      <c r="C34" s="171"/>
      <c r="D34" s="171"/>
      <c r="E34" s="145"/>
      <c r="G34" s="640" t="str">
        <f>CONCATENATE("",E1," Tot Exp/Non-Appr Must Be:")</f>
        <v>0 Tot Exp/Non-Appr Must Be:</v>
      </c>
      <c r="H34" s="624"/>
      <c r="I34" s="623"/>
      <c r="J34" s="641">
        <f>IF(J32&gt;0,IF(E53&lt;E22,IF(J32=G45,E53,((J32-G45)*(1-D55))+E22),E53+(J32-G45)),0)</f>
        <v>0</v>
      </c>
    </row>
    <row r="35" spans="2:10" ht="15.75">
      <c r="B35" s="176" t="s">
        <v>209</v>
      </c>
      <c r="C35" s="171"/>
      <c r="D35" s="171"/>
      <c r="E35" s="145"/>
      <c r="G35" s="642" t="s">
        <v>658</v>
      </c>
      <c r="H35" s="643"/>
      <c r="I35" s="643"/>
      <c r="J35" s="644">
        <f>IF(J32&gt;0,J34-E53,0)</f>
        <v>0</v>
      </c>
    </row>
    <row r="36" spans="2:5" ht="15.75">
      <c r="B36" s="176" t="s">
        <v>223</v>
      </c>
      <c r="C36" s="171"/>
      <c r="D36" s="171"/>
      <c r="E36" s="145"/>
    </row>
    <row r="37" spans="2:10" ht="15.75">
      <c r="B37" s="177" t="s">
        <v>225</v>
      </c>
      <c r="C37" s="171"/>
      <c r="D37" s="171"/>
      <c r="E37" s="145"/>
      <c r="G37" s="941" t="str">
        <f>CONCATENATE("Projected Carryover Into ",E1+1,"")</f>
        <v>Projected Carryover Into 1</v>
      </c>
      <c r="H37" s="942"/>
      <c r="I37" s="942"/>
      <c r="J37" s="943"/>
    </row>
    <row r="38" spans="2:10" ht="15.75">
      <c r="B38" s="177"/>
      <c r="C38" s="171"/>
      <c r="D38" s="171"/>
      <c r="E38" s="145"/>
      <c r="G38" s="440"/>
      <c r="H38" s="24"/>
      <c r="I38" s="24"/>
      <c r="J38" s="36"/>
    </row>
    <row r="39" spans="2:10" ht="15.75">
      <c r="B39" s="177"/>
      <c r="C39" s="171"/>
      <c r="D39" s="171"/>
      <c r="E39" s="145"/>
      <c r="G39" s="441">
        <f>D50</f>
        <v>0</v>
      </c>
      <c r="H39" s="442" t="str">
        <f>CONCATENATE("",E1-1," Ending Cash Balance (est.)")</f>
        <v>-1 Ending Cash Balance (est.)</v>
      </c>
      <c r="I39" s="443"/>
      <c r="J39" s="36"/>
    </row>
    <row r="40" spans="2:10" ht="15.75">
      <c r="B40" s="177"/>
      <c r="C40" s="171"/>
      <c r="D40" s="171"/>
      <c r="E40" s="145"/>
      <c r="G40" s="441">
        <f>E27</f>
        <v>0</v>
      </c>
      <c r="H40" s="444" t="str">
        <f>CONCATENATE("",E1," Non-AV Receipts (est.)")</f>
        <v>0 Non-AV Receipts (est.)</v>
      </c>
      <c r="I40" s="443"/>
      <c r="J40" s="36"/>
    </row>
    <row r="41" spans="2:11" ht="15.75">
      <c r="B41" s="176"/>
      <c r="C41" s="171"/>
      <c r="D41" s="171"/>
      <c r="E41" s="145"/>
      <c r="G41" s="445">
        <f>IF(D55&gt;0,E54,E56)</f>
        <v>0</v>
      </c>
      <c r="H41" s="444" t="str">
        <f>CONCATENATE("",E1," Ad Valorem Tax (est.)")</f>
        <v>0 Ad Valorem Tax (est.)</v>
      </c>
      <c r="I41" s="444"/>
      <c r="J41" s="36"/>
      <c r="K41" s="645">
        <f>IF(G41=E56,"","Note: Does not include Delinquent Taxes")</f>
      </c>
    </row>
    <row r="42" spans="2:10" ht="15.75">
      <c r="B42" s="41" t="str">
        <f>CONCATENATE("Cash Forward (",E1," column)")</f>
        <v>Cash Forward (0 column)</v>
      </c>
      <c r="C42" s="171"/>
      <c r="D42" s="171"/>
      <c r="E42" s="145"/>
      <c r="G42" s="441">
        <f>SUM(G39:G41)</f>
        <v>0</v>
      </c>
      <c r="H42" s="444" t="str">
        <f>CONCATENATE("Total ",E1," Resources Available")</f>
        <v>Total 0 Resources Available</v>
      </c>
      <c r="I42" s="443"/>
      <c r="J42" s="36"/>
    </row>
    <row r="43" spans="2:10" ht="15.75">
      <c r="B43" s="41" t="s">
        <v>55</v>
      </c>
      <c r="C43" s="171"/>
      <c r="D43" s="171"/>
      <c r="E43" s="145"/>
      <c r="G43" s="446"/>
      <c r="H43" s="444"/>
      <c r="I43" s="444"/>
      <c r="J43" s="36"/>
    </row>
    <row r="44" spans="2:10" ht="15.75">
      <c r="B44" s="41" t="s">
        <v>56</v>
      </c>
      <c r="C44" s="340">
        <f>IF(AND(C43&gt;0,C8&gt;0),"Not Authorized","")</f>
      </c>
      <c r="D44" s="340">
        <f>IF(AND(D43&gt;0,D8&gt;0),"Not Authorized","")</f>
      </c>
      <c r="E44" s="183">
        <f>IF(AND(E56&gt;0,gen!E43&gt;0),"Not Authorized","")</f>
      </c>
      <c r="G44" s="445">
        <f>ROUND(C49*0.05+C49,0)</f>
        <v>0</v>
      </c>
      <c r="H44" s="444" t="str">
        <f>CONCATENATE("Less ",E1-2," Expenditures + 5%")</f>
        <v>Less -2 Expenditures + 5%</v>
      </c>
      <c r="I44" s="443"/>
      <c r="J44" s="36"/>
    </row>
    <row r="45" spans="2:10" ht="15.75">
      <c r="B45" s="33" t="s">
        <v>57</v>
      </c>
      <c r="C45" s="171"/>
      <c r="D45" s="171"/>
      <c r="E45" s="145"/>
      <c r="G45" s="447">
        <f>G42-G44</f>
        <v>0</v>
      </c>
      <c r="H45" s="448" t="str">
        <f>CONCATENATE("Projected ",E1+1," Carryover (est.)")</f>
        <v>Projected 1 Carryover (est.)</v>
      </c>
      <c r="I45" s="449"/>
      <c r="J45" s="450"/>
    </row>
    <row r="46" spans="2:5" ht="15.75">
      <c r="B46" s="33" t="s">
        <v>649</v>
      </c>
      <c r="C46" s="355">
        <f>IF(C28*0.25&lt;C45,"Exceeds 25%","")</f>
      </c>
      <c r="D46" s="355">
        <f>IF(D28*0.25&lt;D45,"Exceeds 25%","")</f>
      </c>
      <c r="E46" s="184">
        <f>IF(E28*0.25+E56&lt;E45,"Exceeds 25%","")</f>
      </c>
    </row>
    <row r="47" spans="2:10" ht="15.75">
      <c r="B47" s="41" t="s">
        <v>45</v>
      </c>
      <c r="C47" s="171"/>
      <c r="D47" s="171"/>
      <c r="E47" s="145"/>
      <c r="G47" s="944" t="s">
        <v>659</v>
      </c>
      <c r="H47" s="945"/>
      <c r="I47" s="945"/>
      <c r="J47" s="946"/>
    </row>
    <row r="48" spans="2:10" ht="15.75">
      <c r="B48" s="41" t="s">
        <v>637</v>
      </c>
      <c r="C48" s="350">
        <f>IF(C49*0.1&lt;C47,"Exceed 10% Rule","")</f>
      </c>
      <c r="D48" s="350">
        <f>IF(D49*0.1&lt;D47,"Exceed 10% Rule","")</f>
      </c>
      <c r="E48" s="341">
        <f>IF(E49*0.1&lt;E47,"Exceed 10% Rule","")</f>
      </c>
      <c r="G48" s="646"/>
      <c r="H48" s="442"/>
      <c r="I48" s="625"/>
      <c r="J48" s="647"/>
    </row>
    <row r="49" spans="2:10" ht="15.75">
      <c r="B49" s="59" t="s">
        <v>133</v>
      </c>
      <c r="C49" s="352">
        <f>SUM(C30:C43,C45,C47:C47)</f>
        <v>0</v>
      </c>
      <c r="D49" s="352">
        <f>SUM(D30:D43,D45,D47:D47)</f>
        <v>0</v>
      </c>
      <c r="E49" s="182">
        <f>SUM(E30:E43,E45,E47:E47)</f>
        <v>0</v>
      </c>
      <c r="G49" s="648" t="str">
        <f>summ!I27</f>
        <v> </v>
      </c>
      <c r="H49" s="442" t="str">
        <f>CONCATENATE("",E1," Fund Mill Rate")</f>
        <v>0 Fund Mill Rate</v>
      </c>
      <c r="I49" s="625"/>
      <c r="J49" s="647"/>
    </row>
    <row r="50" spans="2:10" ht="15.75">
      <c r="B50" s="33" t="s">
        <v>216</v>
      </c>
      <c r="C50" s="356">
        <f>C28-C49</f>
        <v>0</v>
      </c>
      <c r="D50" s="356">
        <f>D28-D49</f>
        <v>0</v>
      </c>
      <c r="E50" s="174" t="s">
        <v>106</v>
      </c>
      <c r="G50" s="649" t="str">
        <f>summ!F27</f>
        <v>  </v>
      </c>
      <c r="H50" s="442" t="str">
        <f>CONCATENATE("",E1-1," Fund Mill Rate")</f>
        <v>-1 Fund Mill Rate</v>
      </c>
      <c r="I50" s="625"/>
      <c r="J50" s="647"/>
    </row>
    <row r="51" spans="2:10" ht="15.75">
      <c r="B51" s="73" t="str">
        <f>CONCATENATE("",E1-2,"/",E1-1,"/",E1," Budget Authority Amount:")</f>
        <v>-2/-1/0 Budget Authority Amount:</v>
      </c>
      <c r="C51" s="190">
        <f>inputOth!B74</f>
        <v>0</v>
      </c>
      <c r="D51" s="190">
        <f>inputPrYr!D24</f>
        <v>0</v>
      </c>
      <c r="E51" s="125">
        <f>E49</f>
        <v>0</v>
      </c>
      <c r="F51" s="186"/>
      <c r="G51" s="650">
        <f>summ!I45</f>
        <v>0</v>
      </c>
      <c r="H51" s="442" t="str">
        <f>CONCATENATE("Total ",E1," Mill Rate")</f>
        <v>Total 0 Mill Rate</v>
      </c>
      <c r="I51" s="625"/>
      <c r="J51" s="647"/>
    </row>
    <row r="52" spans="2:10" ht="15.75">
      <c r="B52" s="3"/>
      <c r="C52" s="916" t="s">
        <v>638</v>
      </c>
      <c r="D52" s="917"/>
      <c r="E52" s="145"/>
      <c r="F52" s="186">
        <f>IF(E49/0.95-E49&lt;E52,"Exceeds 5%","")</f>
      </c>
      <c r="G52" s="649">
        <f>summ!F45</f>
        <v>0</v>
      </c>
      <c r="H52" s="651" t="str">
        <f>CONCATENATE("Total ",E1-1," Mill Rate")</f>
        <v>Total -1 Mill Rate</v>
      </c>
      <c r="I52" s="652"/>
      <c r="J52" s="653"/>
    </row>
    <row r="53" spans="2:5" ht="15.75">
      <c r="B53" s="357" t="str">
        <f>CONCATENATE(C72,"     ",D72)</f>
        <v>     </v>
      </c>
      <c r="C53" s="918" t="s">
        <v>639</v>
      </c>
      <c r="D53" s="919"/>
      <c r="E53" s="125">
        <f>E49+E52</f>
        <v>0</v>
      </c>
    </row>
    <row r="54" spans="2:10" ht="15.75">
      <c r="B54" s="357" t="str">
        <f>CONCATENATE(C73,"     ",D73)</f>
        <v>     </v>
      </c>
      <c r="C54" s="343"/>
      <c r="D54" s="91" t="s">
        <v>135</v>
      </c>
      <c r="E54" s="185">
        <f>IF(E53-E28&gt;0,E53-E28,0)</f>
        <v>0</v>
      </c>
      <c r="G54" s="771" t="s">
        <v>839</v>
      </c>
      <c r="H54" s="781"/>
      <c r="I54" s="782"/>
      <c r="J54" s="783" t="str">
        <f>cert!F46</f>
        <v>No</v>
      </c>
    </row>
    <row r="55" spans="2:10" ht="15.75">
      <c r="B55" s="91"/>
      <c r="C55" s="433" t="s">
        <v>640</v>
      </c>
      <c r="D55" s="622">
        <f>inputOth!$E$67</f>
        <v>0</v>
      </c>
      <c r="E55" s="125">
        <f>ROUND(IF(D55&gt;0,(E54*D55),0),0)</f>
        <v>0</v>
      </c>
      <c r="G55" s="784" t="str">
        <f>CONCATENATE("Computed ",E1," tax levy limit amount")</f>
        <v>Computed 0 tax levy limit amount</v>
      </c>
      <c r="H55" s="785"/>
      <c r="I55" s="785"/>
      <c r="J55" s="786">
        <f>computationTown!J41</f>
        <v>0</v>
      </c>
    </row>
    <row r="56" spans="2:10" ht="15.75">
      <c r="B56" s="17"/>
      <c r="C56" s="920" t="str">
        <f>CONCATENATE("Amount of  ",$E$1-1," Ad Valorem Tax")</f>
        <v>Amount of  -1 Ad Valorem Tax</v>
      </c>
      <c r="D56" s="921"/>
      <c r="E56" s="185">
        <f>E54+E55</f>
        <v>0</v>
      </c>
      <c r="G56" s="787" t="str">
        <f>CONCATENATE("Total ",E1," tax levy amount")</f>
        <v>Total 0 tax levy amount</v>
      </c>
      <c r="H56" s="788"/>
      <c r="I56" s="788"/>
      <c r="J56" s="789">
        <f>summ!H45</f>
        <v>0</v>
      </c>
    </row>
    <row r="57" spans="2:5" ht="15.75">
      <c r="B57" s="17"/>
      <c r="C57" s="17"/>
      <c r="D57" s="17"/>
      <c r="E57" s="17"/>
    </row>
    <row r="58" spans="2:5" ht="15.75">
      <c r="B58" s="817" t="s">
        <v>985</v>
      </c>
      <c r="C58" s="84"/>
      <c r="D58" s="84"/>
      <c r="E58" s="35"/>
    </row>
    <row r="59" spans="2:5" ht="15.75">
      <c r="B59" s="440"/>
      <c r="C59" s="24"/>
      <c r="D59" s="24"/>
      <c r="E59" s="36"/>
    </row>
    <row r="60" spans="2:11" s="188" customFormat="1" ht="15.75">
      <c r="B60" s="818"/>
      <c r="C60" s="31"/>
      <c r="D60" s="82"/>
      <c r="E60" s="49"/>
      <c r="G60" s="108"/>
      <c r="H60" s="108"/>
      <c r="I60" s="108"/>
      <c r="J60" s="108"/>
      <c r="K60" s="108"/>
    </row>
    <row r="61" spans="2:11" s="189" customFormat="1" ht="15.75">
      <c r="B61" s="17"/>
      <c r="C61" s="17"/>
      <c r="D61" s="77"/>
      <c r="E61" s="17"/>
      <c r="G61" s="108"/>
      <c r="H61" s="108"/>
      <c r="I61" s="108"/>
      <c r="J61" s="108"/>
      <c r="K61" s="108"/>
    </row>
    <row r="62" spans="2:5" ht="15.75">
      <c r="B62" s="91" t="s">
        <v>116</v>
      </c>
      <c r="C62" s="73">
        <f>IF(inputPrYr!D26&gt;0,9,8)</f>
        <v>8</v>
      </c>
      <c r="D62" s="17"/>
      <c r="E62" s="17"/>
    </row>
    <row r="64" ht="15.75">
      <c r="B64" s="66"/>
    </row>
    <row r="72" spans="3:4" ht="15.75" hidden="1">
      <c r="C72" s="108">
        <f>IF(C49&gt;C51,"See Tab A","")</f>
      </c>
      <c r="D72" s="108">
        <f>IF(D49&gt;D51,"See Tab C","")</f>
      </c>
    </row>
    <row r="73" spans="3:4" ht="15.75" hidden="1">
      <c r="C73" s="108">
        <f>IF(C50&lt;0,"See Tab B","")</f>
      </c>
      <c r="D73" s="108">
        <f>IF(D50&lt;0,"See Tab D","")</f>
      </c>
    </row>
  </sheetData>
  <sheetProtection sheet="1"/>
  <mergeCells count="6">
    <mergeCell ref="C56:D56"/>
    <mergeCell ref="C52:D52"/>
    <mergeCell ref="C53:D53"/>
    <mergeCell ref="G30:J30"/>
    <mergeCell ref="G37:J37"/>
    <mergeCell ref="G47:J47"/>
  </mergeCells>
  <conditionalFormatting sqref="E47">
    <cfRule type="cellIs" priority="2" dxfId="179" operator="greaterThan" stopIfTrue="1">
      <formula>$E$49*0.1</formula>
    </cfRule>
  </conditionalFormatting>
  <conditionalFormatting sqref="D47">
    <cfRule type="cellIs" priority="3" dxfId="179" operator="greaterThan" stopIfTrue="1">
      <formula>$D$49*0.1</formula>
    </cfRule>
  </conditionalFormatting>
  <conditionalFormatting sqref="C47">
    <cfRule type="cellIs" priority="4" dxfId="179" operator="greaterThan" stopIfTrue="1">
      <formula>$C$49*0.1</formula>
    </cfRule>
  </conditionalFormatting>
  <conditionalFormatting sqref="C25">
    <cfRule type="cellIs" priority="5" dxfId="179" operator="greaterThan" stopIfTrue="1">
      <formula>$C$27*0.1</formula>
    </cfRule>
  </conditionalFormatting>
  <conditionalFormatting sqref="D25">
    <cfRule type="cellIs" priority="6" dxfId="179" operator="greaterThan" stopIfTrue="1">
      <formula>$D$27*0.1</formula>
    </cfRule>
  </conditionalFormatting>
  <conditionalFormatting sqref="E52">
    <cfRule type="cellIs" priority="7" dxfId="5" operator="greaterThan" stopIfTrue="1">
      <formula>$E$49/0.95-$E$49</formula>
    </cfRule>
  </conditionalFormatting>
  <conditionalFormatting sqref="C50">
    <cfRule type="cellIs" priority="8" dxfId="179" operator="lessThan" stopIfTrue="1">
      <formula>0</formula>
    </cfRule>
  </conditionalFormatting>
  <conditionalFormatting sqref="C43">
    <cfRule type="expression" priority="12" dxfId="5" stopIfTrue="1">
      <formula>$C$8&gt;0</formula>
    </cfRule>
  </conditionalFormatting>
  <conditionalFormatting sqref="D43">
    <cfRule type="expression" priority="13" dxfId="5" stopIfTrue="1">
      <formula>$D$8&gt;0</formula>
    </cfRule>
  </conditionalFormatting>
  <conditionalFormatting sqref="E43">
    <cfRule type="expression" priority="14" dxfId="5" stopIfTrue="1">
      <formula>$E$56&gt;0</formula>
    </cfRule>
  </conditionalFormatting>
  <conditionalFormatting sqref="C45">
    <cfRule type="cellIs" priority="15" dxfId="179" operator="greaterThan" stopIfTrue="1">
      <formula>$C$28*0.25</formula>
    </cfRule>
  </conditionalFormatting>
  <conditionalFormatting sqref="D45">
    <cfRule type="cellIs" priority="16" dxfId="179" operator="greaterThan" stopIfTrue="1">
      <formula>$D$28*0.25</formula>
    </cfRule>
  </conditionalFormatting>
  <conditionalFormatting sqref="D50">
    <cfRule type="cellIs" priority="1" dxfId="0" operator="lessThan" stopIfTrue="1">
      <formula>0</formula>
    </cfRule>
  </conditionalFormatting>
  <conditionalFormatting sqref="D49">
    <cfRule type="cellIs" priority="26" dxfId="5" operator="greaterThan" stopIfTrue="1">
      <formula>$D$51</formula>
    </cfRule>
  </conditionalFormatting>
  <conditionalFormatting sqref="C49">
    <cfRule type="cellIs" priority="34" dxfId="5" operator="greaterThan" stopIfTrue="1">
      <formula>$C$51</formula>
    </cfRule>
  </conditionalFormatting>
  <conditionalFormatting sqref="E25">
    <cfRule type="cellIs" priority="87" dxfId="179" operator="greaterThan" stopIfTrue="1">
      <formula>$E$27*0.1+$E$56</formula>
    </cfRule>
  </conditionalFormatting>
  <conditionalFormatting sqref="E45">
    <cfRule type="cellIs" priority="88" dxfId="5" operator="greaterThan" stopIfTrue="1">
      <formula>$E$28*0.25+$E$56</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L94" sqref="L94"/>
    </sheetView>
  </sheetViews>
  <sheetFormatPr defaultColWidth="8.796875" defaultRowHeight="15.75"/>
  <cols>
    <col min="1" max="1" width="2.19921875" style="500" customWidth="1"/>
    <col min="2" max="2" width="28.59765625" style="500" customWidth="1"/>
    <col min="3" max="4" width="14.19921875" style="500" customWidth="1"/>
    <col min="5" max="5" width="14.59765625" style="500" customWidth="1"/>
    <col min="6" max="6" width="7.296875" style="500" customWidth="1"/>
    <col min="7" max="7" width="9.19921875" style="500" customWidth="1"/>
    <col min="8" max="8" width="8.796875" style="500" customWidth="1"/>
    <col min="9" max="9" width="4.5" style="500" customWidth="1"/>
    <col min="10" max="10" width="9" style="500" customWidth="1"/>
    <col min="11" max="16384" width="8.796875" style="500" customWidth="1"/>
  </cols>
  <sheetData>
    <row r="1" spans="2:5" ht="15.75">
      <c r="B1" s="497">
        <f>inputPrYr!D3</f>
        <v>0</v>
      </c>
      <c r="C1" s="497"/>
      <c r="D1" s="498"/>
      <c r="E1" s="499">
        <f>inputPrYr!D7</f>
        <v>0</v>
      </c>
    </row>
    <row r="2" spans="2:5" ht="15.75">
      <c r="B2" s="498"/>
      <c r="C2" s="498"/>
      <c r="D2" s="498"/>
      <c r="E2" s="501"/>
    </row>
    <row r="3" spans="2:5" ht="15.75">
      <c r="B3" s="502" t="s">
        <v>653</v>
      </c>
      <c r="C3" s="502"/>
      <c r="D3" s="503"/>
      <c r="E3" s="504"/>
    </row>
    <row r="4" spans="2:5" ht="15.75">
      <c r="B4" s="505" t="s">
        <v>117</v>
      </c>
      <c r="C4" s="506" t="s">
        <v>654</v>
      </c>
      <c r="D4" s="507" t="s">
        <v>655</v>
      </c>
      <c r="E4" s="508" t="s">
        <v>656</v>
      </c>
    </row>
    <row r="5" spans="2:5" ht="15.75">
      <c r="B5" s="509" t="str">
        <f>inputPrYr!B25</f>
        <v>Debt Service</v>
      </c>
      <c r="C5" s="510" t="str">
        <f>CONCATENATE("Actual for ",$E$1-2,"")</f>
        <v>Actual for -2</v>
      </c>
      <c r="D5" s="511" t="str">
        <f>CONCATENATE("Estimate for ",$E$1-1,"")</f>
        <v>Estimate for -1</v>
      </c>
      <c r="E5" s="512" t="str">
        <f>CONCATENATE("Year for ",$E$1,"")</f>
        <v>Year for 0</v>
      </c>
    </row>
    <row r="6" spans="2:5" ht="15.75">
      <c r="B6" s="513" t="s">
        <v>229</v>
      </c>
      <c r="C6" s="514"/>
      <c r="D6" s="515">
        <f>C35</f>
        <v>0</v>
      </c>
      <c r="E6" s="516">
        <f>D35</f>
        <v>0</v>
      </c>
    </row>
    <row r="7" spans="2:5" ht="15.75">
      <c r="B7" s="513" t="s">
        <v>217</v>
      </c>
      <c r="C7" s="517"/>
      <c r="D7" s="515"/>
      <c r="E7" s="516"/>
    </row>
    <row r="8" spans="2:5" ht="15.75">
      <c r="B8" s="513" t="s">
        <v>123</v>
      </c>
      <c r="C8" s="518"/>
      <c r="D8" s="515">
        <f>IF(inputPrYr!H23&gt;0,inputPrYr!G25,inputPrYr!E25)</f>
        <v>0</v>
      </c>
      <c r="E8" s="519" t="s">
        <v>106</v>
      </c>
    </row>
    <row r="9" spans="2:5" ht="15.75">
      <c r="B9" s="513" t="s">
        <v>124</v>
      </c>
      <c r="C9" s="518"/>
      <c r="D9" s="520"/>
      <c r="E9" s="521"/>
    </row>
    <row r="10" spans="2:5" ht="15.75">
      <c r="B10" s="513" t="s">
        <v>125</v>
      </c>
      <c r="C10" s="518"/>
      <c r="D10" s="520"/>
      <c r="E10" s="516">
        <f>mvalloc!D12</f>
        <v>0</v>
      </c>
    </row>
    <row r="11" spans="2:5" ht="15.75">
      <c r="B11" s="513" t="s">
        <v>126</v>
      </c>
      <c r="C11" s="518"/>
      <c r="D11" s="520"/>
      <c r="E11" s="516">
        <f>mvalloc!E12</f>
        <v>0</v>
      </c>
    </row>
    <row r="12" spans="2:5" ht="15.75">
      <c r="B12" s="522" t="s">
        <v>205</v>
      </c>
      <c r="C12" s="518"/>
      <c r="D12" s="520"/>
      <c r="E12" s="516">
        <f>mvalloc!F12</f>
        <v>0</v>
      </c>
    </row>
    <row r="13" spans="2:5" ht="15.75">
      <c r="B13" s="753" t="s">
        <v>818</v>
      </c>
      <c r="C13" s="518"/>
      <c r="D13" s="520"/>
      <c r="E13" s="516">
        <f>mvalloc!G12</f>
        <v>0</v>
      </c>
    </row>
    <row r="14" spans="2:5" ht="15.75">
      <c r="B14" s="753" t="s">
        <v>819</v>
      </c>
      <c r="C14" s="518"/>
      <c r="D14" s="520"/>
      <c r="E14" s="516">
        <f>mvalloc!H12</f>
        <v>0</v>
      </c>
    </row>
    <row r="15" spans="2:5" ht="15.75">
      <c r="B15" s="523"/>
      <c r="C15" s="518"/>
      <c r="D15" s="520"/>
      <c r="E15" s="521"/>
    </row>
    <row r="16" spans="2:5" ht="15.75">
      <c r="B16" s="523"/>
      <c r="C16" s="518"/>
      <c r="D16" s="520"/>
      <c r="E16" s="521"/>
    </row>
    <row r="17" spans="2:5" ht="15.75">
      <c r="B17" s="523"/>
      <c r="C17" s="518"/>
      <c r="D17" s="520"/>
      <c r="E17" s="521"/>
    </row>
    <row r="18" spans="2:10" ht="15.75">
      <c r="B18" s="525" t="s">
        <v>129</v>
      </c>
      <c r="C18" s="518"/>
      <c r="D18" s="520"/>
      <c r="E18" s="521"/>
      <c r="G18" s="922" t="str">
        <f>CONCATENATE("Desired Carryover Into ",E1+1,"")</f>
        <v>Desired Carryover Into 1</v>
      </c>
      <c r="H18" s="923"/>
      <c r="I18" s="923"/>
      <c r="J18" s="924"/>
    </row>
    <row r="19" spans="2:10" ht="15.75">
      <c r="B19" s="546" t="s">
        <v>47</v>
      </c>
      <c r="C19" s="518"/>
      <c r="D19" s="520"/>
      <c r="E19" s="516">
        <f>nhood!E7*-1</f>
        <v>0</v>
      </c>
      <c r="G19" s="532"/>
      <c r="H19" s="533"/>
      <c r="I19" s="534"/>
      <c r="J19" s="535"/>
    </row>
    <row r="20" spans="2:10" ht="15.75">
      <c r="B20" s="513" t="s">
        <v>45</v>
      </c>
      <c r="C20" s="526"/>
      <c r="D20" s="520"/>
      <c r="E20" s="521"/>
      <c r="G20" s="536" t="s">
        <v>642</v>
      </c>
      <c r="H20" s="534"/>
      <c r="I20" s="534"/>
      <c r="J20" s="537">
        <v>0</v>
      </c>
    </row>
    <row r="21" spans="2:10" ht="15.75">
      <c r="B21" s="513" t="s">
        <v>657</v>
      </c>
      <c r="C21" s="527">
        <f>IF(C22*0.1&lt;C20,"Exceed 10% Rule","")</f>
      </c>
      <c r="D21" s="527">
        <f>IF(D22*0.1&lt;D20,"Exceeds 10% Rule","")</f>
      </c>
      <c r="E21" s="528">
        <f>IF((E41+E22)*0.1&lt;E20,"Exceed 10% Rule","")</f>
      </c>
      <c r="G21" s="532" t="s">
        <v>643</v>
      </c>
      <c r="H21" s="533"/>
      <c r="I21" s="533"/>
      <c r="J21" s="538">
        <f>IF(J20=0,"",ROUND((J20+E41-G33)/inputOth!E8*1000,3)-G38)</f>
      </c>
    </row>
    <row r="22" spans="2:10" ht="15.75">
      <c r="B22" s="529" t="s">
        <v>130</v>
      </c>
      <c r="C22" s="530">
        <f>SUM(C8:C20)</f>
        <v>0</v>
      </c>
      <c r="D22" s="530">
        <f>SUM(D8:D20)</f>
        <v>0</v>
      </c>
      <c r="E22" s="531">
        <f>SUM(E9:E20)</f>
        <v>0</v>
      </c>
      <c r="G22" s="539" t="str">
        <f>CONCATENATE("",E1," Tot Exp/Non-Appr Must Be:")</f>
        <v>0 Tot Exp/Non-Appr Must Be:</v>
      </c>
      <c r="H22" s="540"/>
      <c r="I22" s="541"/>
      <c r="J22" s="542">
        <f>IF(J20&gt;0,IF(E38&lt;E23,IF(J20=G33,E38,((J20-G33)*(1-D40))+E23),E38+(J20-G33)),0)</f>
        <v>0</v>
      </c>
    </row>
    <row r="23" spans="2:10" ht="15.75">
      <c r="B23" s="529" t="s">
        <v>131</v>
      </c>
      <c r="C23" s="530">
        <f>C6+C22</f>
        <v>0</v>
      </c>
      <c r="D23" s="530">
        <f>D6+D22</f>
        <v>0</v>
      </c>
      <c r="E23" s="531">
        <f>E6+E22</f>
        <v>0</v>
      </c>
      <c r="G23" s="543" t="s">
        <v>658</v>
      </c>
      <c r="H23" s="544"/>
      <c r="I23" s="544"/>
      <c r="J23" s="545">
        <f>IF(J20&gt;0,J22-E38,0)</f>
        <v>0</v>
      </c>
    </row>
    <row r="24" spans="2:5" ht="15.75">
      <c r="B24" s="513" t="s">
        <v>132</v>
      </c>
      <c r="C24" s="513"/>
      <c r="D24" s="515"/>
      <c r="E24" s="516"/>
    </row>
    <row r="25" spans="2:10" ht="15.75">
      <c r="B25" s="523"/>
      <c r="C25" s="518"/>
      <c r="D25" s="520"/>
      <c r="E25" s="521"/>
      <c r="G25" s="922" t="str">
        <f>CONCATENATE("Projected Carryover Into ",E1+1,"")</f>
        <v>Projected Carryover Into 1</v>
      </c>
      <c r="H25" s="925"/>
      <c r="I25" s="925"/>
      <c r="J25" s="926"/>
    </row>
    <row r="26" spans="2:10" ht="15.75">
      <c r="B26" s="523"/>
      <c r="C26" s="518"/>
      <c r="D26" s="520"/>
      <c r="E26" s="521"/>
      <c r="G26" s="532"/>
      <c r="H26" s="534"/>
      <c r="I26" s="534"/>
      <c r="J26" s="547"/>
    </row>
    <row r="27" spans="2:10" ht="15.75">
      <c r="B27" s="523"/>
      <c r="C27" s="520"/>
      <c r="D27" s="520"/>
      <c r="E27" s="521"/>
      <c r="G27" s="550">
        <f>D35</f>
        <v>0</v>
      </c>
      <c r="H27" s="551" t="str">
        <f>CONCATENATE("",E1-1," Ending Cash Balance (est.)")</f>
        <v>-1 Ending Cash Balance (est.)</v>
      </c>
      <c r="I27" s="552"/>
      <c r="J27" s="547"/>
    </row>
    <row r="28" spans="2:10" ht="15.75">
      <c r="B28" s="523"/>
      <c r="C28" s="518"/>
      <c r="D28" s="520"/>
      <c r="E28" s="521"/>
      <c r="G28" s="550">
        <f>E22</f>
        <v>0</v>
      </c>
      <c r="H28" s="534" t="str">
        <f>CONCATENATE("",E1," Non-AV Receipts (est.)")</f>
        <v>0 Non-AV Receipts (est.)</v>
      </c>
      <c r="I28" s="552"/>
      <c r="J28" s="547"/>
    </row>
    <row r="29" spans="2:11" ht="15.75">
      <c r="B29" s="523"/>
      <c r="C29" s="518"/>
      <c r="D29" s="520"/>
      <c r="E29" s="521"/>
      <c r="G29" s="557">
        <f>IF(E40&gt;0,E39,E41)</f>
        <v>0</v>
      </c>
      <c r="H29" s="534" t="str">
        <f>CONCATENATE("",E1," Ad Valorem Tax (est.)")</f>
        <v>0 Ad Valorem Tax (est.)</v>
      </c>
      <c r="I29" s="534"/>
      <c r="J29" s="547"/>
      <c r="K29" s="558">
        <f>IF(G29=E41,"","Note: Does not include Delinquent Taxes")</f>
      </c>
    </row>
    <row r="30" spans="2:10" ht="15.75">
      <c r="B30" s="523"/>
      <c r="C30" s="518"/>
      <c r="D30" s="520"/>
      <c r="E30" s="521"/>
      <c r="G30" s="550">
        <f>SUM(G27:G29)</f>
        <v>0</v>
      </c>
      <c r="H30" s="534" t="str">
        <f>CONCATENATE("Total ",E1," Resources Available")</f>
        <v>Total 0 Resources Available</v>
      </c>
      <c r="I30" s="552"/>
      <c r="J30" s="547"/>
    </row>
    <row r="31" spans="2:10" ht="15.75">
      <c r="B31" s="546" t="str">
        <f>CONCATENATE("Cash Basis Reserve (",E1," column)")</f>
        <v>Cash Basis Reserve (0 column)</v>
      </c>
      <c r="C31" s="518"/>
      <c r="D31" s="520"/>
      <c r="E31" s="521"/>
      <c r="G31" s="561"/>
      <c r="H31" s="534"/>
      <c r="I31" s="534"/>
      <c r="J31" s="547"/>
    </row>
    <row r="32" spans="2:10" ht="15.75">
      <c r="B32" s="546" t="s">
        <v>45</v>
      </c>
      <c r="C32" s="526"/>
      <c r="D32" s="520"/>
      <c r="E32" s="521"/>
      <c r="G32" s="557">
        <f>C34</f>
        <v>0</v>
      </c>
      <c r="H32" s="534" t="str">
        <f>CONCATENATE("Less ",E1-2," Expenditures")</f>
        <v>Less -2 Expenditures</v>
      </c>
      <c r="I32" s="534"/>
      <c r="J32" s="547"/>
    </row>
    <row r="33" spans="2:10" ht="15.75">
      <c r="B33" s="546" t="s">
        <v>637</v>
      </c>
      <c r="C33" s="527">
        <f>IF(C34*0.1&lt;C32,"Exceed 10% Rule","")</f>
      </c>
      <c r="D33" s="527">
        <f>IF(D34*0.1&lt;D32,"Exceed 10% Rule","")</f>
      </c>
      <c r="E33" s="528">
        <f>IF(E34*0.1&lt;E32,"Exceed 10% Rule","")</f>
      </c>
      <c r="G33" s="565">
        <f>G30-G32</f>
        <v>0</v>
      </c>
      <c r="H33" s="566" t="str">
        <f>CONCATENATE("Projected ",E1+1," carryover (est.)")</f>
        <v>Projected 1 carryover (est.)</v>
      </c>
      <c r="I33" s="567"/>
      <c r="J33" s="568"/>
    </row>
    <row r="34" spans="2:5" ht="15.75">
      <c r="B34" s="529" t="s">
        <v>133</v>
      </c>
      <c r="C34" s="548">
        <f>SUM(C25:C32)</f>
        <v>0</v>
      </c>
      <c r="D34" s="548">
        <f>SUM(D25:D32)</f>
        <v>0</v>
      </c>
      <c r="E34" s="549">
        <f>SUM(E25:E32)</f>
        <v>0</v>
      </c>
    </row>
    <row r="35" spans="2:10" ht="15.75">
      <c r="B35" s="513" t="s">
        <v>216</v>
      </c>
      <c r="C35" s="553">
        <f>C23-C34</f>
        <v>0</v>
      </c>
      <c r="D35" s="553">
        <f>D23-D34</f>
        <v>0</v>
      </c>
      <c r="E35" s="519" t="s">
        <v>106</v>
      </c>
      <c r="F35" s="554"/>
      <c r="G35" s="927" t="s">
        <v>659</v>
      </c>
      <c r="H35" s="928"/>
      <c r="I35" s="928"/>
      <c r="J35" s="929"/>
    </row>
    <row r="36" spans="2:10" ht="15.75">
      <c r="B36" s="696" t="str">
        <f>CONCATENATE("",E1-2,"/",E1-1,"/",E1," Budget Authority Amount:")</f>
        <v>-2/-1/0 Budget Authority Amount:</v>
      </c>
      <c r="C36" s="695">
        <f>inputOth!B75</f>
        <v>0</v>
      </c>
      <c r="D36" s="694">
        <f>inputPrYr!D25</f>
        <v>0</v>
      </c>
      <c r="E36" s="516">
        <f>E34</f>
        <v>0</v>
      </c>
      <c r="F36" s="556"/>
      <c r="G36" s="572"/>
      <c r="H36" s="551"/>
      <c r="I36" s="573"/>
      <c r="J36" s="574"/>
    </row>
    <row r="37" spans="2:10" ht="15.75">
      <c r="B37" s="555"/>
      <c r="C37" s="916" t="s">
        <v>638</v>
      </c>
      <c r="D37" s="917"/>
      <c r="E37" s="521"/>
      <c r="F37" s="559">
        <f>IF(E34/0.95-E34&lt;E37,"Exceeds 5%","")</f>
      </c>
      <c r="G37" s="575" t="str">
        <f>summ!I28</f>
        <v> </v>
      </c>
      <c r="H37" s="551" t="str">
        <f>CONCATENATE("",E1," Fund Mill Rate")</f>
        <v>0 Fund Mill Rate</v>
      </c>
      <c r="I37" s="573"/>
      <c r="J37" s="574"/>
    </row>
    <row r="38" spans="2:10" ht="15.75">
      <c r="B38" s="560" t="str">
        <f>CONCATENATE(C98,"     ",D98)</f>
        <v>     </v>
      </c>
      <c r="C38" s="918" t="s">
        <v>639</v>
      </c>
      <c r="D38" s="919"/>
      <c r="E38" s="516">
        <f>E34+E37</f>
        <v>0</v>
      </c>
      <c r="F38" s="554"/>
      <c r="G38" s="576" t="str">
        <f>summ!F28</f>
        <v>  </v>
      </c>
      <c r="H38" s="551" t="str">
        <f>CONCATENATE("",E1-1," Fund Mill Rate")</f>
        <v>-1 Fund Mill Rate</v>
      </c>
      <c r="I38" s="573"/>
      <c r="J38" s="574"/>
    </row>
    <row r="39" spans="2:10" ht="15.75">
      <c r="B39" s="560" t="str">
        <f>CONCATENATE(C99,"     ",D99)</f>
        <v>     </v>
      </c>
      <c r="C39" s="562"/>
      <c r="D39" s="501" t="s">
        <v>135</v>
      </c>
      <c r="E39" s="563">
        <f>IF(E38-E23&gt;0,E38-E23,0)</f>
        <v>0</v>
      </c>
      <c r="F39" s="554"/>
      <c r="G39" s="578">
        <f>summ!I45</f>
        <v>0</v>
      </c>
      <c r="H39" s="551" t="str">
        <f>CONCATENATE("Total ",E1," Mill Rate")</f>
        <v>Total 0 Mill Rate</v>
      </c>
      <c r="I39" s="573"/>
      <c r="J39" s="574"/>
    </row>
    <row r="40" spans="2:10" ht="15.75">
      <c r="B40" s="501"/>
      <c r="C40" s="433" t="s">
        <v>640</v>
      </c>
      <c r="D40" s="564">
        <f>inputOth!E67</f>
        <v>0</v>
      </c>
      <c r="E40" s="516">
        <f>ROUND(IF(D40&gt;0,(E39*D40),0),0)</f>
        <v>0</v>
      </c>
      <c r="F40" s="554"/>
      <c r="G40" s="576">
        <f>summ!F45</f>
        <v>0</v>
      </c>
      <c r="H40" s="579" t="str">
        <f>CONCATENATE("Total ",E1-1," Mill Rate")</f>
        <v>Total -1 Mill Rate</v>
      </c>
      <c r="I40" s="580"/>
      <c r="J40" s="581"/>
    </row>
    <row r="41" spans="2:6" ht="16.5" thickBot="1">
      <c r="B41" s="498"/>
      <c r="C41" s="947" t="str">
        <f>CONCATENATE("Amount of  ",E1-1," Ad Valorem Tax")</f>
        <v>Amount of  -1 Ad Valorem Tax</v>
      </c>
      <c r="D41" s="948"/>
      <c r="E41" s="570">
        <f>SUM(E39:E40)</f>
        <v>0</v>
      </c>
      <c r="F41" s="554"/>
    </row>
    <row r="42" spans="2:10" ht="16.5" thickTop="1">
      <c r="B42" s="498"/>
      <c r="C42" s="947"/>
      <c r="D42" s="948"/>
      <c r="E42" s="571"/>
      <c r="F42" s="554"/>
      <c r="G42" s="806" t="s">
        <v>839</v>
      </c>
      <c r="H42" s="781"/>
      <c r="I42" s="805"/>
      <c r="J42" s="783" t="str">
        <f>cert!F46</f>
        <v>No</v>
      </c>
    </row>
    <row r="43" spans="2:10" ht="15.75">
      <c r="B43" s="498"/>
      <c r="C43" s="569"/>
      <c r="D43" s="498"/>
      <c r="E43" s="498"/>
      <c r="F43" s="554"/>
      <c r="G43" s="804" t="str">
        <f>CONCATENATE("Computed ",E1," tax levy limit amount")</f>
        <v>Computed 0 tax levy limit amount</v>
      </c>
      <c r="H43" s="803"/>
      <c r="I43" s="803"/>
      <c r="J43" s="802">
        <f>computationTown!J41</f>
        <v>0</v>
      </c>
    </row>
    <row r="44" spans="2:10" ht="15.75">
      <c r="B44" s="505"/>
      <c r="C44" s="505"/>
      <c r="D44" s="503"/>
      <c r="E44" s="503"/>
      <c r="F44" s="554"/>
      <c r="G44" s="801" t="str">
        <f>CONCATENATE("Total ",E1," tax levy amount")</f>
        <v>Total 0 tax levy amount</v>
      </c>
      <c r="H44" s="800"/>
      <c r="I44" s="800"/>
      <c r="J44" s="799">
        <f>summ!H45</f>
        <v>0</v>
      </c>
    </row>
    <row r="45" spans="2:6" ht="15.75">
      <c r="B45" s="505" t="s">
        <v>117</v>
      </c>
      <c r="C45" s="506" t="s">
        <v>654</v>
      </c>
      <c r="D45" s="507" t="s">
        <v>655</v>
      </c>
      <c r="E45" s="508" t="s">
        <v>656</v>
      </c>
      <c r="F45" s="554"/>
    </row>
    <row r="46" spans="2:6" ht="15.75">
      <c r="B46" s="577" t="str">
        <f>inputPrYr!B26</f>
        <v>Library</v>
      </c>
      <c r="C46" s="510" t="str">
        <f>CONCATENATE("Actual for ",$E$1-2,"")</f>
        <v>Actual for -2</v>
      </c>
      <c r="D46" s="511" t="str">
        <f>CONCATENATE("Estimate for ",$E$1-1,"")</f>
        <v>Estimate for -1</v>
      </c>
      <c r="E46" s="512" t="str">
        <f>CONCATENATE("Year for ",$E$1,"")</f>
        <v>Year for 0</v>
      </c>
      <c r="F46" s="554"/>
    </row>
    <row r="47" spans="2:6" ht="15.75">
      <c r="B47" s="513" t="s">
        <v>229</v>
      </c>
      <c r="C47" s="518">
        <v>0</v>
      </c>
      <c r="D47" s="515">
        <f>C76</f>
        <v>0</v>
      </c>
      <c r="E47" s="516">
        <f>D76</f>
        <v>0</v>
      </c>
      <c r="F47" s="554"/>
    </row>
    <row r="48" spans="2:6" ht="15.75">
      <c r="B48" s="582" t="s">
        <v>217</v>
      </c>
      <c r="C48" s="513"/>
      <c r="D48" s="515"/>
      <c r="E48" s="516"/>
      <c r="F48" s="554"/>
    </row>
    <row r="49" spans="2:6" ht="15.75">
      <c r="B49" s="513" t="s">
        <v>123</v>
      </c>
      <c r="C49" s="526"/>
      <c r="D49" s="515">
        <f>IF(inputPrYr!H23&gt;0,inputPrYr!G26,inputPrYr!E26)</f>
        <v>0</v>
      </c>
      <c r="E49" s="519" t="s">
        <v>106</v>
      </c>
      <c r="F49" s="554"/>
    </row>
    <row r="50" spans="2:6" ht="15.75">
      <c r="B50" s="513" t="s">
        <v>124</v>
      </c>
      <c r="C50" s="526"/>
      <c r="D50" s="520"/>
      <c r="E50" s="521"/>
      <c r="F50" s="554"/>
    </row>
    <row r="51" spans="2:6" ht="15.75">
      <c r="B51" s="513" t="s">
        <v>125</v>
      </c>
      <c r="C51" s="526"/>
      <c r="D51" s="520"/>
      <c r="E51" s="516">
        <f>mvalloc!D13</f>
        <v>0</v>
      </c>
      <c r="F51" s="554"/>
    </row>
    <row r="52" spans="2:6" ht="15.75">
      <c r="B52" s="513" t="s">
        <v>126</v>
      </c>
      <c r="C52" s="526"/>
      <c r="D52" s="520"/>
      <c r="E52" s="516">
        <f>mvalloc!E13</f>
        <v>0</v>
      </c>
      <c r="F52" s="554"/>
    </row>
    <row r="53" spans="2:5" ht="15.75">
      <c r="B53" s="522" t="s">
        <v>205</v>
      </c>
      <c r="C53" s="526"/>
      <c r="D53" s="520"/>
      <c r="E53" s="516">
        <f>mvalloc!F13</f>
        <v>0</v>
      </c>
    </row>
    <row r="54" spans="2:5" ht="15.75">
      <c r="B54" s="753" t="s">
        <v>818</v>
      </c>
      <c r="C54" s="526"/>
      <c r="D54" s="520"/>
      <c r="E54" s="516">
        <f>mvalloc!G13</f>
        <v>0</v>
      </c>
    </row>
    <row r="55" spans="2:5" ht="15.75">
      <c r="B55" s="753" t="s">
        <v>819</v>
      </c>
      <c r="C55" s="526"/>
      <c r="D55" s="520"/>
      <c r="E55" s="516">
        <f>mvalloc!H13</f>
        <v>0</v>
      </c>
    </row>
    <row r="56" spans="2:5" ht="15.75">
      <c r="B56" s="523"/>
      <c r="C56" s="526"/>
      <c r="D56" s="520"/>
      <c r="E56" s="524"/>
    </row>
    <row r="57" spans="2:5" ht="15.75">
      <c r="B57" s="523"/>
      <c r="C57" s="526"/>
      <c r="D57" s="520"/>
      <c r="E57" s="521"/>
    </row>
    <row r="58" spans="2:5" ht="15.75">
      <c r="B58" s="523"/>
      <c r="C58" s="526"/>
      <c r="D58" s="520"/>
      <c r="E58" s="521"/>
    </row>
    <row r="59" spans="2:10" ht="15.75">
      <c r="B59" s="525" t="s">
        <v>129</v>
      </c>
      <c r="C59" s="526"/>
      <c r="D59" s="520"/>
      <c r="E59" s="521"/>
      <c r="G59" s="922" t="str">
        <f>CONCATENATE("Desired Carryover Into ",E1+1,"")</f>
        <v>Desired Carryover Into 1</v>
      </c>
      <c r="H59" s="923"/>
      <c r="I59" s="923"/>
      <c r="J59" s="924"/>
    </row>
    <row r="60" spans="2:10" ht="15.75">
      <c r="B60" s="522" t="s">
        <v>47</v>
      </c>
      <c r="C60" s="526"/>
      <c r="D60" s="520"/>
      <c r="E60" s="516">
        <f>nhood!E8*-1</f>
        <v>0</v>
      </c>
      <c r="G60" s="532"/>
      <c r="H60" s="533"/>
      <c r="I60" s="534"/>
      <c r="J60" s="535"/>
    </row>
    <row r="61" spans="2:10" ht="15.75">
      <c r="B61" s="513" t="s">
        <v>45</v>
      </c>
      <c r="C61" s="526"/>
      <c r="D61" s="526"/>
      <c r="E61" s="583"/>
      <c r="G61" s="536" t="s">
        <v>642</v>
      </c>
      <c r="H61" s="534"/>
      <c r="I61" s="534"/>
      <c r="J61" s="537">
        <v>0</v>
      </c>
    </row>
    <row r="62" spans="2:10" ht="15.75">
      <c r="B62" s="513" t="s">
        <v>657</v>
      </c>
      <c r="C62" s="527">
        <f>IF(C63*0.1&lt;C61,"Exceed 10% Rule","")</f>
      </c>
      <c r="D62" s="527">
        <f>IF(D63*0.1&lt;D61,"Exceeds 10% Rule","")</f>
      </c>
      <c r="E62" s="528">
        <f>IF((E82+E63)*0.1&lt;E61,"Exceed 10% Rule","")</f>
      </c>
      <c r="G62" s="532" t="s">
        <v>643</v>
      </c>
      <c r="H62" s="533"/>
      <c r="I62" s="533"/>
      <c r="J62" s="538">
        <f>IF(J61=0,"",ROUND((J61+E82-G74)/inputOth!E8*1000,3)-G79)</f>
      </c>
    </row>
    <row r="63" spans="2:10" ht="15.75">
      <c r="B63" s="529" t="s">
        <v>130</v>
      </c>
      <c r="C63" s="548">
        <f>SUM(C49:C61)</f>
        <v>0</v>
      </c>
      <c r="D63" s="548">
        <f>SUM(D49:D61)</f>
        <v>0</v>
      </c>
      <c r="E63" s="549">
        <f>SUM(E50:E61)</f>
        <v>0</v>
      </c>
      <c r="G63" s="539" t="str">
        <f>CONCATENATE("",E1," Tot Exp/Non-Appr Must Be:")</f>
        <v>0 Tot Exp/Non-Appr Must Be:</v>
      </c>
      <c r="H63" s="540"/>
      <c r="I63" s="541"/>
      <c r="J63" s="542">
        <f>IF(J61&gt;0,IF(E79&lt;E64,IF(J61=G74,E79,((J61-G74)*(1-D81))+E64),E79+(J61-G74)),0)</f>
        <v>0</v>
      </c>
    </row>
    <row r="64" spans="2:10" ht="15.75">
      <c r="B64" s="529" t="s">
        <v>131</v>
      </c>
      <c r="C64" s="548">
        <f>C47+C63</f>
        <v>0</v>
      </c>
      <c r="D64" s="548">
        <f>D47+D63</f>
        <v>0</v>
      </c>
      <c r="E64" s="549">
        <f>E47+E63</f>
        <v>0</v>
      </c>
      <c r="G64" s="543" t="s">
        <v>658</v>
      </c>
      <c r="H64" s="544"/>
      <c r="I64" s="544"/>
      <c r="J64" s="545">
        <f>IF(J61&gt;0,J63-E79,0)</f>
        <v>0</v>
      </c>
    </row>
    <row r="65" spans="2:5" ht="15.75">
      <c r="B65" s="513" t="s">
        <v>132</v>
      </c>
      <c r="C65" s="513"/>
      <c r="D65" s="515"/>
      <c r="E65" s="516"/>
    </row>
    <row r="66" spans="2:10" ht="15.75">
      <c r="B66" s="523"/>
      <c r="C66" s="518"/>
      <c r="D66" s="520"/>
      <c r="E66" s="521"/>
      <c r="G66" s="922" t="str">
        <f>CONCATENATE("Projected Carryover Into ",E1+1,"")</f>
        <v>Projected Carryover Into 1</v>
      </c>
      <c r="H66" s="949"/>
      <c r="I66" s="949"/>
      <c r="J66" s="926"/>
    </row>
    <row r="67" spans="2:10" ht="15.75">
      <c r="B67" s="523"/>
      <c r="C67" s="518"/>
      <c r="D67" s="520"/>
      <c r="E67" s="521"/>
      <c r="G67" s="584"/>
      <c r="H67" s="533"/>
      <c r="I67" s="533"/>
      <c r="J67" s="585"/>
    </row>
    <row r="68" spans="2:10" ht="15.75">
      <c r="B68" s="523"/>
      <c r="C68" s="518"/>
      <c r="D68" s="520"/>
      <c r="E68" s="521"/>
      <c r="G68" s="550">
        <f>D76</f>
        <v>0</v>
      </c>
      <c r="H68" s="551" t="str">
        <f>CONCATENATE("",E1-1," Ending Cash Balance (est.)")</f>
        <v>-1 Ending Cash Balance (est.)</v>
      </c>
      <c r="I68" s="552"/>
      <c r="J68" s="585"/>
    </row>
    <row r="69" spans="2:10" ht="15.75">
      <c r="B69" s="523"/>
      <c r="C69" s="518"/>
      <c r="D69" s="520"/>
      <c r="E69" s="521"/>
      <c r="G69" s="550">
        <f>E63</f>
        <v>0</v>
      </c>
      <c r="H69" s="534" t="str">
        <f>CONCATENATE("",E1," Non-AV Receipts (est.)")</f>
        <v>0 Non-AV Receipts (est.)</v>
      </c>
      <c r="I69" s="552"/>
      <c r="J69" s="585"/>
    </row>
    <row r="70" spans="2:11" ht="15.75">
      <c r="B70" s="523"/>
      <c r="C70" s="518"/>
      <c r="D70" s="520"/>
      <c r="E70" s="521"/>
      <c r="G70" s="557">
        <f>IF(E81&gt;0,E80,E82)</f>
        <v>0</v>
      </c>
      <c r="H70" s="534" t="str">
        <f>CONCATENATE("",E1," Ad Valorem Tax (est.)")</f>
        <v>0 Ad Valorem Tax (est.)</v>
      </c>
      <c r="I70" s="534"/>
      <c r="J70" s="585"/>
      <c r="K70" s="558">
        <f>IF(G70=E82,"","Note: Does not include Delinquent Taxes")</f>
      </c>
    </row>
    <row r="71" spans="2:10" ht="15.75">
      <c r="B71" s="523"/>
      <c r="C71" s="518"/>
      <c r="D71" s="520"/>
      <c r="E71" s="521"/>
      <c r="G71" s="587">
        <f>SUM(G68:G70)</f>
        <v>0</v>
      </c>
      <c r="H71" s="534" t="str">
        <f>CONCATENATE("Total ",E1," Resources Available")</f>
        <v>Total 0 Resources Available</v>
      </c>
      <c r="I71" s="588"/>
      <c r="J71" s="585"/>
    </row>
    <row r="72" spans="2:10" ht="15.75">
      <c r="B72" s="523"/>
      <c r="C72" s="518"/>
      <c r="D72" s="520"/>
      <c r="E72" s="521"/>
      <c r="F72" s="554"/>
      <c r="G72" s="589"/>
      <c r="H72" s="590"/>
      <c r="I72" s="533"/>
      <c r="J72" s="585"/>
    </row>
    <row r="73" spans="2:10" ht="15.75">
      <c r="B73" s="522" t="s">
        <v>45</v>
      </c>
      <c r="C73" s="526"/>
      <c r="D73" s="520"/>
      <c r="E73" s="521"/>
      <c r="F73" s="554"/>
      <c r="G73" s="557">
        <f>ROUND(C75*0.05+C75,0)</f>
        <v>0</v>
      </c>
      <c r="H73" s="534" t="str">
        <f>CONCATENATE("Less ",E1-2," Expenditures + 5%")</f>
        <v>Less -2 Expenditures + 5%</v>
      </c>
      <c r="I73" s="588"/>
      <c r="J73" s="585"/>
    </row>
    <row r="74" spans="2:10" ht="15.75">
      <c r="B74" s="522" t="s">
        <v>637</v>
      </c>
      <c r="C74" s="527">
        <f>IF(C75*0.1&lt;C73,"Exceed 10% Rule","")</f>
      </c>
      <c r="D74" s="527">
        <f>IF(D75*0.1&lt;D73,"Exceed 10% Rule","")</f>
      </c>
      <c r="E74" s="528">
        <f>IF(E75*0.1&lt;E73,"Exceed 10% Rule","")</f>
      </c>
      <c r="F74" s="554"/>
      <c r="G74" s="565">
        <f>G71-G73</f>
        <v>0</v>
      </c>
      <c r="H74" s="566" t="str">
        <f>CONCATENATE("Projected ",E1+1," carryover (est.)")</f>
        <v>Projected 1 carryover (est.)</v>
      </c>
      <c r="I74" s="591"/>
      <c r="J74" s="592"/>
    </row>
    <row r="75" spans="2:6" ht="15.75">
      <c r="B75" s="529" t="s">
        <v>133</v>
      </c>
      <c r="C75" s="548">
        <f>SUM(C66:C73)</f>
        <v>0</v>
      </c>
      <c r="D75" s="548">
        <f>SUM(D66:D73)</f>
        <v>0</v>
      </c>
      <c r="E75" s="549">
        <f>SUM(E66:E73)</f>
        <v>0</v>
      </c>
      <c r="F75" s="554"/>
    </row>
    <row r="76" spans="2:10" ht="15.75">
      <c r="B76" s="513" t="s">
        <v>216</v>
      </c>
      <c r="C76" s="553">
        <f>C64-C75</f>
        <v>0</v>
      </c>
      <c r="D76" s="553">
        <f>D64-D75</f>
        <v>0</v>
      </c>
      <c r="E76" s="519" t="s">
        <v>106</v>
      </c>
      <c r="F76" s="554"/>
      <c r="G76" s="927" t="s">
        <v>659</v>
      </c>
      <c r="H76" s="928"/>
      <c r="I76" s="928"/>
      <c r="J76" s="929"/>
    </row>
    <row r="77" spans="2:10" ht="15.75">
      <c r="B77" s="696" t="str">
        <f>CONCATENATE("",E1-2,"/",E1-1,"/",E1," Budget Authority Amount:")</f>
        <v>-2/-1/0 Budget Authority Amount:</v>
      </c>
      <c r="C77" s="695">
        <f>inputOth!B76</f>
        <v>0</v>
      </c>
      <c r="D77" s="695">
        <f>inputPrYr!D26</f>
        <v>0</v>
      </c>
      <c r="E77" s="516">
        <f>E75</f>
        <v>0</v>
      </c>
      <c r="F77" s="556"/>
      <c r="G77" s="572"/>
      <c r="H77" s="551"/>
      <c r="I77" s="573"/>
      <c r="J77" s="574"/>
    </row>
    <row r="78" spans="2:10" ht="15.75">
      <c r="B78" s="555"/>
      <c r="C78" s="916" t="s">
        <v>638</v>
      </c>
      <c r="D78" s="917"/>
      <c r="E78" s="521"/>
      <c r="F78" s="586">
        <f>IF(E75/0.95-E75&lt;E78,"Exceeds 5%","")</f>
      </c>
      <c r="G78" s="575" t="str">
        <f>summ!I29</f>
        <v> </v>
      </c>
      <c r="H78" s="551" t="str">
        <f>CONCATENATE("",E1," Fund Mill Rate")</f>
        <v>0 Fund Mill Rate</v>
      </c>
      <c r="I78" s="573"/>
      <c r="J78" s="574"/>
    </row>
    <row r="79" spans="2:10" ht="15.75">
      <c r="B79" s="560" t="str">
        <f>CONCATENATE(C100,"     ",D100)</f>
        <v>     </v>
      </c>
      <c r="C79" s="918" t="s">
        <v>639</v>
      </c>
      <c r="D79" s="919"/>
      <c r="E79" s="516">
        <f>E75+E78</f>
        <v>0</v>
      </c>
      <c r="F79" s="554"/>
      <c r="G79" s="576" t="str">
        <f>summ!F29</f>
        <v>  </v>
      </c>
      <c r="H79" s="551" t="str">
        <f>CONCATENATE("",E1-1," Fund Mill Rate")</f>
        <v>-1 Fund Mill Rate</v>
      </c>
      <c r="I79" s="573"/>
      <c r="J79" s="574"/>
    </row>
    <row r="80" spans="2:10" ht="15.75">
      <c r="B80" s="560" t="str">
        <f>CONCATENATE(C101,"     ",D101)</f>
        <v>     </v>
      </c>
      <c r="C80" s="562"/>
      <c r="D80" s="501" t="s">
        <v>135</v>
      </c>
      <c r="E80" s="563">
        <f>IF(E79-E64&gt;0,E79-E64,0)</f>
        <v>0</v>
      </c>
      <c r="F80" s="554"/>
      <c r="G80" s="578">
        <f>summ!I45</f>
        <v>0</v>
      </c>
      <c r="H80" s="551" t="str">
        <f>CONCATENATE("Total ",E1," Mill Rate")</f>
        <v>Total 0 Mill Rate</v>
      </c>
      <c r="I80" s="573"/>
      <c r="J80" s="574"/>
    </row>
    <row r="81" spans="2:10" ht="15.75">
      <c r="B81" s="501"/>
      <c r="C81" s="433" t="s">
        <v>640</v>
      </c>
      <c r="D81" s="564">
        <f>inputOth!E67</f>
        <v>0</v>
      </c>
      <c r="E81" s="516">
        <f>ROUND(IF(E80&gt;0,(E80*D81),0),0)</f>
        <v>0</v>
      </c>
      <c r="F81" s="554"/>
      <c r="G81" s="576">
        <f>summ!F45</f>
        <v>0</v>
      </c>
      <c r="H81" s="579" t="str">
        <f>CONCATENATE("Total ",E1-1," Mill Rate")</f>
        <v>Total -1 Mill Rate</v>
      </c>
      <c r="I81" s="580"/>
      <c r="J81" s="581"/>
    </row>
    <row r="82" spans="2:10" ht="16.5" thickBot="1">
      <c r="B82" s="498"/>
      <c r="C82" s="947" t="str">
        <f>CONCATENATE("Amount of  ",E1-1," Ad Valorem Tax")</f>
        <v>Amount of  -1 Ad Valorem Tax</v>
      </c>
      <c r="D82" s="948"/>
      <c r="E82" s="570">
        <f>E80+E81</f>
        <v>0</v>
      </c>
      <c r="F82" s="593" t="str">
        <f>IF('Library Grant'!F33="","",IF('Library Grant'!F33="Qualify","Qualifies for State Library Grant","See 'Library Grant' tab"))</f>
        <v>Qualifies for State Library Grant</v>
      </c>
      <c r="G82" s="594"/>
      <c r="H82" s="594"/>
      <c r="I82" s="594"/>
      <c r="J82" s="594"/>
    </row>
    <row r="83" spans="2:10" ht="16.5" thickTop="1">
      <c r="B83" s="501"/>
      <c r="C83" s="947"/>
      <c r="D83" s="948"/>
      <c r="E83" s="571"/>
      <c r="F83" s="554"/>
      <c r="G83" s="806" t="s">
        <v>839</v>
      </c>
      <c r="H83" s="781"/>
      <c r="I83" s="805"/>
      <c r="J83" s="783" t="str">
        <f>cert!F46</f>
        <v>No</v>
      </c>
    </row>
    <row r="84" spans="2:10" ht="15.75">
      <c r="B84" s="826" t="s">
        <v>983</v>
      </c>
      <c r="C84" s="819"/>
      <c r="D84" s="819"/>
      <c r="E84" s="820"/>
      <c r="G84" s="804" t="str">
        <f>CONCATENATE("Computed ",E1," tax levy limit amount")</f>
        <v>Computed 0 tax levy limit amount</v>
      </c>
      <c r="H84" s="803"/>
      <c r="I84" s="803"/>
      <c r="J84" s="802">
        <f>computationTown!J41</f>
        <v>0</v>
      </c>
    </row>
    <row r="85" spans="2:10" ht="15.75">
      <c r="B85" s="821"/>
      <c r="C85" s="569"/>
      <c r="D85" s="569"/>
      <c r="E85" s="822"/>
      <c r="F85" s="554"/>
      <c r="G85" s="801" t="str">
        <f>CONCATENATE("Total ",E1," tax levy amount")</f>
        <v>Total 0 tax levy amount</v>
      </c>
      <c r="H85" s="800"/>
      <c r="I85" s="800"/>
      <c r="J85" s="799">
        <f>summ!H45</f>
        <v>0</v>
      </c>
    </row>
    <row r="86" spans="2:5" ht="15.75">
      <c r="B86" s="823"/>
      <c r="C86" s="824"/>
      <c r="D86" s="824"/>
      <c r="E86" s="825"/>
    </row>
    <row r="87" spans="2:5" ht="15.75">
      <c r="B87" s="501"/>
      <c r="C87" s="501"/>
      <c r="D87" s="501"/>
      <c r="E87" s="501"/>
    </row>
    <row r="88" spans="2:5" ht="15.75">
      <c r="B88" s="501" t="s">
        <v>116</v>
      </c>
      <c r="C88" s="748"/>
      <c r="D88" s="501"/>
      <c r="E88" s="501"/>
    </row>
    <row r="93" spans="3:4" ht="15.75">
      <c r="C93" s="595" t="s">
        <v>660</v>
      </c>
      <c r="D93" s="595" t="s">
        <v>660</v>
      </c>
    </row>
    <row r="94" spans="3:4" ht="15.75">
      <c r="C94" s="595" t="s">
        <v>660</v>
      </c>
      <c r="D94" s="595" t="s">
        <v>660</v>
      </c>
    </row>
    <row r="95" ht="15.75" hidden="1"/>
    <row r="96" spans="3:4" ht="15.75" hidden="1">
      <c r="C96" s="595" t="s">
        <v>660</v>
      </c>
      <c r="D96" s="595" t="s">
        <v>660</v>
      </c>
    </row>
    <row r="97" spans="3:4" ht="15.75" hidden="1">
      <c r="C97" s="595" t="s">
        <v>660</v>
      </c>
      <c r="D97" s="595" t="s">
        <v>660</v>
      </c>
    </row>
    <row r="98" spans="3:4" ht="15.75" hidden="1">
      <c r="C98" s="596">
        <f>IF(C34&gt;C36,"See Tab A","")</f>
      </c>
      <c r="D98" s="596">
        <f>IF(D34&gt;D36,"See Tab C","")</f>
      </c>
    </row>
    <row r="99" spans="3:4" ht="15.75">
      <c r="C99" s="596">
        <f>IF(C35&lt;0,"See Tab B","")</f>
      </c>
      <c r="D99" s="596">
        <f>IF(D35&lt;0,"See Tab D","")</f>
      </c>
    </row>
    <row r="100" spans="3:4" ht="15.75">
      <c r="C100" s="597">
        <f>IF(C75&gt;C77,"See Tab A","")</f>
      </c>
      <c r="D100" s="597">
        <f>IF(D75&gt;D77,"See Tab C","")</f>
      </c>
    </row>
    <row r="101" spans="3:4" ht="15.75">
      <c r="C101" s="597">
        <f>IF(C76&lt;0,"See Tab B","")</f>
      </c>
      <c r="D101" s="597">
        <f>IF(D76&lt;0,"See Tab D","")</f>
      </c>
    </row>
  </sheetData>
  <sheetProtection sheet="1"/>
  <mergeCells count="14">
    <mergeCell ref="G59:J59"/>
    <mergeCell ref="G66:J66"/>
    <mergeCell ref="C78:D78"/>
    <mergeCell ref="C79:D79"/>
    <mergeCell ref="C82:D82"/>
    <mergeCell ref="C83:D83"/>
    <mergeCell ref="G76:J76"/>
    <mergeCell ref="G18:J18"/>
    <mergeCell ref="G25:J25"/>
    <mergeCell ref="C37:D37"/>
    <mergeCell ref="C38:D38"/>
    <mergeCell ref="C41:D41"/>
    <mergeCell ref="C42:D42"/>
    <mergeCell ref="G35:J35"/>
  </mergeCells>
  <conditionalFormatting sqref="C75">
    <cfRule type="cellIs" priority="16" dxfId="0" operator="greaterThan" stopIfTrue="1">
      <formula>$C$77</formula>
    </cfRule>
  </conditionalFormatting>
  <conditionalFormatting sqref="C76:D76 C35:D35">
    <cfRule type="cellIs" priority="15" dxfId="0" operator="lessThan" stopIfTrue="1">
      <formula>0</formula>
    </cfRule>
  </conditionalFormatting>
  <conditionalFormatting sqref="D75">
    <cfRule type="cellIs" priority="14" dxfId="0" operator="greaterThan" stopIfTrue="1">
      <formula>$D$77</formula>
    </cfRule>
  </conditionalFormatting>
  <conditionalFormatting sqref="C34">
    <cfRule type="cellIs" priority="13" dxfId="0" operator="greaterThan" stopIfTrue="1">
      <formula>$C$36</formula>
    </cfRule>
  </conditionalFormatting>
  <conditionalFormatting sqref="D34">
    <cfRule type="cellIs" priority="12" dxfId="0" operator="greaterThan" stopIfTrue="1">
      <formula>$D$36</formula>
    </cfRule>
  </conditionalFormatting>
  <conditionalFormatting sqref="C32">
    <cfRule type="cellIs" priority="11" dxfId="0" operator="greaterThan" stopIfTrue="1">
      <formula>$C$34*0.1</formula>
    </cfRule>
  </conditionalFormatting>
  <conditionalFormatting sqref="D32">
    <cfRule type="cellIs" priority="10" dxfId="0" operator="greaterThan" stopIfTrue="1">
      <formula>$D$34*0.1</formula>
    </cfRule>
  </conditionalFormatting>
  <conditionalFormatting sqref="E32">
    <cfRule type="cellIs" priority="9" dxfId="0" operator="greaterThan" stopIfTrue="1">
      <formula>$E$34*0.1</formula>
    </cfRule>
  </conditionalFormatting>
  <conditionalFormatting sqref="C20 C61:E61">
    <cfRule type="cellIs" priority="8" dxfId="0" operator="greaterThan" stopIfTrue="1">
      <formula>$C$22*0.1</formula>
    </cfRule>
  </conditionalFormatting>
  <conditionalFormatting sqref="D20">
    <cfRule type="cellIs" priority="7" dxfId="0" operator="greaterThan" stopIfTrue="1">
      <formula>$D$22*0.1</formula>
    </cfRule>
  </conditionalFormatting>
  <conditionalFormatting sqref="C73">
    <cfRule type="cellIs" priority="5" dxfId="0" operator="greaterThan" stopIfTrue="1">
      <formula>$C$75*0.1</formula>
    </cfRule>
  </conditionalFormatting>
  <conditionalFormatting sqref="D73">
    <cfRule type="cellIs" priority="4" dxfId="0" operator="greaterThan" stopIfTrue="1">
      <formula>$D$75*0.1</formula>
    </cfRule>
  </conditionalFormatting>
  <conditionalFormatting sqref="E73">
    <cfRule type="cellIs" priority="3" dxfId="0" operator="greaterThan" stopIfTrue="1">
      <formula>$E$75*0.1</formula>
    </cfRule>
  </conditionalFormatting>
  <conditionalFormatting sqref="E37">
    <cfRule type="cellIs" priority="2" dxfId="0" operator="greaterThan" stopIfTrue="1">
      <formula>$E$34/0.95-$E$34</formula>
    </cfRule>
  </conditionalFormatting>
  <conditionalFormatting sqref="E78">
    <cfRule type="cellIs" priority="1" dxfId="0" operator="greaterThan" stopIfTrue="1">
      <formula>$E$75/0.98-$E$75</formula>
    </cfRule>
  </conditionalFormatting>
  <conditionalFormatting sqref="E20">
    <cfRule type="cellIs" priority="89" dxfId="0" operator="greaterThan" stopIfTrue="1">
      <formula>$E$22*0.1+$E$41</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76"/>
  <sheetViews>
    <sheetView zoomScalePageLayoutView="0" workbookViewId="0" topLeftCell="A1">
      <selection activeCell="L79" sqref="L79"/>
    </sheetView>
  </sheetViews>
  <sheetFormatPr defaultColWidth="8.796875" defaultRowHeight="15.75"/>
  <cols>
    <col min="1" max="1" width="2.3984375" style="108" customWidth="1"/>
    <col min="2" max="2" width="31" style="108" customWidth="1"/>
    <col min="3" max="4" width="15.69921875" style="108" customWidth="1"/>
    <col min="5" max="5" width="13.69921875" style="108" customWidth="1"/>
    <col min="6" max="6" width="8.796875" style="108" customWidth="1"/>
    <col min="7" max="7" width="9.19921875" style="108" customWidth="1"/>
    <col min="8" max="8" width="8.796875" style="108" customWidth="1"/>
    <col min="9" max="9" width="4.5" style="108" customWidth="1"/>
    <col min="10" max="10" width="9" style="108" customWidth="1"/>
    <col min="11" max="16384" width="8.796875" style="108" customWidth="1"/>
  </cols>
  <sheetData>
    <row r="1" spans="2:5" ht="15.75">
      <c r="B1" s="74">
        <f>inputPrYr!D3</f>
        <v>0</v>
      </c>
      <c r="C1" s="17"/>
      <c r="D1" s="17"/>
      <c r="E1" s="90">
        <f>inputPrYr!D7</f>
        <v>0</v>
      </c>
    </row>
    <row r="2" spans="2:5" ht="15.75">
      <c r="B2" s="81" t="s">
        <v>177</v>
      </c>
      <c r="C2" s="17"/>
      <c r="D2" s="103"/>
      <c r="E2" s="19"/>
    </row>
    <row r="3" spans="2:5" ht="15.75">
      <c r="B3" s="25" t="s">
        <v>117</v>
      </c>
      <c r="C3" s="23"/>
      <c r="D3" s="23"/>
      <c r="E3" s="23"/>
    </row>
    <row r="4" spans="2:5" ht="15.75">
      <c r="B4" s="17"/>
      <c r="C4" s="353" t="s">
        <v>118</v>
      </c>
      <c r="D4" s="354" t="s">
        <v>119</v>
      </c>
      <c r="E4" s="27" t="s">
        <v>120</v>
      </c>
    </row>
    <row r="5" spans="2:5" ht="15.75">
      <c r="B5" s="428" t="str">
        <f>inputPrYr!B27</f>
        <v>Road</v>
      </c>
      <c r="C5" s="170" t="str">
        <f>gen!C5</f>
        <v>Actual for -2</v>
      </c>
      <c r="D5" s="170" t="str">
        <f>gen!D5</f>
        <v>Estimate for -1</v>
      </c>
      <c r="E5" s="32" t="str">
        <f>gen!E5</f>
        <v>Year for 0</v>
      </c>
    </row>
    <row r="6" spans="2:5" ht="15.75">
      <c r="B6" s="33" t="s">
        <v>215</v>
      </c>
      <c r="C6" s="171"/>
      <c r="D6" s="351">
        <f>C44</f>
        <v>0</v>
      </c>
      <c r="E6" s="125">
        <f>D44</f>
        <v>0</v>
      </c>
    </row>
    <row r="7" spans="2:5" ht="15.75">
      <c r="B7" s="33" t="s">
        <v>217</v>
      </c>
      <c r="C7" s="351"/>
      <c r="D7" s="351"/>
      <c r="E7" s="174"/>
    </row>
    <row r="8" spans="2:5" ht="15.75">
      <c r="B8" s="33" t="s">
        <v>123</v>
      </c>
      <c r="C8" s="171"/>
      <c r="D8" s="351">
        <f>IF(inputPrYr!H23&gt;0,inputPrYr!G27,inputPrYr!E27)</f>
        <v>0</v>
      </c>
      <c r="E8" s="174" t="s">
        <v>106</v>
      </c>
    </row>
    <row r="9" spans="2:5" ht="15.75">
      <c r="B9" s="33" t="s">
        <v>124</v>
      </c>
      <c r="C9" s="171"/>
      <c r="D9" s="171"/>
      <c r="E9" s="145"/>
    </row>
    <row r="10" spans="2:5" ht="15.75">
      <c r="B10" s="33" t="s">
        <v>125</v>
      </c>
      <c r="C10" s="171"/>
      <c r="D10" s="171"/>
      <c r="E10" s="125">
        <f>mvalloc!D14</f>
        <v>0</v>
      </c>
    </row>
    <row r="11" spans="2:5" ht="15.75">
      <c r="B11" s="33" t="s">
        <v>126</v>
      </c>
      <c r="C11" s="171"/>
      <c r="D11" s="171"/>
      <c r="E11" s="125">
        <f>mvalloc!E14</f>
        <v>0</v>
      </c>
    </row>
    <row r="12" spans="2:5" ht="15.75">
      <c r="B12" s="33" t="s">
        <v>205</v>
      </c>
      <c r="C12" s="171"/>
      <c r="D12" s="171"/>
      <c r="E12" s="125">
        <f>mvalloc!F14</f>
        <v>0</v>
      </c>
    </row>
    <row r="13" spans="2:5" ht="15.75">
      <c r="B13" s="753" t="s">
        <v>818</v>
      </c>
      <c r="C13" s="171"/>
      <c r="D13" s="171"/>
      <c r="E13" s="125">
        <f>mvalloc!G14</f>
        <v>0</v>
      </c>
    </row>
    <row r="14" spans="2:5" ht="15.75">
      <c r="B14" s="753" t="s">
        <v>819</v>
      </c>
      <c r="C14" s="171"/>
      <c r="D14" s="171"/>
      <c r="E14" s="125">
        <f>mvalloc!H14</f>
        <v>0</v>
      </c>
    </row>
    <row r="15" spans="2:5" ht="15.75">
      <c r="B15" s="33" t="s">
        <v>206</v>
      </c>
      <c r="C15" s="171"/>
      <c r="D15" s="171"/>
      <c r="E15" s="125">
        <f>inputOth!E55</f>
        <v>0</v>
      </c>
    </row>
    <row r="16" spans="2:5" ht="15.75">
      <c r="B16" s="177"/>
      <c r="C16" s="171"/>
      <c r="D16" s="171"/>
      <c r="E16" s="145"/>
    </row>
    <row r="17" spans="2:5" ht="15.75">
      <c r="B17" s="177"/>
      <c r="C17" s="171"/>
      <c r="D17" s="171"/>
      <c r="E17" s="145"/>
    </row>
    <row r="18" spans="2:5" ht="15.75">
      <c r="B18" s="177"/>
      <c r="C18" s="171"/>
      <c r="D18" s="171"/>
      <c r="E18" s="145"/>
    </row>
    <row r="19" spans="2:5" ht="15.75">
      <c r="B19" s="177"/>
      <c r="C19" s="171"/>
      <c r="D19" s="171"/>
      <c r="E19" s="145"/>
    </row>
    <row r="20" spans="2:5" ht="15.75">
      <c r="B20" s="177" t="s">
        <v>129</v>
      </c>
      <c r="C20" s="171"/>
      <c r="D20" s="171"/>
      <c r="E20" s="145"/>
    </row>
    <row r="21" spans="2:5" ht="15.75">
      <c r="B21" s="41" t="s">
        <v>47</v>
      </c>
      <c r="C21" s="171"/>
      <c r="D21" s="171"/>
      <c r="E21" s="185">
        <f>nhood!E9*-1</f>
        <v>0</v>
      </c>
    </row>
    <row r="22" spans="2:5" ht="15.75">
      <c r="B22" s="178" t="s">
        <v>45</v>
      </c>
      <c r="C22" s="171"/>
      <c r="D22" s="171"/>
      <c r="E22" s="145"/>
    </row>
    <row r="23" spans="2:5" ht="15.75">
      <c r="B23" s="178" t="s">
        <v>46</v>
      </c>
      <c r="C23" s="350">
        <f>IF(C24*0.1&lt;C22,"Exceed 10% Rule","")</f>
      </c>
      <c r="D23" s="350">
        <f>IF(D24*0.1&lt;D22,"Exceed 10% Rule","")</f>
      </c>
      <c r="E23" s="341">
        <f>IF((E50+E24)*0.1&lt;E22,"Exceed 10% Rule","")</f>
      </c>
    </row>
    <row r="24" spans="2:10" ht="15.75">
      <c r="B24" s="180" t="s">
        <v>130</v>
      </c>
      <c r="C24" s="352">
        <f>SUM(C8:C22)</f>
        <v>0</v>
      </c>
      <c r="D24" s="352">
        <f>SUM(D8:D22)</f>
        <v>0</v>
      </c>
      <c r="E24" s="182">
        <f>SUM(E8:E22)</f>
        <v>0</v>
      </c>
      <c r="G24" s="941" t="str">
        <f>CONCATENATE("Desired Carryover Into ",E1+1,"")</f>
        <v>Desired Carryover Into 1</v>
      </c>
      <c r="H24" s="942"/>
      <c r="I24" s="942"/>
      <c r="J24" s="943"/>
    </row>
    <row r="25" spans="2:10" ht="15.75">
      <c r="B25" s="59" t="s">
        <v>131</v>
      </c>
      <c r="C25" s="352">
        <f>C24+C6</f>
        <v>0</v>
      </c>
      <c r="D25" s="352">
        <f>D24+D6</f>
        <v>0</v>
      </c>
      <c r="E25" s="182">
        <f>E24+E6</f>
        <v>0</v>
      </c>
      <c r="G25" s="452"/>
      <c r="H25" s="24"/>
      <c r="I25" s="444"/>
      <c r="J25" s="453"/>
    </row>
    <row r="26" spans="2:10" ht="15.75">
      <c r="B26" s="33" t="s">
        <v>132</v>
      </c>
      <c r="C26" s="351"/>
      <c r="D26" s="351"/>
      <c r="E26" s="125"/>
      <c r="G26" s="454" t="s">
        <v>642</v>
      </c>
      <c r="H26" s="444"/>
      <c r="I26" s="444"/>
      <c r="J26" s="455">
        <v>0</v>
      </c>
    </row>
    <row r="27" spans="2:10" ht="15.75">
      <c r="B27" s="177"/>
      <c r="C27" s="171"/>
      <c r="D27" s="171"/>
      <c r="E27" s="145"/>
      <c r="G27" s="452" t="s">
        <v>643</v>
      </c>
      <c r="H27" s="24"/>
      <c r="I27" s="24"/>
      <c r="J27" s="639">
        <f>IF(J26=0,"",ROUND((J26+E50-G39)/inputOth!E8*1000,3)-G44)</f>
      </c>
    </row>
    <row r="28" spans="2:10" ht="15.75">
      <c r="B28" s="177" t="s">
        <v>207</v>
      </c>
      <c r="C28" s="171"/>
      <c r="D28" s="171"/>
      <c r="E28" s="145"/>
      <c r="G28" s="640" t="str">
        <f>CONCATENATE("",E1," Tot Exp/Non-Appr Must Be:")</f>
        <v>0 Tot Exp/Non-Appr Must Be:</v>
      </c>
      <c r="H28" s="624"/>
      <c r="I28" s="623"/>
      <c r="J28" s="641">
        <f>IF(J26&gt;0,IF(E47&lt;E25,IF(J26=G39,E47,((J26-G39)*(1-D49))+E25),E47+(J26-G39)),0)</f>
        <v>0</v>
      </c>
    </row>
    <row r="29" spans="2:10" ht="15.75">
      <c r="B29" s="177" t="s">
        <v>222</v>
      </c>
      <c r="C29" s="171"/>
      <c r="D29" s="171"/>
      <c r="E29" s="145"/>
      <c r="G29" s="642" t="s">
        <v>658</v>
      </c>
      <c r="H29" s="643"/>
      <c r="I29" s="643"/>
      <c r="J29" s="644">
        <f>IF(J26&gt;0,J28-E47,0)</f>
        <v>0</v>
      </c>
    </row>
    <row r="30" spans="2:5" ht="15.75">
      <c r="B30" s="176" t="s">
        <v>208</v>
      </c>
      <c r="C30" s="171"/>
      <c r="D30" s="171"/>
      <c r="E30" s="145"/>
    </row>
    <row r="31" spans="2:10" ht="15.75">
      <c r="B31" s="177" t="s">
        <v>224</v>
      </c>
      <c r="C31" s="171"/>
      <c r="D31" s="171"/>
      <c r="E31" s="145"/>
      <c r="G31" s="941" t="str">
        <f>CONCATENATE("Projected Carryover Into ",E1+1,"")</f>
        <v>Projected Carryover Into 1</v>
      </c>
      <c r="H31" s="942"/>
      <c r="I31" s="942"/>
      <c r="J31" s="943"/>
    </row>
    <row r="32" spans="2:10" ht="15.75">
      <c r="B32" s="177" t="s">
        <v>211</v>
      </c>
      <c r="C32" s="171"/>
      <c r="D32" s="171"/>
      <c r="E32" s="145"/>
      <c r="G32" s="440"/>
      <c r="H32" s="24"/>
      <c r="I32" s="24"/>
      <c r="J32" s="36"/>
    </row>
    <row r="33" spans="2:10" ht="15.75">
      <c r="B33" s="177" t="s">
        <v>209</v>
      </c>
      <c r="C33" s="171"/>
      <c r="D33" s="171"/>
      <c r="E33" s="145"/>
      <c r="G33" s="441">
        <f>D44</f>
        <v>0</v>
      </c>
      <c r="H33" s="442" t="str">
        <f>CONCATENATE("",E1-1," Ending Cash Balance (est.)")</f>
        <v>-1 Ending Cash Balance (est.)</v>
      </c>
      <c r="I33" s="443"/>
      <c r="J33" s="36"/>
    </row>
    <row r="34" spans="2:10" ht="15.75">
      <c r="B34" s="177"/>
      <c r="C34" s="171"/>
      <c r="D34" s="171"/>
      <c r="E34" s="145"/>
      <c r="G34" s="441">
        <f>E24</f>
        <v>0</v>
      </c>
      <c r="H34" s="444" t="str">
        <f>CONCATENATE("",E1," Non-AV Receipts (est.)")</f>
        <v>0 Non-AV Receipts (est.)</v>
      </c>
      <c r="I34" s="443"/>
      <c r="J34" s="36"/>
    </row>
    <row r="35" spans="2:11" ht="15.75">
      <c r="B35" s="176"/>
      <c r="C35" s="171"/>
      <c r="D35" s="171"/>
      <c r="E35" s="145"/>
      <c r="G35" s="445">
        <f>IF(D49&gt;0,E48,E50)</f>
        <v>0</v>
      </c>
      <c r="H35" s="444" t="str">
        <f>CONCATENATE("",E1," Ad Valorem Tax (est.)")</f>
        <v>0 Ad Valorem Tax (est.)</v>
      </c>
      <c r="I35" s="444"/>
      <c r="J35" s="36"/>
      <c r="K35" s="645">
        <f>IF(G35=E50,"","Note: Does not include Delinquent Taxes")</f>
      </c>
    </row>
    <row r="36" spans="2:10" ht="15.75">
      <c r="B36" s="176"/>
      <c r="C36" s="171"/>
      <c r="D36" s="171"/>
      <c r="E36" s="145"/>
      <c r="G36" s="441">
        <f>SUM(G33:G35)</f>
        <v>0</v>
      </c>
      <c r="H36" s="444" t="str">
        <f>CONCATENATE("Total ",E1," Resources Available")</f>
        <v>Total 0 Resources Available</v>
      </c>
      <c r="I36" s="443"/>
      <c r="J36" s="36"/>
    </row>
    <row r="37" spans="2:10" ht="15.75">
      <c r="B37" s="176"/>
      <c r="C37" s="171"/>
      <c r="D37" s="171"/>
      <c r="E37" s="145"/>
      <c r="G37" s="446"/>
      <c r="H37" s="444"/>
      <c r="I37" s="444"/>
      <c r="J37" s="36"/>
    </row>
    <row r="38" spans="2:10" ht="15.75">
      <c r="B38" s="33" t="str">
        <f>CONCATENATE("Cash Forward (",E1," column)")</f>
        <v>Cash Forward (0 column)</v>
      </c>
      <c r="C38" s="171"/>
      <c r="D38" s="171"/>
      <c r="E38" s="145"/>
      <c r="G38" s="445">
        <f>ROUND(C43*0.05+C43,0)</f>
        <v>0</v>
      </c>
      <c r="H38" s="444" t="str">
        <f>CONCATENATE("Less ",E1-2," Expenditures + 5%")</f>
        <v>Less -2 Expenditures + 5%</v>
      </c>
      <c r="I38" s="443"/>
      <c r="J38" s="36"/>
    </row>
    <row r="39" spans="2:10" ht="15.75">
      <c r="B39" s="33" t="s">
        <v>210</v>
      </c>
      <c r="C39" s="171"/>
      <c r="D39" s="171"/>
      <c r="E39" s="145"/>
      <c r="G39" s="447">
        <f>G36-G38</f>
        <v>0</v>
      </c>
      <c r="H39" s="448" t="str">
        <f>CONCATENATE("Projected ",E1+1," Carryover (est.)")</f>
        <v>Projected 1 Carryover (est.)</v>
      </c>
      <c r="I39" s="449"/>
      <c r="J39" s="450"/>
    </row>
    <row r="40" spans="2:5" ht="15.75">
      <c r="B40" s="33" t="s">
        <v>641</v>
      </c>
      <c r="C40" s="355">
        <f>IF(C25*0.25&lt;C39,"Exceeds 25%","")</f>
      </c>
      <c r="D40" s="355">
        <f>IF(D25*0.25&lt;D39,"Exceeds 25%","")</f>
      </c>
      <c r="E40" s="457">
        <f>IF((E50+E25)*0.25&lt;E39,"Exceeds 25%","")</f>
      </c>
    </row>
    <row r="41" spans="2:10" ht="15.75">
      <c r="B41" s="41" t="s">
        <v>45</v>
      </c>
      <c r="C41" s="171"/>
      <c r="D41" s="171"/>
      <c r="E41" s="145"/>
      <c r="G41" s="944" t="s">
        <v>659</v>
      </c>
      <c r="H41" s="945"/>
      <c r="I41" s="945"/>
      <c r="J41" s="946"/>
    </row>
    <row r="42" spans="2:10" ht="15.75">
      <c r="B42" s="41" t="s">
        <v>637</v>
      </c>
      <c r="C42" s="350">
        <f>IF(C43*0.1&lt;C41,"Exceed 10% Rule","")</f>
      </c>
      <c r="D42" s="350">
        <f>IF(D43*0.1&lt;D41,"Exceed 10% Rule","")</f>
      </c>
      <c r="E42" s="341">
        <f>IF(E43*0.1&lt;E41,"Exceed 10% Rule","")</f>
      </c>
      <c r="G42" s="646"/>
      <c r="H42" s="442"/>
      <c r="I42" s="625"/>
      <c r="J42" s="647"/>
    </row>
    <row r="43" spans="2:10" ht="15.75">
      <c r="B43" s="59" t="s">
        <v>133</v>
      </c>
      <c r="C43" s="352">
        <f>SUM(C27:C39,C41:C41)</f>
        <v>0</v>
      </c>
      <c r="D43" s="352">
        <f>SUM(D27:D39,D41:D41)</f>
        <v>0</v>
      </c>
      <c r="E43" s="182">
        <f>SUM(E27:E39,E41:E41)</f>
        <v>0</v>
      </c>
      <c r="G43" s="648" t="str">
        <f>summ!I30</f>
        <v> </v>
      </c>
      <c r="H43" s="442" t="str">
        <f>CONCATENATE("",E1," Fund Mill Rate")</f>
        <v>0 Fund Mill Rate</v>
      </c>
      <c r="I43" s="625"/>
      <c r="J43" s="647"/>
    </row>
    <row r="44" spans="2:10" ht="15.75">
      <c r="B44" s="33" t="s">
        <v>216</v>
      </c>
      <c r="C44" s="356">
        <f>C25-C43</f>
        <v>0</v>
      </c>
      <c r="D44" s="356">
        <f>D25-D43</f>
        <v>0</v>
      </c>
      <c r="E44" s="174" t="s">
        <v>106</v>
      </c>
      <c r="G44" s="649" t="str">
        <f>summ!F30</f>
        <v>  </v>
      </c>
      <c r="H44" s="442" t="str">
        <f>CONCATENATE("",E1-1," Fund Mill Rate")</f>
        <v>-1 Fund Mill Rate</v>
      </c>
      <c r="I44" s="625"/>
      <c r="J44" s="647"/>
    </row>
    <row r="45" spans="2:10" ht="15.75">
      <c r="B45" s="73" t="str">
        <f>CONCATENATE("",E1-2,"/",E1-1,"/",E1," Budget Authority Amount:")</f>
        <v>-2/-1/0 Budget Authority Amount:</v>
      </c>
      <c r="C45" s="190">
        <f>inputOth!B77</f>
        <v>0</v>
      </c>
      <c r="D45" s="190">
        <f>inputPrYr!D27</f>
        <v>0</v>
      </c>
      <c r="E45" s="125">
        <f>E43</f>
        <v>0</v>
      </c>
      <c r="G45" s="650">
        <f>summ!I45</f>
        <v>0</v>
      </c>
      <c r="H45" s="442" t="str">
        <f>CONCATENATE("Total ",E1," Mill Rate")</f>
        <v>Total 0 Mill Rate</v>
      </c>
      <c r="I45" s="625"/>
      <c r="J45" s="647"/>
    </row>
    <row r="46" spans="2:10" ht="15.75">
      <c r="B46" s="3"/>
      <c r="C46" s="916" t="s">
        <v>638</v>
      </c>
      <c r="D46" s="917"/>
      <c r="E46" s="145"/>
      <c r="F46" s="186">
        <f>IF(E43/0.95-E43&lt;E46,"Exceeds 5%","")</f>
      </c>
      <c r="G46" s="649">
        <f>summ!F45</f>
        <v>0</v>
      </c>
      <c r="H46" s="651" t="str">
        <f>CONCATENATE("Total ",E1-1," Mill Rate")</f>
        <v>Total -1 Mill Rate</v>
      </c>
      <c r="I46" s="652"/>
      <c r="J46" s="653"/>
    </row>
    <row r="47" spans="2:10" ht="15.75">
      <c r="B47" s="357" t="str">
        <f>CONCATENATE(C75,"     ",D75)</f>
        <v>     </v>
      </c>
      <c r="C47" s="918" t="s">
        <v>639</v>
      </c>
      <c r="D47" s="919"/>
      <c r="E47" s="125">
        <f>E43+E46</f>
        <v>0</v>
      </c>
      <c r="G47" s="627"/>
      <c r="H47" s="451"/>
      <c r="I47" s="627"/>
      <c r="J47" s="626"/>
    </row>
    <row r="48" spans="2:10" ht="15.75">
      <c r="B48" s="357" t="str">
        <f>CONCATENATE(C76,"     ",D76)</f>
        <v>     </v>
      </c>
      <c r="C48" s="343"/>
      <c r="D48" s="91" t="s">
        <v>135</v>
      </c>
      <c r="E48" s="185">
        <f>IF(E47-E25&gt;0,E47-E25,0)</f>
        <v>0</v>
      </c>
      <c r="G48" s="806" t="s">
        <v>839</v>
      </c>
      <c r="H48" s="781"/>
      <c r="I48" s="782"/>
      <c r="J48" s="783" t="str">
        <f>cert!F46</f>
        <v>No</v>
      </c>
    </row>
    <row r="49" spans="2:10" ht="15.75">
      <c r="B49" s="91"/>
      <c r="C49" s="433" t="s">
        <v>640</v>
      </c>
      <c r="D49" s="622">
        <f>inputOth!$E$67</f>
        <v>0</v>
      </c>
      <c r="E49" s="125">
        <f>ROUND(IF(D49&gt;0,(E48*D49),0),0)</f>
        <v>0</v>
      </c>
      <c r="G49" s="798" t="str">
        <f>CONCATENATE("Computed ",E1," tax levy limit amount")</f>
        <v>Computed 0 tax levy limit amount</v>
      </c>
      <c r="H49" s="797"/>
      <c r="I49" s="797"/>
      <c r="J49" s="796">
        <f>computationTown!J41</f>
        <v>0</v>
      </c>
    </row>
    <row r="50" spans="2:10" ht="15.75">
      <c r="B50" s="17"/>
      <c r="C50" s="920" t="str">
        <f>CONCATENATE("Amount of  ",$E$1-1," Ad Valorem Tax")</f>
        <v>Amount of  -1 Ad Valorem Tax</v>
      </c>
      <c r="D50" s="921"/>
      <c r="E50" s="185">
        <f>E48+E49</f>
        <v>0</v>
      </c>
      <c r="G50" s="795" t="str">
        <f>CONCATENATE("Total ",E1," tax levy amount")</f>
        <v>Total 0 tax levy amount</v>
      </c>
      <c r="H50" s="794"/>
      <c r="I50" s="794"/>
      <c r="J50" s="793">
        <f>summ!H45</f>
        <v>0</v>
      </c>
    </row>
    <row r="51" spans="2:5" ht="15.75">
      <c r="B51" s="17"/>
      <c r="C51" s="17"/>
      <c r="D51" s="17"/>
      <c r="E51" s="17"/>
    </row>
    <row r="52" spans="2:5" ht="15.75">
      <c r="B52" s="191" t="s">
        <v>137</v>
      </c>
      <c r="C52" s="192">
        <f>E1-2</f>
        <v>-2</v>
      </c>
      <c r="D52" s="17"/>
      <c r="E52" s="17"/>
    </row>
    <row r="53" spans="2:5" ht="15.75">
      <c r="B53" s="30" t="s">
        <v>138</v>
      </c>
      <c r="C53" s="32" t="s">
        <v>139</v>
      </c>
      <c r="D53" s="17"/>
      <c r="E53" s="17"/>
    </row>
    <row r="54" spans="2:5" ht="15.75">
      <c r="B54" s="43" t="s">
        <v>121</v>
      </c>
      <c r="C54" s="121"/>
      <c r="D54" s="17"/>
      <c r="E54" s="17"/>
    </row>
    <row r="55" spans="2:5" ht="15.75">
      <c r="B55" s="43" t="s">
        <v>140</v>
      </c>
      <c r="C55" s="48"/>
      <c r="D55" s="17"/>
      <c r="E55" s="17"/>
    </row>
    <row r="56" spans="2:5" ht="15.75">
      <c r="B56" s="193" t="s">
        <v>141</v>
      </c>
      <c r="C56" s="194">
        <f>C39</f>
        <v>0</v>
      </c>
      <c r="D56" s="342">
        <f>IF(C39&gt;(C25*0.25),"Exceeds 25% of Resources Available","")</f>
      </c>
      <c r="E56" s="17"/>
    </row>
    <row r="57" spans="2:5" ht="15.75">
      <c r="B57" s="43" t="s">
        <v>59</v>
      </c>
      <c r="C57" s="194">
        <f>gen!C43</f>
        <v>0</v>
      </c>
      <c r="D57" s="950">
        <f>IF(AND(C57&gt;0,C58&gt;0),"Not Authorized Two Transfers - Only One","")</f>
      </c>
      <c r="E57" s="17"/>
    </row>
    <row r="58" spans="2:5" ht="15.75">
      <c r="B58" s="43" t="s">
        <v>60</v>
      </c>
      <c r="C58" s="194">
        <f>gen!C45</f>
        <v>0</v>
      </c>
      <c r="D58" s="950"/>
      <c r="E58" s="17"/>
    </row>
    <row r="59" spans="2:5" ht="15.75">
      <c r="B59" s="195"/>
      <c r="C59" s="480"/>
      <c r="D59" s="17"/>
      <c r="E59" s="17"/>
    </row>
    <row r="60" spans="2:5" ht="15.75">
      <c r="B60" s="195" t="s">
        <v>129</v>
      </c>
      <c r="C60" s="480"/>
      <c r="D60" s="17"/>
      <c r="E60" s="17"/>
    </row>
    <row r="61" spans="2:5" ht="15.75">
      <c r="B61" s="195" t="s">
        <v>128</v>
      </c>
      <c r="C61" s="480"/>
      <c r="D61" s="17"/>
      <c r="E61" s="17"/>
    </row>
    <row r="62" spans="2:5" ht="15.75">
      <c r="B62" s="196" t="s">
        <v>131</v>
      </c>
      <c r="C62" s="48">
        <f>SUM(C54:C61)</f>
        <v>0</v>
      </c>
      <c r="D62" s="17"/>
      <c r="E62" s="17"/>
    </row>
    <row r="63" spans="2:5" ht="15.75">
      <c r="B63" s="196" t="s">
        <v>133</v>
      </c>
      <c r="C63" s="197"/>
      <c r="D63" s="17"/>
      <c r="E63" s="17"/>
    </row>
    <row r="64" spans="2:5" ht="15.75">
      <c r="B64" s="196" t="s">
        <v>134</v>
      </c>
      <c r="C64" s="190">
        <f>C62-C63</f>
        <v>0</v>
      </c>
      <c r="D64" s="17"/>
      <c r="E64" s="17"/>
    </row>
    <row r="65" spans="2:5" ht="15.75">
      <c r="B65" s="827"/>
      <c r="C65" s="828"/>
      <c r="D65" s="17"/>
      <c r="E65" s="17"/>
    </row>
    <row r="66" spans="2:5" ht="15.75">
      <c r="B66" s="829" t="s">
        <v>985</v>
      </c>
      <c r="C66" s="830"/>
      <c r="D66" s="84"/>
      <c r="E66" s="35"/>
    </row>
    <row r="67" spans="2:5" ht="15.75">
      <c r="B67" s="831"/>
      <c r="C67" s="828"/>
      <c r="D67" s="24"/>
      <c r="E67" s="36"/>
    </row>
    <row r="68" spans="2:5" ht="15.75">
      <c r="B68" s="832"/>
      <c r="C68" s="833"/>
      <c r="D68" s="31"/>
      <c r="E68" s="49"/>
    </row>
    <row r="69" spans="2:5" ht="15.75">
      <c r="B69" s="17"/>
      <c r="C69" s="17"/>
      <c r="D69" s="17"/>
      <c r="E69" s="17"/>
    </row>
    <row r="70" spans="2:5" ht="15.75">
      <c r="B70" s="91" t="s">
        <v>116</v>
      </c>
      <c r="C70" s="739"/>
      <c r="D70" s="17"/>
      <c r="E70" s="17"/>
    </row>
    <row r="72" ht="15.75">
      <c r="B72" s="66"/>
    </row>
    <row r="75" spans="3:4" ht="15.75" customHeight="1" hidden="1">
      <c r="C75" s="108">
        <f>IF(C43&gt;C45,"See Tab A","")</f>
      </c>
      <c r="D75" s="108">
        <f>IF(D43&gt;D45,"See Tab C","")</f>
      </c>
    </row>
    <row r="76" spans="3:4" ht="15.75" customHeight="1" hidden="1">
      <c r="C76" s="108">
        <f>IF(C44&lt;0,"See Tab B","")</f>
      </c>
      <c r="D76" s="108">
        <f>IF(D44&lt;0,"See Tab D","")</f>
      </c>
    </row>
  </sheetData>
  <sheetProtection sheet="1"/>
  <mergeCells count="7">
    <mergeCell ref="C50:D50"/>
    <mergeCell ref="D57:D58"/>
    <mergeCell ref="C46:D46"/>
    <mergeCell ref="C47:D47"/>
    <mergeCell ref="G24:J24"/>
    <mergeCell ref="G31:J31"/>
    <mergeCell ref="G41:J41"/>
  </mergeCells>
  <conditionalFormatting sqref="C22">
    <cfRule type="cellIs" priority="4" dxfId="179" operator="greaterThan" stopIfTrue="1">
      <formula>$C$24*0.1</formula>
    </cfRule>
  </conditionalFormatting>
  <conditionalFormatting sqref="D22">
    <cfRule type="cellIs" priority="5" dxfId="179" operator="greaterThan" stopIfTrue="1">
      <formula>$D$24*0.1</formula>
    </cfRule>
  </conditionalFormatting>
  <conditionalFormatting sqref="C41">
    <cfRule type="cellIs" priority="6" dxfId="179" operator="greaterThan" stopIfTrue="1">
      <formula>$C$43*0.1</formula>
    </cfRule>
  </conditionalFormatting>
  <conditionalFormatting sqref="D41">
    <cfRule type="cellIs" priority="7" dxfId="179" operator="greaterThan" stopIfTrue="1">
      <formula>$D$43*0.1</formula>
    </cfRule>
  </conditionalFormatting>
  <conditionalFormatting sqref="E41">
    <cfRule type="cellIs" priority="8" dxfId="179" operator="greaterThan" stopIfTrue="1">
      <formula>$E$43*0.1</formula>
    </cfRule>
  </conditionalFormatting>
  <conditionalFormatting sqref="E46">
    <cfRule type="cellIs" priority="9" dxfId="179" operator="greaterThan" stopIfTrue="1">
      <formula>$E$43/0.95-$E$43</formula>
    </cfRule>
  </conditionalFormatting>
  <conditionalFormatting sqref="C44">
    <cfRule type="cellIs" priority="10" dxfId="179" operator="lessThan" stopIfTrue="1">
      <formula>0</formula>
    </cfRule>
  </conditionalFormatting>
  <conditionalFormatting sqref="C39">
    <cfRule type="cellIs" priority="14" dxfId="179" operator="greaterThan" stopIfTrue="1">
      <formula>$C$25*0.25</formula>
    </cfRule>
  </conditionalFormatting>
  <conditionalFormatting sqref="D39">
    <cfRule type="cellIs" priority="15" dxfId="179" operator="greaterThan" stopIfTrue="1">
      <formula>$D$25*0.25</formula>
    </cfRule>
  </conditionalFormatting>
  <conditionalFormatting sqref="D44">
    <cfRule type="cellIs" priority="3" dxfId="0" operator="lessThan" stopIfTrue="1">
      <formula>0</formula>
    </cfRule>
  </conditionalFormatting>
  <conditionalFormatting sqref="D43">
    <cfRule type="cellIs" priority="25" dxfId="5" operator="greaterThan" stopIfTrue="1">
      <formula>$D$45</formula>
    </cfRule>
  </conditionalFormatting>
  <conditionalFormatting sqref="C43">
    <cfRule type="cellIs" priority="33" dxfId="5" operator="greaterThan" stopIfTrue="1">
      <formula>$C$45</formula>
    </cfRule>
  </conditionalFormatting>
  <conditionalFormatting sqref="D57">
    <cfRule type="expression" priority="47" dxfId="121" stopIfTrue="1">
      <formula>$C$57=0</formula>
    </cfRule>
  </conditionalFormatting>
  <conditionalFormatting sqref="E39">
    <cfRule type="cellIs" priority="1" dxfId="0" operator="greaterThan" stopIfTrue="1">
      <formula>(E50+$E$25)*0.25</formula>
    </cfRule>
  </conditionalFormatting>
  <conditionalFormatting sqref="E22">
    <cfRule type="cellIs" priority="90" dxfId="179" operator="greaterThan" stopIfTrue="1">
      <formula>$E$24*0.1+$E$50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90" sqref="L90"/>
    </sheetView>
  </sheetViews>
  <sheetFormatPr defaultColWidth="8.796875" defaultRowHeight="15.75"/>
  <cols>
    <col min="1" max="1" width="2.3984375" style="108" customWidth="1"/>
    <col min="2" max="2" width="31" style="108" customWidth="1"/>
    <col min="3" max="4" width="15.69921875" style="108" customWidth="1"/>
    <col min="5" max="5" width="13.69921875" style="108" customWidth="1"/>
    <col min="6" max="6" width="8.796875" style="108" customWidth="1"/>
    <col min="7" max="7" width="9.19921875" style="108" customWidth="1"/>
    <col min="8" max="8" width="8.796875" style="108" customWidth="1"/>
    <col min="9" max="9" width="4.5" style="108" customWidth="1"/>
    <col min="10" max="10" width="9" style="108" customWidth="1"/>
    <col min="11" max="16384" width="8.796875" style="108" customWidth="1"/>
  </cols>
  <sheetData>
    <row r="1" spans="2:5" ht="15.75">
      <c r="B1" s="74">
        <f>inputPrYr!D3</f>
        <v>0</v>
      </c>
      <c r="C1" s="25" t="s">
        <v>142</v>
      </c>
      <c r="D1" s="17"/>
      <c r="E1" s="90">
        <f>inputPrYr!D7</f>
        <v>0</v>
      </c>
    </row>
    <row r="2" spans="2:5" ht="15.75">
      <c r="B2" s="81" t="s">
        <v>178</v>
      </c>
      <c r="C2" s="17"/>
      <c r="D2" s="17"/>
      <c r="E2" s="198"/>
    </row>
    <row r="3" spans="2:5" ht="15.75">
      <c r="B3" s="17"/>
      <c r="C3" s="23"/>
      <c r="D3" s="23"/>
      <c r="E3" s="17"/>
    </row>
    <row r="4" spans="2:5" ht="15.75">
      <c r="B4" s="25" t="s">
        <v>117</v>
      </c>
      <c r="C4" s="353" t="s">
        <v>118</v>
      </c>
      <c r="D4" s="354" t="s">
        <v>119</v>
      </c>
      <c r="E4" s="27" t="s">
        <v>120</v>
      </c>
    </row>
    <row r="5" spans="2:5" ht="15.75">
      <c r="B5" s="428" t="str">
        <f>inputPrYr!B28</f>
        <v>Special Road</v>
      </c>
      <c r="C5" s="170" t="str">
        <f>gen!C5</f>
        <v>Actual for -2</v>
      </c>
      <c r="D5" s="170" t="str">
        <f>gen!D5</f>
        <v>Estimate for -1</v>
      </c>
      <c r="E5" s="32" t="str">
        <f>gen!E5</f>
        <v>Year for 0</v>
      </c>
    </row>
    <row r="6" spans="2:5" ht="15.75">
      <c r="B6" s="33" t="s">
        <v>215</v>
      </c>
      <c r="C6" s="171"/>
      <c r="D6" s="351">
        <f>C35</f>
        <v>0</v>
      </c>
      <c r="E6" s="125">
        <f>D35</f>
        <v>0</v>
      </c>
    </row>
    <row r="7" spans="2:5" ht="15.75">
      <c r="B7" s="33" t="s">
        <v>217</v>
      </c>
      <c r="C7" s="351"/>
      <c r="D7" s="351"/>
      <c r="E7" s="174"/>
    </row>
    <row r="8" spans="2:5" ht="15.75">
      <c r="B8" s="33" t="s">
        <v>123</v>
      </c>
      <c r="C8" s="171"/>
      <c r="D8" s="351">
        <f>IF(inputPrYr!H23&gt;0,inputPrYr!G28,inputPrYr!E28)</f>
        <v>0</v>
      </c>
      <c r="E8" s="174" t="s">
        <v>106</v>
      </c>
    </row>
    <row r="9" spans="2:5" ht="15.75">
      <c r="B9" s="33" t="s">
        <v>124</v>
      </c>
      <c r="C9" s="171"/>
      <c r="D9" s="171"/>
      <c r="E9" s="145"/>
    </row>
    <row r="10" spans="2:5" ht="15.75">
      <c r="B10" s="33" t="s">
        <v>125</v>
      </c>
      <c r="C10" s="171"/>
      <c r="D10" s="171"/>
      <c r="E10" s="125">
        <f>mvalloc!D15</f>
        <v>0</v>
      </c>
    </row>
    <row r="11" spans="2:5" ht="15.75">
      <c r="B11" s="33" t="s">
        <v>126</v>
      </c>
      <c r="C11" s="171"/>
      <c r="D11" s="171"/>
      <c r="E11" s="125">
        <f>mvalloc!E15</f>
        <v>0</v>
      </c>
    </row>
    <row r="12" spans="2:5" ht="15.75">
      <c r="B12" s="41" t="s">
        <v>175</v>
      </c>
      <c r="C12" s="171"/>
      <c r="D12" s="171"/>
      <c r="E12" s="125">
        <f>mvalloc!F15</f>
        <v>0</v>
      </c>
    </row>
    <row r="13" spans="2:5" ht="15.75">
      <c r="B13" s="753" t="s">
        <v>818</v>
      </c>
      <c r="C13" s="171"/>
      <c r="D13" s="171"/>
      <c r="E13" s="125">
        <f>mvalloc!G15</f>
        <v>0</v>
      </c>
    </row>
    <row r="14" spans="2:5" ht="15.75">
      <c r="B14" s="753" t="s">
        <v>819</v>
      </c>
      <c r="C14" s="171"/>
      <c r="D14" s="171"/>
      <c r="E14" s="125">
        <f>mvalloc!H15</f>
        <v>0</v>
      </c>
    </row>
    <row r="15" spans="2:11" ht="15.75">
      <c r="B15" s="177"/>
      <c r="C15" s="171"/>
      <c r="D15" s="171"/>
      <c r="E15" s="145"/>
      <c r="G15" s="922" t="str">
        <f>CONCATENATE("Desired Carryover Into ",E1+1,"")</f>
        <v>Desired Carryover Into 1</v>
      </c>
      <c r="H15" s="923"/>
      <c r="I15" s="923"/>
      <c r="J15" s="924"/>
      <c r="K15" s="500"/>
    </row>
    <row r="16" spans="2:11" ht="15.75">
      <c r="B16" s="177"/>
      <c r="C16" s="171"/>
      <c r="D16" s="171"/>
      <c r="E16" s="145"/>
      <c r="G16" s="532"/>
      <c r="H16" s="533"/>
      <c r="I16" s="534"/>
      <c r="J16" s="535"/>
      <c r="K16" s="500"/>
    </row>
    <row r="17" spans="2:11" ht="15.75">
      <c r="B17" s="177"/>
      <c r="C17" s="171"/>
      <c r="D17" s="171"/>
      <c r="E17" s="145"/>
      <c r="G17" s="536" t="s">
        <v>642</v>
      </c>
      <c r="H17" s="534"/>
      <c r="I17" s="534"/>
      <c r="J17" s="537">
        <v>0</v>
      </c>
      <c r="K17" s="500"/>
    </row>
    <row r="18" spans="2:11" ht="15.75">
      <c r="B18" s="177" t="s">
        <v>129</v>
      </c>
      <c r="C18" s="171"/>
      <c r="D18" s="171"/>
      <c r="E18" s="145"/>
      <c r="G18" s="532" t="s">
        <v>643</v>
      </c>
      <c r="H18" s="533"/>
      <c r="I18" s="533"/>
      <c r="J18" s="538">
        <f>IF(J17=0,"",ROUND((J17+E41-G30)/inputOth!E8*1000,3)-G35)</f>
      </c>
      <c r="K18" s="500"/>
    </row>
    <row r="19" spans="2:11" ht="15.75">
      <c r="B19" s="41" t="s">
        <v>47</v>
      </c>
      <c r="C19" s="171"/>
      <c r="D19" s="171"/>
      <c r="E19" s="185">
        <f>nhood!E10*-1</f>
        <v>0</v>
      </c>
      <c r="G19" s="539" t="str">
        <f>CONCATENATE("",E1," Tot Exp/Non-Appr Must Be:")</f>
        <v>0 Tot Exp/Non-Appr Must Be:</v>
      </c>
      <c r="H19" s="540"/>
      <c r="I19" s="541"/>
      <c r="J19" s="542">
        <f>IF(J17&gt;0,IF(E38&lt;E23,IF(J17=G30,E38,((J17-G30)*(1-D40))+E23),E38+(J17-G30)),0)</f>
        <v>0</v>
      </c>
      <c r="K19" s="500"/>
    </row>
    <row r="20" spans="2:11" ht="15.75">
      <c r="B20" s="178" t="s">
        <v>45</v>
      </c>
      <c r="C20" s="171"/>
      <c r="D20" s="171"/>
      <c r="E20" s="145"/>
      <c r="G20" s="543" t="s">
        <v>658</v>
      </c>
      <c r="H20" s="544"/>
      <c r="I20" s="544"/>
      <c r="J20" s="545">
        <f>IF(J17&gt;0,J19-E38,0)</f>
        <v>0</v>
      </c>
      <c r="K20" s="500"/>
    </row>
    <row r="21" spans="2:11" ht="15.75">
      <c r="B21" s="178" t="s">
        <v>46</v>
      </c>
      <c r="C21" s="350">
        <f>IF(C22*0.1&lt;C20,"Exceed 10% Rule","")</f>
      </c>
      <c r="D21" s="350">
        <f>IF(D22*0.1&lt;D20,"Exceed 10% Rule","")</f>
      </c>
      <c r="E21" s="341">
        <f>IF((E41+E22)*0.1&lt;E20,"Exceed 10% Rule","")</f>
      </c>
      <c r="G21" s="500"/>
      <c r="H21" s="500"/>
      <c r="I21" s="500"/>
      <c r="J21" s="500"/>
      <c r="K21" s="500"/>
    </row>
    <row r="22" spans="2:11" ht="15.75">
      <c r="B22" s="180" t="s">
        <v>130</v>
      </c>
      <c r="C22" s="352">
        <f>SUM(C8:C20)</f>
        <v>0</v>
      </c>
      <c r="D22" s="352">
        <f>SUM(D8:D20)</f>
        <v>0</v>
      </c>
      <c r="E22" s="182">
        <f>SUM(E8:E20)</f>
        <v>0</v>
      </c>
      <c r="G22" s="922" t="str">
        <f>CONCATENATE("Projected Carryover Into ",E1+1,"")</f>
        <v>Projected Carryover Into 1</v>
      </c>
      <c r="H22" s="925"/>
      <c r="I22" s="925"/>
      <c r="J22" s="926"/>
      <c r="K22" s="500"/>
    </row>
    <row r="23" spans="2:11" ht="15.75">
      <c r="B23" s="59" t="s">
        <v>131</v>
      </c>
      <c r="C23" s="352">
        <f>C22+C6</f>
        <v>0</v>
      </c>
      <c r="D23" s="352">
        <f>D22+D6</f>
        <v>0</v>
      </c>
      <c r="E23" s="182">
        <f>E22+E6</f>
        <v>0</v>
      </c>
      <c r="G23" s="532"/>
      <c r="H23" s="534"/>
      <c r="I23" s="534"/>
      <c r="J23" s="547"/>
      <c r="K23" s="500"/>
    </row>
    <row r="24" spans="2:11" ht="15.75">
      <c r="B24" s="33" t="s">
        <v>132</v>
      </c>
      <c r="C24" s="351"/>
      <c r="D24" s="351"/>
      <c r="E24" s="125"/>
      <c r="G24" s="550">
        <f>D35</f>
        <v>0</v>
      </c>
      <c r="H24" s="551" t="str">
        <f>CONCATENATE("",E1-1," Ending Cash Balance (est.)")</f>
        <v>-1 Ending Cash Balance (est.)</v>
      </c>
      <c r="I24" s="552"/>
      <c r="J24" s="547"/>
      <c r="K24" s="500"/>
    </row>
    <row r="25" spans="2:11" ht="15.75">
      <c r="B25" s="177"/>
      <c r="C25" s="171"/>
      <c r="D25" s="171"/>
      <c r="E25" s="145"/>
      <c r="G25" s="550">
        <f>E22</f>
        <v>0</v>
      </c>
      <c r="H25" s="534" t="str">
        <f>CONCATENATE("",E1," Non-AV Receipts (est.)")</f>
        <v>0 Non-AV Receipts (est.)</v>
      </c>
      <c r="I25" s="552"/>
      <c r="J25" s="547"/>
      <c r="K25" s="500"/>
    </row>
    <row r="26" spans="2:11" ht="15.75">
      <c r="B26" s="177"/>
      <c r="C26" s="171"/>
      <c r="D26" s="171"/>
      <c r="E26" s="145"/>
      <c r="G26" s="557">
        <f>IF(E40&gt;0,E39,E41)</f>
        <v>0</v>
      </c>
      <c r="H26" s="534" t="str">
        <f>CONCATENATE("",E1," Ad Valorem Tax (est.)")</f>
        <v>0 Ad Valorem Tax (est.)</v>
      </c>
      <c r="I26" s="534"/>
      <c r="J26" s="547"/>
      <c r="K26" s="558">
        <f>IF(G26=E41,"","Note: Does not include Delinquent Taxes")</f>
      </c>
    </row>
    <row r="27" spans="2:11" ht="15.75">
      <c r="B27" s="177"/>
      <c r="C27" s="171"/>
      <c r="D27" s="171"/>
      <c r="E27" s="145"/>
      <c r="G27" s="550">
        <f>SUM(G24:G26)</f>
        <v>0</v>
      </c>
      <c r="H27" s="534" t="str">
        <f>CONCATENATE("Total ",E1," Resources Available")</f>
        <v>Total 0 Resources Available</v>
      </c>
      <c r="I27" s="552"/>
      <c r="J27" s="547"/>
      <c r="K27" s="500"/>
    </row>
    <row r="28" spans="2:11" ht="15.75">
      <c r="B28" s="177"/>
      <c r="C28" s="171"/>
      <c r="D28" s="171"/>
      <c r="E28" s="145"/>
      <c r="G28" s="561"/>
      <c r="H28" s="534"/>
      <c r="I28" s="534"/>
      <c r="J28" s="547"/>
      <c r="K28" s="500"/>
    </row>
    <row r="29" spans="2:11" ht="15.75">
      <c r="B29" s="177"/>
      <c r="C29" s="171"/>
      <c r="D29" s="171"/>
      <c r="E29" s="145"/>
      <c r="G29" s="557">
        <f>C34*0.05+C34</f>
        <v>0</v>
      </c>
      <c r="H29" s="534" t="str">
        <f>CONCATENATE("Less ",E1-2," Expenditures + 5%")</f>
        <v>Less -2 Expenditures + 5%</v>
      </c>
      <c r="I29" s="534"/>
      <c r="J29" s="547"/>
      <c r="K29" s="500"/>
    </row>
    <row r="30" spans="2:11" ht="15.75">
      <c r="B30" s="177"/>
      <c r="C30" s="171"/>
      <c r="D30" s="171"/>
      <c r="E30" s="145"/>
      <c r="G30" s="565">
        <f>G27-G29</f>
        <v>0</v>
      </c>
      <c r="H30" s="566" t="str">
        <f>CONCATENATE("Projected ",E1+1," carryover (est.)")</f>
        <v>Projected 1 carryover (est.)</v>
      </c>
      <c r="I30" s="567"/>
      <c r="J30" s="568"/>
      <c r="K30" s="500"/>
    </row>
    <row r="31" spans="2:11" ht="15.75">
      <c r="B31" s="41" t="str">
        <f>CONCATENATE("Cash Forward (",E1," column)")</f>
        <v>Cash Forward (0 column)</v>
      </c>
      <c r="C31" s="171"/>
      <c r="D31" s="171"/>
      <c r="E31" s="145"/>
      <c r="G31" s="500"/>
      <c r="H31" s="500"/>
      <c r="I31" s="500"/>
      <c r="J31" s="500"/>
      <c r="K31" s="500"/>
    </row>
    <row r="32" spans="2:11" ht="15.75">
      <c r="B32" s="41" t="s">
        <v>45</v>
      </c>
      <c r="C32" s="171"/>
      <c r="D32" s="171"/>
      <c r="E32" s="145"/>
      <c r="G32" s="927" t="s">
        <v>659</v>
      </c>
      <c r="H32" s="928"/>
      <c r="I32" s="928"/>
      <c r="J32" s="929"/>
      <c r="K32" s="500"/>
    </row>
    <row r="33" spans="2:11" ht="15.75">
      <c r="B33" s="41" t="s">
        <v>637</v>
      </c>
      <c r="C33" s="350">
        <f>IF(C34*0.1&lt;C32,"Exceed 10% Rule","")</f>
      </c>
      <c r="D33" s="350">
        <f>IF(D34*0.1&lt;D32,"Exceed 10% Rule","")</f>
      </c>
      <c r="E33" s="341">
        <f>IF(E34*0.1&lt;E32,"Exceed 10% Rule","")</f>
      </c>
      <c r="G33" s="572"/>
      <c r="H33" s="551"/>
      <c r="I33" s="573"/>
      <c r="J33" s="574"/>
      <c r="K33" s="500"/>
    </row>
    <row r="34" spans="2:11" ht="15.75">
      <c r="B34" s="59" t="s">
        <v>133</v>
      </c>
      <c r="C34" s="352">
        <f>SUM(C25:C32)</f>
        <v>0</v>
      </c>
      <c r="D34" s="352">
        <f>SUM(D25:D32)</f>
        <v>0</v>
      </c>
      <c r="E34" s="182">
        <f>SUM(E25:E32)</f>
        <v>0</v>
      </c>
      <c r="G34" s="575" t="str">
        <f>summ!I31</f>
        <v> </v>
      </c>
      <c r="H34" s="551" t="str">
        <f>CONCATENATE("",E1," Fund Mill Rate")</f>
        <v>0 Fund Mill Rate</v>
      </c>
      <c r="I34" s="573"/>
      <c r="J34" s="574"/>
      <c r="K34" s="500"/>
    </row>
    <row r="35" spans="2:11" ht="15.75">
      <c r="B35" s="33" t="s">
        <v>216</v>
      </c>
      <c r="C35" s="356">
        <f>C23-C34</f>
        <v>0</v>
      </c>
      <c r="D35" s="356">
        <f>D23-D34</f>
        <v>0</v>
      </c>
      <c r="E35" s="174" t="s">
        <v>106</v>
      </c>
      <c r="G35" s="576" t="str">
        <f>summ!F31</f>
        <v>  </v>
      </c>
      <c r="H35" s="551" t="str">
        <f>CONCATENATE("",E1-1," Fund Mill Rate")</f>
        <v>-1 Fund Mill Rate</v>
      </c>
      <c r="I35" s="573"/>
      <c r="J35" s="574"/>
      <c r="K35" s="500"/>
    </row>
    <row r="36" spans="2:11" ht="15.75">
      <c r="B36" s="73" t="str">
        <f>CONCATENATE("",E1-2,"/",E1-1,"/",E1," Budget Authority Amount:")</f>
        <v>-2/-1/0 Budget Authority Amount:</v>
      </c>
      <c r="C36" s="190">
        <f>inputOth!B78</f>
        <v>0</v>
      </c>
      <c r="D36" s="190">
        <f>inputPrYr!D28</f>
        <v>0</v>
      </c>
      <c r="E36" s="125">
        <f>E34</f>
        <v>0</v>
      </c>
      <c r="F36" s="186"/>
      <c r="G36" s="578">
        <f>summ!I45</f>
        <v>0</v>
      </c>
      <c r="H36" s="551" t="str">
        <f>CONCATENATE("Total ",E1," Mill Rate")</f>
        <v>Total 0 Mill Rate</v>
      </c>
      <c r="I36" s="573"/>
      <c r="J36" s="574"/>
      <c r="K36" s="500"/>
    </row>
    <row r="37" spans="2:11" ht="15.75">
      <c r="B37" s="3"/>
      <c r="C37" s="916" t="s">
        <v>638</v>
      </c>
      <c r="D37" s="917"/>
      <c r="E37" s="145"/>
      <c r="F37" s="186">
        <f>IF(E34/0.95-E34&lt;E37,"Exceeds 5%","")</f>
      </c>
      <c r="G37" s="576">
        <f>summ!F45</f>
        <v>0</v>
      </c>
      <c r="H37" s="579" t="str">
        <f>CONCATENATE("Total ",E1-1," Mill Rate")</f>
        <v>Total -1 Mill Rate</v>
      </c>
      <c r="I37" s="580"/>
      <c r="J37" s="581"/>
      <c r="K37" s="500"/>
    </row>
    <row r="38" spans="2:11" ht="15.75">
      <c r="B38" s="357" t="str">
        <f>CONCATENATE(C93,"     ",D93)</f>
        <v>     </v>
      </c>
      <c r="C38" s="918" t="s">
        <v>639</v>
      </c>
      <c r="D38" s="919"/>
      <c r="E38" s="185">
        <f>E34+E37</f>
        <v>0</v>
      </c>
      <c r="G38" s="500"/>
      <c r="H38" s="500"/>
      <c r="I38" s="500"/>
      <c r="J38" s="500"/>
      <c r="K38" s="500"/>
    </row>
    <row r="39" spans="2:11" ht="15.75">
      <c r="B39" s="357" t="str">
        <f>CONCATENATE(C94,"     ",D94)</f>
        <v>     </v>
      </c>
      <c r="C39" s="343"/>
      <c r="D39" s="91" t="s">
        <v>135</v>
      </c>
      <c r="E39" s="185">
        <f>IF(E38-E23&gt;0,E38-E23,0)</f>
        <v>0</v>
      </c>
      <c r="G39" s="806" t="s">
        <v>839</v>
      </c>
      <c r="H39" s="781"/>
      <c r="I39" s="782"/>
      <c r="J39" s="783" t="str">
        <f>cert!F46</f>
        <v>No</v>
      </c>
      <c r="K39" s="500"/>
    </row>
    <row r="40" spans="2:11" ht="15.75">
      <c r="B40" s="91"/>
      <c r="C40" s="433" t="s">
        <v>640</v>
      </c>
      <c r="D40" s="622">
        <f>inputOth!$E$67</f>
        <v>0</v>
      </c>
      <c r="E40" s="125">
        <f>ROUND(IF(D40&gt;0,(E39*D40),0),0)</f>
        <v>0</v>
      </c>
      <c r="G40" s="804" t="str">
        <f>CONCATENATE("Computed ",E1," tax levy limit amount")</f>
        <v>Computed 0 tax levy limit amount</v>
      </c>
      <c r="H40" s="803"/>
      <c r="I40" s="803"/>
      <c r="J40" s="802">
        <f>computationTown!J41</f>
        <v>0</v>
      </c>
      <c r="K40" s="500"/>
    </row>
    <row r="41" spans="2:11" ht="15.75">
      <c r="B41" s="17"/>
      <c r="C41" s="920" t="str">
        <f>CONCATENATE("Amount of  ",$E$1-1," Ad Valorem Tax")</f>
        <v>Amount of  -1 Ad Valorem Tax</v>
      </c>
      <c r="D41" s="921"/>
      <c r="E41" s="185">
        <f>E39+E40</f>
        <v>0</v>
      </c>
      <c r="G41" s="801" t="str">
        <f>CONCATENATE("Total ",E1," tax levy amount")</f>
        <v>Total 0 tax levy amount</v>
      </c>
      <c r="H41" s="800"/>
      <c r="I41" s="800"/>
      <c r="J41" s="799">
        <f>summ!H45</f>
        <v>0</v>
      </c>
      <c r="K41" s="500"/>
    </row>
    <row r="42" spans="2:11" ht="15.75">
      <c r="B42" s="17"/>
      <c r="C42" s="487"/>
      <c r="D42" s="17"/>
      <c r="E42" s="17"/>
      <c r="G42" s="500"/>
      <c r="H42" s="500"/>
      <c r="I42" s="500"/>
      <c r="J42" s="500"/>
      <c r="K42" s="500"/>
    </row>
    <row r="43" spans="2:11" ht="15.75">
      <c r="B43" s="17"/>
      <c r="C43" s="487"/>
      <c r="D43" s="17"/>
      <c r="E43" s="17"/>
      <c r="G43" s="500"/>
      <c r="H43" s="500"/>
      <c r="I43" s="500"/>
      <c r="J43" s="500"/>
      <c r="K43" s="500"/>
    </row>
    <row r="44" spans="2:11" ht="15.75">
      <c r="B44" s="25" t="s">
        <v>117</v>
      </c>
      <c r="C44" s="23"/>
      <c r="D44" s="23"/>
      <c r="E44" s="23"/>
      <c r="G44" s="500"/>
      <c r="H44" s="500"/>
      <c r="I44" s="500"/>
      <c r="J44" s="500"/>
      <c r="K44" s="500"/>
    </row>
    <row r="45" spans="2:11" ht="15.75">
      <c r="B45" s="17"/>
      <c r="C45" s="353" t="s">
        <v>118</v>
      </c>
      <c r="D45" s="354" t="s">
        <v>119</v>
      </c>
      <c r="E45" s="27" t="s">
        <v>120</v>
      </c>
      <c r="G45" s="500"/>
      <c r="H45" s="500"/>
      <c r="I45" s="500"/>
      <c r="J45" s="500"/>
      <c r="K45" s="500"/>
    </row>
    <row r="46" spans="2:11" ht="15.75">
      <c r="B46" s="428" t="str">
        <f>inputPrYr!B29</f>
        <v>Noxious Weed</v>
      </c>
      <c r="C46" s="170" t="str">
        <f>C5</f>
        <v>Actual for -2</v>
      </c>
      <c r="D46" s="170" t="str">
        <f>D5</f>
        <v>Estimate for -1</v>
      </c>
      <c r="E46" s="32" t="str">
        <f>E5</f>
        <v>Year for 0</v>
      </c>
      <c r="G46" s="500"/>
      <c r="H46" s="500"/>
      <c r="I46" s="500"/>
      <c r="J46" s="500"/>
      <c r="K46" s="500"/>
    </row>
    <row r="47" spans="2:11" ht="15.75">
      <c r="B47" s="33" t="s">
        <v>215</v>
      </c>
      <c r="C47" s="171"/>
      <c r="D47" s="351">
        <f>C76</f>
        <v>0</v>
      </c>
      <c r="E47" s="125">
        <f>D76</f>
        <v>0</v>
      </c>
      <c r="G47" s="500"/>
      <c r="H47" s="500"/>
      <c r="I47" s="500"/>
      <c r="J47" s="500"/>
      <c r="K47" s="500"/>
    </row>
    <row r="48" spans="2:11" ht="15.75">
      <c r="B48" s="33" t="s">
        <v>217</v>
      </c>
      <c r="C48" s="351"/>
      <c r="D48" s="351"/>
      <c r="E48" s="174"/>
      <c r="G48" s="500"/>
      <c r="H48" s="500"/>
      <c r="I48" s="500"/>
      <c r="J48" s="500"/>
      <c r="K48" s="500"/>
    </row>
    <row r="49" spans="2:11" ht="15.75">
      <c r="B49" s="33" t="s">
        <v>123</v>
      </c>
      <c r="C49" s="171"/>
      <c r="D49" s="351">
        <f>IF(inputPrYr!H23&gt;0,inputPrYr!G29,inputPrYr!E29)</f>
        <v>0</v>
      </c>
      <c r="E49" s="174" t="s">
        <v>106</v>
      </c>
      <c r="G49" s="500"/>
      <c r="H49" s="500"/>
      <c r="I49" s="500"/>
      <c r="J49" s="500"/>
      <c r="K49" s="500"/>
    </row>
    <row r="50" spans="2:11" ht="15.75">
      <c r="B50" s="33" t="s">
        <v>124</v>
      </c>
      <c r="C50" s="171"/>
      <c r="D50" s="171"/>
      <c r="E50" s="145"/>
      <c r="G50" s="500"/>
      <c r="H50" s="500"/>
      <c r="I50" s="500"/>
      <c r="J50" s="500"/>
      <c r="K50" s="500"/>
    </row>
    <row r="51" spans="2:11" ht="15.75">
      <c r="B51" s="33" t="s">
        <v>125</v>
      </c>
      <c r="C51" s="171"/>
      <c r="D51" s="171"/>
      <c r="E51" s="125">
        <f>mvalloc!D16</f>
        <v>0</v>
      </c>
      <c r="G51" s="500"/>
      <c r="H51" s="500"/>
      <c r="I51" s="500"/>
      <c r="J51" s="500"/>
      <c r="K51" s="500"/>
    </row>
    <row r="52" spans="2:11" ht="15.75">
      <c r="B52" s="33" t="s">
        <v>126</v>
      </c>
      <c r="C52" s="171"/>
      <c r="D52" s="171"/>
      <c r="E52" s="125">
        <f>mvalloc!E16</f>
        <v>0</v>
      </c>
      <c r="G52" s="500"/>
      <c r="H52" s="500"/>
      <c r="I52" s="500"/>
      <c r="J52" s="500"/>
      <c r="K52" s="500"/>
    </row>
    <row r="53" spans="2:11" ht="15.75">
      <c r="B53" s="33" t="s">
        <v>205</v>
      </c>
      <c r="C53" s="171"/>
      <c r="D53" s="171"/>
      <c r="E53" s="125">
        <f>mvalloc!F16</f>
        <v>0</v>
      </c>
      <c r="G53" s="500"/>
      <c r="H53" s="500"/>
      <c r="I53" s="500"/>
      <c r="J53" s="500"/>
      <c r="K53" s="500"/>
    </row>
    <row r="54" spans="2:11" ht="15.75">
      <c r="B54" s="753" t="s">
        <v>818</v>
      </c>
      <c r="C54" s="171"/>
      <c r="D54" s="171"/>
      <c r="E54" s="125">
        <f>mvalloc!G16</f>
        <v>0</v>
      </c>
      <c r="G54" s="500"/>
      <c r="H54" s="500"/>
      <c r="I54" s="500"/>
      <c r="J54" s="500"/>
      <c r="K54" s="500"/>
    </row>
    <row r="55" spans="2:11" ht="15.75">
      <c r="B55" s="753" t="s">
        <v>819</v>
      </c>
      <c r="C55" s="171"/>
      <c r="D55" s="171"/>
      <c r="E55" s="125">
        <f>mvalloc!H16</f>
        <v>0</v>
      </c>
      <c r="G55" s="500"/>
      <c r="H55" s="500"/>
      <c r="I55" s="500"/>
      <c r="J55" s="500"/>
      <c r="K55" s="500"/>
    </row>
    <row r="56" spans="2:11" ht="15.75">
      <c r="B56" s="176"/>
      <c r="C56" s="171"/>
      <c r="D56" s="171"/>
      <c r="E56" s="145"/>
      <c r="G56" s="922" t="str">
        <f>CONCATENATE("Desired Carryover Into ",E1+1,"")</f>
        <v>Desired Carryover Into 1</v>
      </c>
      <c r="H56" s="923"/>
      <c r="I56" s="923"/>
      <c r="J56" s="924"/>
      <c r="K56" s="500"/>
    </row>
    <row r="57" spans="2:11" ht="15.75">
      <c r="B57" s="176"/>
      <c r="C57" s="171"/>
      <c r="D57" s="171"/>
      <c r="E57" s="145"/>
      <c r="G57" s="532"/>
      <c r="H57" s="533"/>
      <c r="I57" s="534"/>
      <c r="J57" s="535"/>
      <c r="K57" s="500"/>
    </row>
    <row r="58" spans="2:11" ht="15.75">
      <c r="B58" s="177"/>
      <c r="C58" s="171"/>
      <c r="D58" s="171"/>
      <c r="E58" s="145"/>
      <c r="G58" s="536" t="s">
        <v>642</v>
      </c>
      <c r="H58" s="534"/>
      <c r="I58" s="534"/>
      <c r="J58" s="537">
        <v>0</v>
      </c>
      <c r="K58" s="500"/>
    </row>
    <row r="59" spans="2:11" ht="15.75">
      <c r="B59" s="177" t="s">
        <v>129</v>
      </c>
      <c r="C59" s="171"/>
      <c r="D59" s="171"/>
      <c r="E59" s="145"/>
      <c r="G59" s="532" t="s">
        <v>643</v>
      </c>
      <c r="H59" s="533"/>
      <c r="I59" s="533"/>
      <c r="J59" s="538">
        <f>IF(J58=0,"",ROUND((J58+E82-G71)/inputOth!E8*1000,3)-G76)</f>
      </c>
      <c r="K59" s="500"/>
    </row>
    <row r="60" spans="2:11" ht="15.75">
      <c r="B60" s="41" t="s">
        <v>47</v>
      </c>
      <c r="C60" s="171"/>
      <c r="D60" s="171"/>
      <c r="E60" s="185">
        <f>nhood!E11*-1</f>
        <v>0</v>
      </c>
      <c r="G60" s="539" t="str">
        <f>CONCATENATE("",E1," Tot Exp/Non-Appr Must Be:")</f>
        <v>0 Tot Exp/Non-Appr Must Be:</v>
      </c>
      <c r="H60" s="540"/>
      <c r="I60" s="541"/>
      <c r="J60" s="542">
        <f>IF(J58&gt;0,IF(E79&lt;E64,IF(J58=G71,E79,((J58-G71)*(1-D81))+E64),E79+(J58-G71)),0)</f>
        <v>0</v>
      </c>
      <c r="K60" s="500"/>
    </row>
    <row r="61" spans="2:11" ht="15.75">
      <c r="B61" s="178" t="s">
        <v>45</v>
      </c>
      <c r="C61" s="171"/>
      <c r="D61" s="171"/>
      <c r="E61" s="145"/>
      <c r="G61" s="543" t="s">
        <v>658</v>
      </c>
      <c r="H61" s="544"/>
      <c r="I61" s="544"/>
      <c r="J61" s="545">
        <f>IF(J58&gt;0,J60-E79,0)</f>
        <v>0</v>
      </c>
      <c r="K61" s="500"/>
    </row>
    <row r="62" spans="2:11" ht="15.75">
      <c r="B62" s="178" t="s">
        <v>46</v>
      </c>
      <c r="C62" s="350">
        <f>IF(C63*0.1&lt;C61,"Exceed 10% Rule","")</f>
      </c>
      <c r="D62" s="350">
        <f>IF(D63*0.1&lt;D61,"Exceed 10% Rule","")</f>
      </c>
      <c r="E62" s="341">
        <f>IF((E82+E63)*0.1&lt;E61,"Exceed 10% Rule","")</f>
      </c>
      <c r="G62" s="500"/>
      <c r="H62" s="500"/>
      <c r="I62" s="500"/>
      <c r="J62" s="500"/>
      <c r="K62" s="500"/>
    </row>
    <row r="63" spans="2:11" ht="15.75">
      <c r="B63" s="180" t="s">
        <v>130</v>
      </c>
      <c r="C63" s="352">
        <f>SUM(C49:C61)</f>
        <v>0</v>
      </c>
      <c r="D63" s="352">
        <f>SUM(D49:D61)</f>
        <v>0</v>
      </c>
      <c r="E63" s="182">
        <f>SUM(E49:E61)</f>
        <v>0</v>
      </c>
      <c r="G63" s="922" t="str">
        <f>CONCATENATE("Projected Carryover Into ",E1+1,"")</f>
        <v>Projected Carryover Into 1</v>
      </c>
      <c r="H63" s="949"/>
      <c r="I63" s="949"/>
      <c r="J63" s="926"/>
      <c r="K63" s="500"/>
    </row>
    <row r="64" spans="2:11" ht="15.75">
      <c r="B64" s="59" t="s">
        <v>131</v>
      </c>
      <c r="C64" s="352">
        <f>C63+C47</f>
        <v>0</v>
      </c>
      <c r="D64" s="352">
        <f>D63+D47</f>
        <v>0</v>
      </c>
      <c r="E64" s="182">
        <f>E63+E47</f>
        <v>0</v>
      </c>
      <c r="G64" s="584"/>
      <c r="H64" s="533"/>
      <c r="I64" s="533"/>
      <c r="J64" s="585"/>
      <c r="K64" s="500"/>
    </row>
    <row r="65" spans="2:11" ht="15.75">
      <c r="B65" s="33" t="s">
        <v>132</v>
      </c>
      <c r="C65" s="351"/>
      <c r="D65" s="351"/>
      <c r="E65" s="125"/>
      <c r="G65" s="550">
        <f>D76</f>
        <v>0</v>
      </c>
      <c r="H65" s="551" t="str">
        <f>CONCATENATE("",E1-1," Ending Cash Balance (est.)")</f>
        <v>-1 Ending Cash Balance (est.)</v>
      </c>
      <c r="I65" s="552"/>
      <c r="J65" s="585"/>
      <c r="K65" s="500"/>
    </row>
    <row r="66" spans="2:11" ht="15.75">
      <c r="B66" s="177"/>
      <c r="C66" s="171"/>
      <c r="D66" s="171"/>
      <c r="E66" s="145"/>
      <c r="G66" s="550">
        <f>E63</f>
        <v>0</v>
      </c>
      <c r="H66" s="534" t="str">
        <f>CONCATENATE("",E1," Non-AV Receipts (est.)")</f>
        <v>0 Non-AV Receipts (est.)</v>
      </c>
      <c r="I66" s="552"/>
      <c r="J66" s="585"/>
      <c r="K66" s="500"/>
    </row>
    <row r="67" spans="2:11" ht="15.75">
      <c r="B67" s="177"/>
      <c r="C67" s="171"/>
      <c r="D67" s="171"/>
      <c r="E67" s="145"/>
      <c r="G67" s="557">
        <f>IF(E81&gt;0,E80,E82)</f>
        <v>0</v>
      </c>
      <c r="H67" s="534" t="str">
        <f>CONCATENATE("",E1," Ad Valorem Tax (est.)")</f>
        <v>0 Ad Valorem Tax (est.)</v>
      </c>
      <c r="I67" s="534"/>
      <c r="J67" s="585"/>
      <c r="K67" s="558">
        <f>IF(G67=E82,"","Note: Does not include Delinquent Taxes")</f>
      </c>
    </row>
    <row r="68" spans="2:11" ht="15.75">
      <c r="B68" s="177"/>
      <c r="C68" s="171"/>
      <c r="D68" s="171"/>
      <c r="E68" s="145"/>
      <c r="G68" s="587">
        <f>SUM(G65:G67)</f>
        <v>0</v>
      </c>
      <c r="H68" s="534" t="str">
        <f>CONCATENATE("Total ",E1," Resources Available")</f>
        <v>Total 0 Resources Available</v>
      </c>
      <c r="I68" s="588"/>
      <c r="J68" s="585"/>
      <c r="K68" s="500"/>
    </row>
    <row r="69" spans="2:11" ht="15.75">
      <c r="B69" s="177"/>
      <c r="C69" s="171"/>
      <c r="D69" s="171"/>
      <c r="E69" s="145"/>
      <c r="G69" s="589"/>
      <c r="H69" s="590"/>
      <c r="I69" s="533"/>
      <c r="J69" s="585"/>
      <c r="K69" s="500"/>
    </row>
    <row r="70" spans="2:11" ht="15.75">
      <c r="B70" s="177"/>
      <c r="C70" s="171"/>
      <c r="D70" s="171"/>
      <c r="E70" s="145"/>
      <c r="G70" s="557">
        <f>ROUND(C75*0.05+C75,0)</f>
        <v>0</v>
      </c>
      <c r="H70" s="534" t="str">
        <f>CONCATENATE("Less ",E1-2," Expenditures + 5%")</f>
        <v>Less -2 Expenditures + 5%</v>
      </c>
      <c r="I70" s="588"/>
      <c r="J70" s="585"/>
      <c r="K70" s="500"/>
    </row>
    <row r="71" spans="2:11" ht="15.75">
      <c r="B71" s="177"/>
      <c r="C71" s="171"/>
      <c r="D71" s="171"/>
      <c r="E71" s="145"/>
      <c r="G71" s="565">
        <f>G68-G70</f>
        <v>0</v>
      </c>
      <c r="H71" s="566" t="str">
        <f>CONCATENATE("Projected ",E1+1," carryover (est.)")</f>
        <v>Projected 1 carryover (est.)</v>
      </c>
      <c r="I71" s="591"/>
      <c r="J71" s="592"/>
      <c r="K71" s="500"/>
    </row>
    <row r="72" spans="2:11" ht="15.75">
      <c r="B72" s="41" t="str">
        <f>CONCATENATE("Cash Forward (",E1," column)")</f>
        <v>Cash Forward (0 column)</v>
      </c>
      <c r="C72" s="171"/>
      <c r="D72" s="171"/>
      <c r="E72" s="145"/>
      <c r="G72" s="500"/>
      <c r="H72" s="500"/>
      <c r="I72" s="500"/>
      <c r="J72" s="500"/>
      <c r="K72" s="500"/>
    </row>
    <row r="73" spans="2:11" ht="15.75">
      <c r="B73" s="41" t="s">
        <v>45</v>
      </c>
      <c r="C73" s="171"/>
      <c r="D73" s="171"/>
      <c r="E73" s="145"/>
      <c r="G73" s="927" t="s">
        <v>659</v>
      </c>
      <c r="H73" s="928"/>
      <c r="I73" s="928"/>
      <c r="J73" s="929"/>
      <c r="K73" s="500"/>
    </row>
    <row r="74" spans="2:11" ht="15.75">
      <c r="B74" s="41" t="s">
        <v>637</v>
      </c>
      <c r="C74" s="350">
        <f>IF(C75*0.1&lt;C73,"Exceed 10% Rule","")</f>
      </c>
      <c r="D74" s="350">
        <f>IF(D75*0.1&lt;D73,"Exceed 10% Rule","")</f>
      </c>
      <c r="E74" s="341">
        <f>IF(E75*0.1&lt;E73,"Exceed 10% Rule","")</f>
      </c>
      <c r="G74" s="572"/>
      <c r="H74" s="551"/>
      <c r="I74" s="573"/>
      <c r="J74" s="574"/>
      <c r="K74" s="500"/>
    </row>
    <row r="75" spans="2:11" ht="15.75">
      <c r="B75" s="59" t="s">
        <v>133</v>
      </c>
      <c r="C75" s="352">
        <f>SUM(C66:C73)</f>
        <v>0</v>
      </c>
      <c r="D75" s="352">
        <f>SUM(D66:D73)</f>
        <v>0</v>
      </c>
      <c r="E75" s="182">
        <f>SUM(E66:E73)</f>
        <v>0</v>
      </c>
      <c r="G75" s="575" t="str">
        <f>summ!I32</f>
        <v> </v>
      </c>
      <c r="H75" s="551" t="str">
        <f>CONCATENATE("",E1," Fund Mill Rate")</f>
        <v>0 Fund Mill Rate</v>
      </c>
      <c r="I75" s="573"/>
      <c r="J75" s="574"/>
      <c r="K75" s="500"/>
    </row>
    <row r="76" spans="2:11" ht="15.75">
      <c r="B76" s="33" t="s">
        <v>216</v>
      </c>
      <c r="C76" s="356">
        <f>C64-C75</f>
        <v>0</v>
      </c>
      <c r="D76" s="356">
        <f>D64-D75</f>
        <v>0</v>
      </c>
      <c r="E76" s="174" t="s">
        <v>106</v>
      </c>
      <c r="G76" s="576" t="str">
        <f>summ!F32</f>
        <v>  </v>
      </c>
      <c r="H76" s="551" t="str">
        <f>CONCATENATE("",E1-1," Fund Mill Rate")</f>
        <v>-1 Fund Mill Rate</v>
      </c>
      <c r="I76" s="573"/>
      <c r="J76" s="574"/>
      <c r="K76" s="500"/>
    </row>
    <row r="77" spans="2:11" ht="15.75">
      <c r="B77" s="73" t="str">
        <f>CONCATENATE("",E1-2,"/",E1-1,"/",E1," Budget Authority Amount:")</f>
        <v>-2/-1/0 Budget Authority Amount:</v>
      </c>
      <c r="C77" s="190">
        <f>inputOth!B79</f>
        <v>0</v>
      </c>
      <c r="D77" s="190">
        <f>inputPrYr!D29</f>
        <v>0</v>
      </c>
      <c r="E77" s="125">
        <f>E75</f>
        <v>0</v>
      </c>
      <c r="F77" s="186"/>
      <c r="G77" s="578">
        <f>summ!I45</f>
        <v>0</v>
      </c>
      <c r="H77" s="551" t="str">
        <f>CONCATENATE("Total ",E1," Mill Rate")</f>
        <v>Total 0 Mill Rate</v>
      </c>
      <c r="I77" s="573"/>
      <c r="J77" s="574"/>
      <c r="K77" s="500"/>
    </row>
    <row r="78" spans="2:11" ht="15.75">
      <c r="B78" s="3"/>
      <c r="C78" s="916" t="s">
        <v>638</v>
      </c>
      <c r="D78" s="917"/>
      <c r="E78" s="145"/>
      <c r="F78" s="186">
        <f>IF(E75/0.95-E75&lt;E78,"Exceeds 5%","")</f>
      </c>
      <c r="G78" s="576">
        <f>summ!F45</f>
        <v>0</v>
      </c>
      <c r="H78" s="579" t="str">
        <f>CONCATENATE("Total ",E1-1," Mill Rate")</f>
        <v>Total -1 Mill Rate</v>
      </c>
      <c r="I78" s="580"/>
      <c r="J78" s="581"/>
      <c r="K78" s="500"/>
    </row>
    <row r="79" spans="2:5" ht="15.75">
      <c r="B79" s="357" t="str">
        <f>CONCATENATE(C95,"     ",D95)</f>
        <v>     </v>
      </c>
      <c r="C79" s="918" t="s">
        <v>639</v>
      </c>
      <c r="D79" s="919"/>
      <c r="E79" s="125">
        <f>E75+E78</f>
        <v>0</v>
      </c>
    </row>
    <row r="80" spans="2:10" ht="15.75">
      <c r="B80" s="357" t="str">
        <f>CONCATENATE(C96,"     ",D96)</f>
        <v>     </v>
      </c>
      <c r="C80" s="343"/>
      <c r="D80" s="91" t="s">
        <v>135</v>
      </c>
      <c r="E80" s="185">
        <f>IF(E79-E64&gt;0,E79-E64,0)</f>
        <v>0</v>
      </c>
      <c r="G80" s="806" t="s">
        <v>839</v>
      </c>
      <c r="H80" s="781"/>
      <c r="I80" s="782"/>
      <c r="J80" s="783" t="str">
        <f>cert!F46</f>
        <v>No</v>
      </c>
    </row>
    <row r="81" spans="2:10" ht="15.75">
      <c r="B81" s="91"/>
      <c r="C81" s="433" t="s">
        <v>640</v>
      </c>
      <c r="D81" s="622">
        <f>inputOth!$E$67</f>
        <v>0</v>
      </c>
      <c r="E81" s="125">
        <f>ROUND(IF(D81&gt;0,(E80*D81),0),0)</f>
        <v>0</v>
      </c>
      <c r="G81" s="784" t="str">
        <f>CONCATENATE("Computed ",E1," tax levy limit amount")</f>
        <v>Computed 0 tax levy limit amount</v>
      </c>
      <c r="H81" s="785"/>
      <c r="I81" s="785"/>
      <c r="J81" s="786">
        <f>computationTown!J41</f>
        <v>0</v>
      </c>
    </row>
    <row r="82" spans="2:10" ht="15.75">
      <c r="B82" s="17"/>
      <c r="C82" s="920" t="str">
        <f>CONCATENATE("Amount of  ",$E$1-1," Ad Valorem Tax")</f>
        <v>Amount of  -1 Ad Valorem Tax</v>
      </c>
      <c r="D82" s="921"/>
      <c r="E82" s="185">
        <f>E80+E81</f>
        <v>0</v>
      </c>
      <c r="G82" s="787" t="str">
        <f>CONCATENATE("Total ",E1," tax levy amount")</f>
        <v>Total 0 tax levy amount</v>
      </c>
      <c r="H82" s="788"/>
      <c r="I82" s="788"/>
      <c r="J82" s="789">
        <f>summ!H45</f>
        <v>0</v>
      </c>
    </row>
    <row r="83" spans="2:10" ht="15.75">
      <c r="B83" s="17"/>
      <c r="C83" s="487"/>
      <c r="D83" s="487"/>
      <c r="E83" s="487"/>
      <c r="G83" s="839"/>
      <c r="H83" s="840"/>
      <c r="I83" s="840"/>
      <c r="J83" s="841"/>
    </row>
    <row r="84" spans="2:10" ht="15.75">
      <c r="B84" s="817" t="s">
        <v>983</v>
      </c>
      <c r="C84" s="834"/>
      <c r="D84" s="834"/>
      <c r="E84" s="835"/>
      <c r="G84" s="839"/>
      <c r="H84" s="840"/>
      <c r="I84" s="840"/>
      <c r="J84" s="841"/>
    </row>
    <row r="85" spans="2:10" ht="15.75">
      <c r="B85" s="440"/>
      <c r="C85" s="487"/>
      <c r="D85" s="487"/>
      <c r="E85" s="836"/>
      <c r="G85" s="839"/>
      <c r="H85" s="840"/>
      <c r="I85" s="840"/>
      <c r="J85" s="841"/>
    </row>
    <row r="86" spans="2:10" ht="15.75">
      <c r="B86" s="818"/>
      <c r="C86" s="837"/>
      <c r="D86" s="837"/>
      <c r="E86" s="838"/>
      <c r="G86" s="839"/>
      <c r="H86" s="840"/>
      <c r="I86" s="840"/>
      <c r="J86" s="841"/>
    </row>
    <row r="87" spans="2:10" ht="15.75">
      <c r="B87" s="17"/>
      <c r="C87" s="487"/>
      <c r="D87" s="487"/>
      <c r="E87" s="487"/>
      <c r="G87" s="839"/>
      <c r="H87" s="840"/>
      <c r="I87" s="840"/>
      <c r="J87" s="841"/>
    </row>
    <row r="88" spans="2:5" ht="15.75">
      <c r="B88" s="91" t="s">
        <v>116</v>
      </c>
      <c r="C88" s="719"/>
      <c r="D88" s="17"/>
      <c r="E88" s="17"/>
    </row>
    <row r="89" ht="15.75">
      <c r="B89" s="5"/>
    </row>
    <row r="93" spans="3:4" ht="15.75" hidden="1">
      <c r="C93" s="108">
        <f>IF(C34&gt;C36,"See Tab A","")</f>
      </c>
      <c r="D93" s="108">
        <f>IF(D34&gt;D36,"See Tab C","")</f>
      </c>
    </row>
    <row r="94" spans="3:4" ht="15.75" hidden="1">
      <c r="C94" s="108">
        <f>IF(C35&lt;0,"See Tab B","")</f>
      </c>
      <c r="D94" s="108">
        <f>IF(D35&lt;0,"See Tab D","")</f>
      </c>
    </row>
    <row r="95" spans="3:4" ht="15.75" hidden="1">
      <c r="C95" s="108">
        <f>IF(C75&gt;C77,"See Tab A","")</f>
      </c>
      <c r="D95" s="108">
        <f>IF(D75&gt;D77,"See Tab C","")</f>
      </c>
    </row>
    <row r="96" spans="3:4" ht="15.75" hidden="1">
      <c r="C96" s="108">
        <f>IF(C76&lt;0,"See Tab B","")</f>
      </c>
      <c r="D96" s="108">
        <f>IF(D76&lt;0,"See Tab D","")</f>
      </c>
    </row>
  </sheetData>
  <sheetProtection sheet="1"/>
  <mergeCells count="12">
    <mergeCell ref="G15:J15"/>
    <mergeCell ref="G22:J22"/>
    <mergeCell ref="G32:J32"/>
    <mergeCell ref="G56:J56"/>
    <mergeCell ref="G63:J63"/>
    <mergeCell ref="G73:J73"/>
    <mergeCell ref="C41:D41"/>
    <mergeCell ref="C82:D82"/>
    <mergeCell ref="C78:D78"/>
    <mergeCell ref="C79:D79"/>
    <mergeCell ref="C37:D37"/>
    <mergeCell ref="C38:D38"/>
  </mergeCells>
  <conditionalFormatting sqref="C73">
    <cfRule type="cellIs" priority="3" dxfId="179" operator="greaterThan" stopIfTrue="1">
      <formula>$C$75*0.1</formula>
    </cfRule>
  </conditionalFormatting>
  <conditionalFormatting sqref="D73">
    <cfRule type="cellIs" priority="4" dxfId="179" operator="greaterThan" stopIfTrue="1">
      <formula>$D$75*0.1</formula>
    </cfRule>
  </conditionalFormatting>
  <conditionalFormatting sqref="E73">
    <cfRule type="cellIs" priority="5" dxfId="179" operator="greaterThan" stopIfTrue="1">
      <formula>$E$75*0.1</formula>
    </cfRule>
  </conditionalFormatting>
  <conditionalFormatting sqref="C61">
    <cfRule type="cellIs" priority="6" dxfId="179" operator="greaterThan" stopIfTrue="1">
      <formula>$C$63*0.1</formula>
    </cfRule>
  </conditionalFormatting>
  <conditionalFormatting sqref="D61">
    <cfRule type="cellIs" priority="7" dxfId="179" operator="greaterThan" stopIfTrue="1">
      <formula>$D$63*0.1</formula>
    </cfRule>
  </conditionalFormatting>
  <conditionalFormatting sqref="E78">
    <cfRule type="cellIs" priority="8" dxfId="179" operator="greaterThan" stopIfTrue="1">
      <formula>$E$75/0.95-$E$75</formula>
    </cfRule>
  </conditionalFormatting>
  <conditionalFormatting sqref="C32">
    <cfRule type="cellIs" priority="9" dxfId="179" operator="greaterThan" stopIfTrue="1">
      <formula>$C$34*0.1</formula>
    </cfRule>
  </conditionalFormatting>
  <conditionalFormatting sqref="D32">
    <cfRule type="cellIs" priority="10" dxfId="179" operator="greaterThan" stopIfTrue="1">
      <formula>$D$34*0.1</formula>
    </cfRule>
  </conditionalFormatting>
  <conditionalFormatting sqref="E32">
    <cfRule type="cellIs" priority="11" dxfId="179" operator="greaterThan" stopIfTrue="1">
      <formula>$E$34*0.1</formula>
    </cfRule>
  </conditionalFormatting>
  <conditionalFormatting sqref="C20">
    <cfRule type="cellIs" priority="12" dxfId="179" operator="greaterThan" stopIfTrue="1">
      <formula>$C$22*0.1</formula>
    </cfRule>
  </conditionalFormatting>
  <conditionalFormatting sqref="D20">
    <cfRule type="cellIs" priority="13" dxfId="179" operator="greaterThan" stopIfTrue="1">
      <formula>$D$22*0.1</formula>
    </cfRule>
  </conditionalFormatting>
  <conditionalFormatting sqref="E37">
    <cfRule type="cellIs" priority="14" dxfId="179" operator="greaterThan" stopIfTrue="1">
      <formula>$E$34/0.95-$E$34</formula>
    </cfRule>
  </conditionalFormatting>
  <conditionalFormatting sqref="C35 C76">
    <cfRule type="cellIs" priority="15" dxfId="179" operator="lessThan" stopIfTrue="1">
      <formula>0</formula>
    </cfRule>
  </conditionalFormatting>
  <conditionalFormatting sqref="D35 D76">
    <cfRule type="cellIs" priority="2" dxfId="0" operator="lessThan" stopIfTrue="1">
      <formula>0</formula>
    </cfRule>
  </conditionalFormatting>
  <conditionalFormatting sqref="D34">
    <cfRule type="cellIs" priority="37" dxfId="5" operator="greaterThan" stopIfTrue="1">
      <formula>$D$36</formula>
    </cfRule>
  </conditionalFormatting>
  <conditionalFormatting sqref="C34">
    <cfRule type="cellIs" priority="52" dxfId="5" operator="greaterThan" stopIfTrue="1">
      <formula>$C$36</formula>
    </cfRule>
  </conditionalFormatting>
  <conditionalFormatting sqref="D75">
    <cfRule type="cellIs" priority="68" dxfId="5" operator="greaterThan" stopIfTrue="1">
      <formula>$D$77</formula>
    </cfRule>
  </conditionalFormatting>
  <conditionalFormatting sqref="C75">
    <cfRule type="cellIs" priority="83" dxfId="5" operator="greaterThan" stopIfTrue="1">
      <formula>$C$77</formula>
    </cfRule>
  </conditionalFormatting>
  <conditionalFormatting sqref="E20">
    <cfRule type="cellIs" priority="91" dxfId="179" operator="greaterThan" stopIfTrue="1">
      <formula>$E$22*0.1+$E$41</formula>
    </cfRule>
  </conditionalFormatting>
  <conditionalFormatting sqref="E61">
    <cfRule type="cellIs" priority="92" dxfId="179" operator="greaterThan" stopIfTrue="1">
      <formula>$E$63*0.1+$E$82</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9" sqref="L89"/>
    </sheetView>
  </sheetViews>
  <sheetFormatPr defaultColWidth="8.796875" defaultRowHeight="15.75"/>
  <cols>
    <col min="1" max="1" width="2.3984375" style="108" customWidth="1"/>
    <col min="2" max="2" width="31" style="108" customWidth="1"/>
    <col min="3" max="4" width="15.69921875" style="108" customWidth="1"/>
    <col min="5" max="5" width="13.69921875" style="108" customWidth="1"/>
    <col min="6" max="6" width="8.796875" style="108" customWidth="1"/>
    <col min="7" max="7" width="9.19921875" style="108" customWidth="1"/>
    <col min="8" max="8" width="8.796875" style="108" customWidth="1"/>
    <col min="9" max="9" width="4.5" style="108" customWidth="1"/>
    <col min="10" max="10" width="9" style="108" customWidth="1"/>
    <col min="11" max="16384" width="8.796875" style="108" customWidth="1"/>
  </cols>
  <sheetData>
    <row r="1" spans="2:5" ht="15.75">
      <c r="B1" s="74">
        <f>inputPrYr!D3</f>
        <v>0</v>
      </c>
      <c r="C1" s="17"/>
      <c r="D1" s="17"/>
      <c r="E1" s="90">
        <f>inputPrYr!D7</f>
        <v>0</v>
      </c>
    </row>
    <row r="2" spans="2:5" ht="15.75">
      <c r="B2" s="81" t="s">
        <v>178</v>
      </c>
      <c r="C2" s="17"/>
      <c r="D2" s="103"/>
      <c r="E2" s="199"/>
    </row>
    <row r="3" spans="2:5" ht="15.75">
      <c r="B3" s="17"/>
      <c r="C3" s="23"/>
      <c r="D3" s="23"/>
      <c r="E3" s="23"/>
    </row>
    <row r="4" spans="2:5" ht="15.75">
      <c r="B4" s="25" t="s">
        <v>117</v>
      </c>
      <c r="C4" s="353" t="s">
        <v>118</v>
      </c>
      <c r="D4" s="354" t="s">
        <v>119</v>
      </c>
      <c r="E4" s="27" t="s">
        <v>120</v>
      </c>
    </row>
    <row r="5" spans="2:5" ht="15.75">
      <c r="B5" s="428">
        <f>inputPrYr!B30</f>
        <v>0</v>
      </c>
      <c r="C5" s="170" t="str">
        <f>gen!C5</f>
        <v>Actual for -2</v>
      </c>
      <c r="D5" s="170" t="str">
        <f>gen!D5</f>
        <v>Estimate for -1</v>
      </c>
      <c r="E5" s="32" t="str">
        <f>gen!E5</f>
        <v>Year for 0</v>
      </c>
    </row>
    <row r="6" spans="2:5" ht="15.75">
      <c r="B6" s="33" t="s">
        <v>215</v>
      </c>
      <c r="C6" s="171"/>
      <c r="D6" s="351">
        <f>C35</f>
        <v>0</v>
      </c>
      <c r="E6" s="125">
        <f>D35</f>
        <v>0</v>
      </c>
    </row>
    <row r="7" spans="2:5" ht="15.75">
      <c r="B7" s="33" t="s">
        <v>217</v>
      </c>
      <c r="C7" s="351"/>
      <c r="D7" s="351"/>
      <c r="E7" s="174"/>
    </row>
    <row r="8" spans="2:5" ht="15.75">
      <c r="B8" s="33" t="s">
        <v>123</v>
      </c>
      <c r="C8" s="171"/>
      <c r="D8" s="351">
        <f>IF(inputPrYr!H23&gt;0,inputPrYr!G30,inputPrYr!E30)</f>
        <v>0</v>
      </c>
      <c r="E8" s="174" t="s">
        <v>106</v>
      </c>
    </row>
    <row r="9" spans="2:5" ht="15.75">
      <c r="B9" s="33" t="s">
        <v>124</v>
      </c>
      <c r="C9" s="171"/>
      <c r="D9" s="171"/>
      <c r="E9" s="145"/>
    </row>
    <row r="10" spans="2:5" ht="15.75">
      <c r="B10" s="33" t="s">
        <v>125</v>
      </c>
      <c r="C10" s="171"/>
      <c r="D10" s="171"/>
      <c r="E10" s="125">
        <f>mvalloc!D17</f>
        <v>0</v>
      </c>
    </row>
    <row r="11" spans="2:5" ht="15.75">
      <c r="B11" s="33" t="s">
        <v>126</v>
      </c>
      <c r="C11" s="171"/>
      <c r="D11" s="171"/>
      <c r="E11" s="125">
        <f>mvalloc!E17</f>
        <v>0</v>
      </c>
    </row>
    <row r="12" spans="2:5" ht="15.75">
      <c r="B12" s="33" t="s">
        <v>205</v>
      </c>
      <c r="C12" s="171"/>
      <c r="D12" s="171"/>
      <c r="E12" s="125">
        <f>mvalloc!F17</f>
        <v>0</v>
      </c>
    </row>
    <row r="13" spans="2:5" ht="15.75">
      <c r="B13" s="753" t="s">
        <v>818</v>
      </c>
      <c r="C13" s="171"/>
      <c r="D13" s="171"/>
      <c r="E13" s="125">
        <f>mvalloc!G17</f>
        <v>0</v>
      </c>
    </row>
    <row r="14" spans="2:5" ht="15.75">
      <c r="B14" s="753" t="s">
        <v>819</v>
      </c>
      <c r="C14" s="171"/>
      <c r="D14" s="171"/>
      <c r="E14" s="125">
        <f>mvalloc!H17</f>
        <v>0</v>
      </c>
    </row>
    <row r="15" spans="2:11" ht="15.75">
      <c r="B15" s="176"/>
      <c r="C15" s="171"/>
      <c r="D15" s="171"/>
      <c r="E15" s="145"/>
      <c r="G15" s="922" t="str">
        <f>CONCATENATE("Desired Carryover Into ",E1+1,"")</f>
        <v>Desired Carryover Into 1</v>
      </c>
      <c r="H15" s="923"/>
      <c r="I15" s="923"/>
      <c r="J15" s="924"/>
      <c r="K15" s="500"/>
    </row>
    <row r="16" spans="2:11" ht="15.75">
      <c r="B16" s="176"/>
      <c r="C16" s="171"/>
      <c r="D16" s="171"/>
      <c r="E16" s="145"/>
      <c r="G16" s="532"/>
      <c r="H16" s="533"/>
      <c r="I16" s="534"/>
      <c r="J16" s="535"/>
      <c r="K16" s="500"/>
    </row>
    <row r="17" spans="2:11" ht="15.75">
      <c r="B17" s="177"/>
      <c r="C17" s="171"/>
      <c r="D17" s="171"/>
      <c r="E17" s="145"/>
      <c r="G17" s="536" t="s">
        <v>642</v>
      </c>
      <c r="H17" s="534"/>
      <c r="I17" s="534"/>
      <c r="J17" s="537">
        <v>0</v>
      </c>
      <c r="K17" s="500"/>
    </row>
    <row r="18" spans="2:11" ht="15.75">
      <c r="B18" s="177" t="s">
        <v>129</v>
      </c>
      <c r="C18" s="171"/>
      <c r="D18" s="171"/>
      <c r="E18" s="145"/>
      <c r="G18" s="532" t="s">
        <v>643</v>
      </c>
      <c r="H18" s="533"/>
      <c r="I18" s="533"/>
      <c r="J18" s="538">
        <f>IF(J17=0,"",ROUND((J17+E41-G30)/inputOth!E8*1000,3)-G35)</f>
      </c>
      <c r="K18" s="500"/>
    </row>
    <row r="19" spans="2:11" ht="15.75">
      <c r="B19" s="41" t="s">
        <v>47</v>
      </c>
      <c r="C19" s="171"/>
      <c r="D19" s="171"/>
      <c r="E19" s="185">
        <f>nhood!E12*-1</f>
        <v>0</v>
      </c>
      <c r="G19" s="539" t="str">
        <f>CONCATENATE("",E1," Tot Exp/Non-Appr Must Be:")</f>
        <v>0 Tot Exp/Non-Appr Must Be:</v>
      </c>
      <c r="H19" s="540"/>
      <c r="I19" s="541"/>
      <c r="J19" s="542">
        <f>IF(J17&gt;0,IF(E38&lt;E23,IF(J17=G30,E38,((J17-G30)*(1-D40))+E23),E38+(J17-G30)),0)</f>
        <v>0</v>
      </c>
      <c r="K19" s="500"/>
    </row>
    <row r="20" spans="2:11" ht="15.75">
      <c r="B20" s="178" t="s">
        <v>45</v>
      </c>
      <c r="C20" s="171"/>
      <c r="D20" s="171"/>
      <c r="E20" s="145"/>
      <c r="G20" s="543" t="s">
        <v>658</v>
      </c>
      <c r="H20" s="544"/>
      <c r="I20" s="544"/>
      <c r="J20" s="545">
        <f>IF(J17&gt;0,J19-E38,0)</f>
        <v>0</v>
      </c>
      <c r="K20" s="500"/>
    </row>
    <row r="21" spans="2:11" ht="15.75">
      <c r="B21" s="178" t="s">
        <v>46</v>
      </c>
      <c r="C21" s="350">
        <f>IF(C22*0.1&lt;C20,"Exceed 10% Rule","")</f>
      </c>
      <c r="D21" s="350">
        <f>IF(D22*0.1&lt;D20,"Exceed 10% Rule","")</f>
      </c>
      <c r="E21" s="341">
        <f>IF((E41+E22)*0.1&lt;E20,"Exceed 10% Rule","")</f>
      </c>
      <c r="G21" s="500"/>
      <c r="H21" s="500"/>
      <c r="I21" s="500"/>
      <c r="J21" s="500"/>
      <c r="K21" s="500"/>
    </row>
    <row r="22" spans="2:11" ht="15.75">
      <c r="B22" s="180" t="s">
        <v>130</v>
      </c>
      <c r="C22" s="352">
        <f>SUM(C8:C20)</f>
        <v>0</v>
      </c>
      <c r="D22" s="352">
        <f>SUM(D8:D20)</f>
        <v>0</v>
      </c>
      <c r="E22" s="182">
        <f>SUM(E8:E20)</f>
        <v>0</v>
      </c>
      <c r="G22" s="922" t="str">
        <f>CONCATENATE("Projected Carryover Into ",E1+1,"")</f>
        <v>Projected Carryover Into 1</v>
      </c>
      <c r="H22" s="925"/>
      <c r="I22" s="925"/>
      <c r="J22" s="926"/>
      <c r="K22" s="500"/>
    </row>
    <row r="23" spans="2:11" ht="15.75">
      <c r="B23" s="59" t="s">
        <v>131</v>
      </c>
      <c r="C23" s="352">
        <f>C22+C6</f>
        <v>0</v>
      </c>
      <c r="D23" s="352">
        <f>D22+D6</f>
        <v>0</v>
      </c>
      <c r="E23" s="182">
        <f>E22+E6</f>
        <v>0</v>
      </c>
      <c r="G23" s="532"/>
      <c r="H23" s="534"/>
      <c r="I23" s="534"/>
      <c r="J23" s="547"/>
      <c r="K23" s="500"/>
    </row>
    <row r="24" spans="2:11" ht="15.75">
      <c r="B24" s="33" t="s">
        <v>132</v>
      </c>
      <c r="C24" s="351"/>
      <c r="D24" s="351"/>
      <c r="E24" s="125"/>
      <c r="G24" s="550">
        <f>D35</f>
        <v>0</v>
      </c>
      <c r="H24" s="551" t="str">
        <f>CONCATENATE("",E1-1," Ending Cash Balance (est.)")</f>
        <v>-1 Ending Cash Balance (est.)</v>
      </c>
      <c r="I24" s="552"/>
      <c r="J24" s="547"/>
      <c r="K24" s="500"/>
    </row>
    <row r="25" spans="2:11" ht="15.75">
      <c r="B25" s="177"/>
      <c r="C25" s="171"/>
      <c r="D25" s="171"/>
      <c r="E25" s="145"/>
      <c r="G25" s="550">
        <f>E22</f>
        <v>0</v>
      </c>
      <c r="H25" s="534" t="str">
        <f>CONCATENATE("",E1," Non-AV Receipts (est.)")</f>
        <v>0 Non-AV Receipts (est.)</v>
      </c>
      <c r="I25" s="552"/>
      <c r="J25" s="547"/>
      <c r="K25" s="500"/>
    </row>
    <row r="26" spans="2:11" ht="15.75">
      <c r="B26" s="177"/>
      <c r="C26" s="171"/>
      <c r="D26" s="171"/>
      <c r="E26" s="145"/>
      <c r="G26" s="557">
        <f>IF(E40&gt;0,E39,E41)</f>
        <v>0</v>
      </c>
      <c r="H26" s="534" t="str">
        <f>CONCATENATE("",E1," Ad Valorem Tax (est.)")</f>
        <v>0 Ad Valorem Tax (est.)</v>
      </c>
      <c r="I26" s="534"/>
      <c r="J26" s="547"/>
      <c r="K26" s="558">
        <f>IF(G26=E41,"","Note: Does not include Delinquent Taxes")</f>
      </c>
    </row>
    <row r="27" spans="2:11" ht="15.75">
      <c r="B27" s="177"/>
      <c r="C27" s="171"/>
      <c r="D27" s="171"/>
      <c r="E27" s="145"/>
      <c r="G27" s="550">
        <f>SUM(G24:G26)</f>
        <v>0</v>
      </c>
      <c r="H27" s="534" t="str">
        <f>CONCATENATE("Total ",E1," Resources Available")</f>
        <v>Total 0 Resources Available</v>
      </c>
      <c r="I27" s="552"/>
      <c r="J27" s="547"/>
      <c r="K27" s="500"/>
    </row>
    <row r="28" spans="2:11" ht="15.75">
      <c r="B28" s="177"/>
      <c r="C28" s="171"/>
      <c r="D28" s="171"/>
      <c r="E28" s="145"/>
      <c r="G28" s="561"/>
      <c r="H28" s="534"/>
      <c r="I28" s="534"/>
      <c r="J28" s="547"/>
      <c r="K28" s="500"/>
    </row>
    <row r="29" spans="2:11" ht="15.75">
      <c r="B29" s="177"/>
      <c r="C29" s="171"/>
      <c r="D29" s="171"/>
      <c r="E29" s="145"/>
      <c r="G29" s="557">
        <f>C34*0.05+C34</f>
        <v>0</v>
      </c>
      <c r="H29" s="534" t="str">
        <f>CONCATENATE("Less ",E1-2," Expenditures + 5%")</f>
        <v>Less -2 Expenditures + 5%</v>
      </c>
      <c r="I29" s="534"/>
      <c r="J29" s="547"/>
      <c r="K29" s="500"/>
    </row>
    <row r="30" spans="2:11" ht="15.75">
      <c r="B30" s="177"/>
      <c r="C30" s="171"/>
      <c r="D30" s="171"/>
      <c r="E30" s="145"/>
      <c r="G30" s="565">
        <f>G27-G29</f>
        <v>0</v>
      </c>
      <c r="H30" s="566" t="str">
        <f>CONCATENATE("Projected ",E1+1," carryover (est.)")</f>
        <v>Projected 1 carryover (est.)</v>
      </c>
      <c r="I30" s="567"/>
      <c r="J30" s="568"/>
      <c r="K30" s="500"/>
    </row>
    <row r="31" spans="2:11" ht="15.75">
      <c r="B31" s="41" t="str">
        <f>CONCATENATE("Cash Forward (",E1," column)")</f>
        <v>Cash Forward (0 column)</v>
      </c>
      <c r="C31" s="171"/>
      <c r="D31" s="171"/>
      <c r="E31" s="145"/>
      <c r="G31" s="500"/>
      <c r="H31" s="500"/>
      <c r="I31" s="500"/>
      <c r="J31" s="500"/>
      <c r="K31" s="500"/>
    </row>
    <row r="32" spans="2:11" ht="15.75">
      <c r="B32" s="41" t="s">
        <v>45</v>
      </c>
      <c r="C32" s="171"/>
      <c r="D32" s="171"/>
      <c r="E32" s="145"/>
      <c r="G32" s="927" t="s">
        <v>659</v>
      </c>
      <c r="H32" s="928"/>
      <c r="I32" s="928"/>
      <c r="J32" s="929"/>
      <c r="K32" s="500"/>
    </row>
    <row r="33" spans="2:11" ht="15.75">
      <c r="B33" s="41" t="s">
        <v>637</v>
      </c>
      <c r="C33" s="350">
        <f>IF(C34*0.1&lt;C32,"Exceed 10% Rule","")</f>
      </c>
      <c r="D33" s="350">
        <f>IF(D34*0.1&lt;D32,"Exceed 10% Rule","")</f>
      </c>
      <c r="E33" s="341">
        <f>IF(E34*0.1&lt;E32,"Exceed 10% Rule","")</f>
      </c>
      <c r="G33" s="572"/>
      <c r="H33" s="551"/>
      <c r="I33" s="573"/>
      <c r="J33" s="574"/>
      <c r="K33" s="500"/>
    </row>
    <row r="34" spans="2:11" ht="15.75">
      <c r="B34" s="59" t="s">
        <v>133</v>
      </c>
      <c r="C34" s="352">
        <f>SUM(C27:C32)</f>
        <v>0</v>
      </c>
      <c r="D34" s="352">
        <f>SUM(D27:D32)</f>
        <v>0</v>
      </c>
      <c r="E34" s="182">
        <f>SUM(E25:E32)</f>
        <v>0</v>
      </c>
      <c r="G34" s="575" t="str">
        <f>summ!I33</f>
        <v> </v>
      </c>
      <c r="H34" s="551" t="str">
        <f>CONCATENATE("",E1," Fund Mill Rate")</f>
        <v>0 Fund Mill Rate</v>
      </c>
      <c r="I34" s="573"/>
      <c r="J34" s="574"/>
      <c r="K34" s="500"/>
    </row>
    <row r="35" spans="2:11" ht="15.75">
      <c r="B35" s="33" t="s">
        <v>216</v>
      </c>
      <c r="C35" s="356">
        <f>C23-C34</f>
        <v>0</v>
      </c>
      <c r="D35" s="356">
        <f>D23-D34</f>
        <v>0</v>
      </c>
      <c r="E35" s="174" t="s">
        <v>106</v>
      </c>
      <c r="G35" s="576" t="str">
        <f>summ!F33</f>
        <v>  </v>
      </c>
      <c r="H35" s="551" t="str">
        <f>CONCATENATE("",E1-1," Fund Mill Rate")</f>
        <v>-1 Fund Mill Rate</v>
      </c>
      <c r="I35" s="573"/>
      <c r="J35" s="574"/>
      <c r="K35" s="500"/>
    </row>
    <row r="36" spans="2:11" ht="15.75">
      <c r="B36" s="73" t="str">
        <f>CONCATENATE("",E1-2,"/",E1-1,"/",E1," Budget Authority Amount:")</f>
        <v>-2/-1/0 Budget Authority Amount:</v>
      </c>
      <c r="C36" s="190">
        <f>inputOth!B80</f>
        <v>0</v>
      </c>
      <c r="D36" s="190">
        <f>inputPrYr!D30</f>
        <v>0</v>
      </c>
      <c r="E36" s="125">
        <f>E34</f>
        <v>0</v>
      </c>
      <c r="F36" s="186"/>
      <c r="G36" s="578">
        <f>summ!I45</f>
        <v>0</v>
      </c>
      <c r="H36" s="551" t="str">
        <f>CONCATENATE("Total ",E1," Mill Rate")</f>
        <v>Total 0 Mill Rate</v>
      </c>
      <c r="I36" s="573"/>
      <c r="J36" s="574"/>
      <c r="K36" s="500"/>
    </row>
    <row r="37" spans="2:11" ht="15.75">
      <c r="B37" s="3"/>
      <c r="C37" s="916" t="s">
        <v>638</v>
      </c>
      <c r="D37" s="917"/>
      <c r="E37" s="145"/>
      <c r="F37" s="186">
        <f>IF(E34/0.95-E34&lt;E37,"Exceeds 5%","")</f>
      </c>
      <c r="G37" s="576">
        <f>summ!F45</f>
        <v>0</v>
      </c>
      <c r="H37" s="579" t="str">
        <f>CONCATENATE("Total ",E1-1," Mill Rate")</f>
        <v>Total -1 Mill Rate</v>
      </c>
      <c r="I37" s="580"/>
      <c r="J37" s="581"/>
      <c r="K37" s="500"/>
    </row>
    <row r="38" spans="2:11" ht="15.75">
      <c r="B38" s="357" t="str">
        <f>CONCATENATE(C93,"     ",D93)</f>
        <v>     </v>
      </c>
      <c r="C38" s="918" t="s">
        <v>639</v>
      </c>
      <c r="D38" s="919"/>
      <c r="E38" s="125">
        <f>E34+E37</f>
        <v>0</v>
      </c>
      <c r="G38" s="500"/>
      <c r="H38" s="500"/>
      <c r="I38" s="500"/>
      <c r="J38" s="500"/>
      <c r="K38" s="500"/>
    </row>
    <row r="39" spans="2:11" ht="15.75">
      <c r="B39" s="357" t="str">
        <f>CONCATENATE(C94,"     ",D94)</f>
        <v>     </v>
      </c>
      <c r="C39" s="343"/>
      <c r="D39" s="91" t="s">
        <v>135</v>
      </c>
      <c r="E39" s="185">
        <f>IF(E38-E23&gt;0,E38-E23,0)</f>
        <v>0</v>
      </c>
      <c r="G39" s="806" t="s">
        <v>839</v>
      </c>
      <c r="H39" s="781"/>
      <c r="I39" s="782"/>
      <c r="J39" s="783" t="str">
        <f>cert!F46</f>
        <v>No</v>
      </c>
      <c r="K39" s="500"/>
    </row>
    <row r="40" spans="2:11" ht="15.75">
      <c r="B40" s="91"/>
      <c r="C40" s="433" t="s">
        <v>640</v>
      </c>
      <c r="D40" s="622">
        <f>inputOth!$E$67</f>
        <v>0</v>
      </c>
      <c r="E40" s="125">
        <f>ROUND(IF(D40&gt;0,(E39*D40),0),0)</f>
        <v>0</v>
      </c>
      <c r="G40" s="804" t="str">
        <f>CONCATENATE("Computed ",E1," tax levy limit amount")</f>
        <v>Computed 0 tax levy limit amount</v>
      </c>
      <c r="H40" s="803"/>
      <c r="I40" s="803"/>
      <c r="J40" s="802">
        <f>computationTown!J41</f>
        <v>0</v>
      </c>
      <c r="K40" s="500"/>
    </row>
    <row r="41" spans="2:11" ht="15.75">
      <c r="B41" s="17"/>
      <c r="C41" s="920" t="str">
        <f>CONCATENATE("Amount of  ",$E$1-1," Ad Valorem Tax")</f>
        <v>Amount of  -1 Ad Valorem Tax</v>
      </c>
      <c r="D41" s="921"/>
      <c r="E41" s="185">
        <f>E39+E40</f>
        <v>0</v>
      </c>
      <c r="G41" s="801" t="str">
        <f>CONCATENATE("Total ",E1," tax levy amount")</f>
        <v>Total 0 tax levy amount</v>
      </c>
      <c r="H41" s="800"/>
      <c r="I41" s="800"/>
      <c r="J41" s="799">
        <f>summ!H45</f>
        <v>0</v>
      </c>
      <c r="K41" s="500"/>
    </row>
    <row r="42" spans="2:11" ht="15.75">
      <c r="B42" s="17"/>
      <c r="C42" s="487"/>
      <c r="D42" s="17"/>
      <c r="E42" s="17"/>
      <c r="G42" s="500"/>
      <c r="H42" s="500"/>
      <c r="I42" s="500"/>
      <c r="J42" s="500"/>
      <c r="K42" s="500"/>
    </row>
    <row r="43" spans="2:11" ht="15.75">
      <c r="B43" s="17"/>
      <c r="C43" s="487"/>
      <c r="D43" s="17"/>
      <c r="E43" s="17"/>
      <c r="G43" s="500"/>
      <c r="H43" s="500"/>
      <c r="I43" s="500"/>
      <c r="J43" s="500"/>
      <c r="K43" s="500"/>
    </row>
    <row r="44" spans="2:11" ht="15.75">
      <c r="B44" s="25" t="s">
        <v>117</v>
      </c>
      <c r="C44" s="23"/>
      <c r="D44" s="23"/>
      <c r="E44" s="23"/>
      <c r="G44" s="500"/>
      <c r="H44" s="500"/>
      <c r="I44" s="500"/>
      <c r="J44" s="500"/>
      <c r="K44" s="500"/>
    </row>
    <row r="45" spans="2:11" ht="15.75">
      <c r="B45" s="17"/>
      <c r="C45" s="353" t="s">
        <v>118</v>
      </c>
      <c r="D45" s="354" t="s">
        <v>119</v>
      </c>
      <c r="E45" s="27" t="s">
        <v>120</v>
      </c>
      <c r="G45" s="500"/>
      <c r="H45" s="500"/>
      <c r="I45" s="500"/>
      <c r="J45" s="500"/>
      <c r="K45" s="500"/>
    </row>
    <row r="46" spans="2:11" ht="15.75">
      <c r="B46" s="428">
        <f>inputPrYr!B31</f>
        <v>0</v>
      </c>
      <c r="C46" s="170" t="str">
        <f>C5</f>
        <v>Actual for -2</v>
      </c>
      <c r="D46" s="170" t="str">
        <f>D5</f>
        <v>Estimate for -1</v>
      </c>
      <c r="E46" s="32" t="str">
        <f>E5</f>
        <v>Year for 0</v>
      </c>
      <c r="G46" s="500"/>
      <c r="H46" s="500"/>
      <c r="I46" s="500"/>
      <c r="J46" s="500"/>
      <c r="K46" s="500"/>
    </row>
    <row r="47" spans="2:11" ht="15.75">
      <c r="B47" s="33" t="s">
        <v>215</v>
      </c>
      <c r="C47" s="171"/>
      <c r="D47" s="351">
        <f>C76</f>
        <v>0</v>
      </c>
      <c r="E47" s="125">
        <f>D76</f>
        <v>0</v>
      </c>
      <c r="G47" s="500"/>
      <c r="H47" s="500"/>
      <c r="I47" s="500"/>
      <c r="J47" s="500"/>
      <c r="K47" s="500"/>
    </row>
    <row r="48" spans="2:11" ht="15.75">
      <c r="B48" s="33" t="s">
        <v>217</v>
      </c>
      <c r="C48" s="351"/>
      <c r="D48" s="351"/>
      <c r="E48" s="174"/>
      <c r="G48" s="500"/>
      <c r="H48" s="500"/>
      <c r="I48" s="500"/>
      <c r="J48" s="500"/>
      <c r="K48" s="500"/>
    </row>
    <row r="49" spans="2:11" ht="15.75">
      <c r="B49" s="33" t="s">
        <v>123</v>
      </c>
      <c r="C49" s="171"/>
      <c r="D49" s="351">
        <f>IF(inputPrYr!H23&gt;0,inputPrYr!G31,inputPrYr!E31)</f>
        <v>0</v>
      </c>
      <c r="E49" s="174" t="s">
        <v>106</v>
      </c>
      <c r="G49" s="500"/>
      <c r="H49" s="500"/>
      <c r="I49" s="500"/>
      <c r="J49" s="500"/>
      <c r="K49" s="500"/>
    </row>
    <row r="50" spans="2:11" ht="15.75">
      <c r="B50" s="33" t="s">
        <v>124</v>
      </c>
      <c r="C50" s="171"/>
      <c r="D50" s="171"/>
      <c r="E50" s="145"/>
      <c r="G50" s="500"/>
      <c r="H50" s="500"/>
      <c r="I50" s="500"/>
      <c r="J50" s="500"/>
      <c r="K50" s="500"/>
    </row>
    <row r="51" spans="2:11" ht="15.75">
      <c r="B51" s="33" t="s">
        <v>125</v>
      </c>
      <c r="C51" s="171"/>
      <c r="D51" s="171"/>
      <c r="E51" s="125">
        <f>mvalloc!D18</f>
        <v>0</v>
      </c>
      <c r="G51" s="500"/>
      <c r="H51" s="500"/>
      <c r="I51" s="500"/>
      <c r="J51" s="500"/>
      <c r="K51" s="500"/>
    </row>
    <row r="52" spans="2:11" ht="15.75">
      <c r="B52" s="33" t="s">
        <v>126</v>
      </c>
      <c r="C52" s="171"/>
      <c r="D52" s="171"/>
      <c r="E52" s="125">
        <f>mvalloc!E18</f>
        <v>0</v>
      </c>
      <c r="G52" s="500"/>
      <c r="H52" s="500"/>
      <c r="I52" s="500"/>
      <c r="J52" s="500"/>
      <c r="K52" s="500"/>
    </row>
    <row r="53" spans="2:11" ht="15.75">
      <c r="B53" s="33" t="s">
        <v>205</v>
      </c>
      <c r="C53" s="171"/>
      <c r="D53" s="171"/>
      <c r="E53" s="125">
        <f>mvalloc!F18</f>
        <v>0</v>
      </c>
      <c r="G53" s="500"/>
      <c r="H53" s="500"/>
      <c r="I53" s="500"/>
      <c r="J53" s="500"/>
      <c r="K53" s="500"/>
    </row>
    <row r="54" spans="2:11" ht="15.75">
      <c r="B54" s="753" t="s">
        <v>818</v>
      </c>
      <c r="C54" s="171"/>
      <c r="D54" s="171"/>
      <c r="E54" s="125">
        <f>mvalloc!G18</f>
        <v>0</v>
      </c>
      <c r="G54" s="500"/>
      <c r="H54" s="500"/>
      <c r="I54" s="500"/>
      <c r="J54" s="500"/>
      <c r="K54" s="500"/>
    </row>
    <row r="55" spans="2:11" ht="15.75">
      <c r="B55" s="753" t="s">
        <v>819</v>
      </c>
      <c r="C55" s="171"/>
      <c r="D55" s="171"/>
      <c r="E55" s="125">
        <f>mvalloc!H18</f>
        <v>0</v>
      </c>
      <c r="G55" s="500"/>
      <c r="H55" s="500"/>
      <c r="I55" s="500"/>
      <c r="J55" s="500"/>
      <c r="K55" s="500"/>
    </row>
    <row r="56" spans="2:11" ht="15.75">
      <c r="B56" s="177"/>
      <c r="C56" s="171"/>
      <c r="D56" s="171"/>
      <c r="E56" s="145"/>
      <c r="G56" s="922" t="str">
        <f>CONCATENATE("Desired Carryover Into ",E1+1,"")</f>
        <v>Desired Carryover Into 1</v>
      </c>
      <c r="H56" s="923"/>
      <c r="I56" s="923"/>
      <c r="J56" s="924"/>
      <c r="K56" s="500"/>
    </row>
    <row r="57" spans="2:11" ht="15.75">
      <c r="B57" s="177"/>
      <c r="C57" s="171"/>
      <c r="D57" s="171"/>
      <c r="E57" s="145"/>
      <c r="G57" s="532"/>
      <c r="H57" s="533"/>
      <c r="I57" s="534"/>
      <c r="J57" s="535"/>
      <c r="K57" s="500"/>
    </row>
    <row r="58" spans="2:11" ht="15.75">
      <c r="B58" s="177"/>
      <c r="C58" s="171"/>
      <c r="D58" s="171"/>
      <c r="E58" s="145"/>
      <c r="G58" s="536" t="s">
        <v>642</v>
      </c>
      <c r="H58" s="534"/>
      <c r="I58" s="534"/>
      <c r="J58" s="537">
        <v>0</v>
      </c>
      <c r="K58" s="500"/>
    </row>
    <row r="59" spans="2:11" ht="15.75">
      <c r="B59" s="177" t="s">
        <v>129</v>
      </c>
      <c r="C59" s="171"/>
      <c r="D59" s="171"/>
      <c r="E59" s="145"/>
      <c r="G59" s="532" t="s">
        <v>643</v>
      </c>
      <c r="H59" s="533"/>
      <c r="I59" s="533"/>
      <c r="J59" s="538">
        <f>IF(J58=0,"",ROUND((J58+E82-G71)/inputOth!E8*1000,3)-G76)</f>
      </c>
      <c r="K59" s="500"/>
    </row>
    <row r="60" spans="2:11" ht="15.75">
      <c r="B60" s="41" t="s">
        <v>47</v>
      </c>
      <c r="C60" s="171"/>
      <c r="D60" s="171"/>
      <c r="E60" s="185">
        <f>nhood!E13*-1</f>
        <v>0</v>
      </c>
      <c r="G60" s="539" t="str">
        <f>CONCATENATE("",E1," Tot Exp/Non-Appr Must Be:")</f>
        <v>0 Tot Exp/Non-Appr Must Be:</v>
      </c>
      <c r="H60" s="540"/>
      <c r="I60" s="541"/>
      <c r="J60" s="542">
        <f>IF(J58&gt;0,IF(E79&lt;E64,IF(J58=G71,E79,((J58-G71)*(1-D81))+E64),E79+(J58-G71)),0)</f>
        <v>0</v>
      </c>
      <c r="K60" s="500"/>
    </row>
    <row r="61" spans="2:11" ht="15.75">
      <c r="B61" s="178" t="s">
        <v>45</v>
      </c>
      <c r="C61" s="171"/>
      <c r="D61" s="171"/>
      <c r="E61" s="145"/>
      <c r="G61" s="543" t="s">
        <v>658</v>
      </c>
      <c r="H61" s="544"/>
      <c r="I61" s="544"/>
      <c r="J61" s="545">
        <f>IF(J58&gt;0,J60-E79,0)</f>
        <v>0</v>
      </c>
      <c r="K61" s="500"/>
    </row>
    <row r="62" spans="2:11" ht="15.75">
      <c r="B62" s="178" t="s">
        <v>46</v>
      </c>
      <c r="C62" s="350">
        <f>IF(C63*0.1&lt;C61,"Exceed 10% Rule","")</f>
      </c>
      <c r="D62" s="350">
        <f>IF(D63*0.1&lt;D61,"Exceed 10% Rule","")</f>
      </c>
      <c r="E62" s="341">
        <f>IF((E82+E63)*0.1&lt;E61,"Exceed 10% Rule","")</f>
      </c>
      <c r="G62" s="500"/>
      <c r="H62" s="500"/>
      <c r="I62" s="500"/>
      <c r="J62" s="500"/>
      <c r="K62" s="500"/>
    </row>
    <row r="63" spans="2:11" ht="15.75">
      <c r="B63" s="180" t="s">
        <v>130</v>
      </c>
      <c r="C63" s="352">
        <f>SUM(C49:C61)</f>
        <v>0</v>
      </c>
      <c r="D63" s="352">
        <f>SUM(D49:D61)</f>
        <v>0</v>
      </c>
      <c r="E63" s="182">
        <f>SUM(E49:E61)</f>
        <v>0</v>
      </c>
      <c r="G63" s="922" t="str">
        <f>CONCATENATE("Projected Carryover Into ",E1+1,"")</f>
        <v>Projected Carryover Into 1</v>
      </c>
      <c r="H63" s="949"/>
      <c r="I63" s="949"/>
      <c r="J63" s="926"/>
      <c r="K63" s="500"/>
    </row>
    <row r="64" spans="2:11" ht="15.75">
      <c r="B64" s="59" t="s">
        <v>131</v>
      </c>
      <c r="C64" s="352">
        <f>C63+C47</f>
        <v>0</v>
      </c>
      <c r="D64" s="352">
        <f>D63+D47</f>
        <v>0</v>
      </c>
      <c r="E64" s="182">
        <f>E63+E47</f>
        <v>0</v>
      </c>
      <c r="G64" s="584"/>
      <c r="H64" s="533"/>
      <c r="I64" s="533"/>
      <c r="J64" s="585"/>
      <c r="K64" s="500"/>
    </row>
    <row r="65" spans="2:11" ht="15.75">
      <c r="B65" s="33" t="s">
        <v>132</v>
      </c>
      <c r="C65" s="351"/>
      <c r="D65" s="351"/>
      <c r="E65" s="125"/>
      <c r="G65" s="550">
        <f>D76</f>
        <v>0</v>
      </c>
      <c r="H65" s="551" t="str">
        <f>CONCATENATE("",E1-1," Ending Cash Balance (est.)")</f>
        <v>-1 Ending Cash Balance (est.)</v>
      </c>
      <c r="I65" s="552"/>
      <c r="J65" s="585"/>
      <c r="K65" s="500"/>
    </row>
    <row r="66" spans="2:11" ht="15.75">
      <c r="B66" s="177"/>
      <c r="C66" s="171"/>
      <c r="D66" s="171"/>
      <c r="E66" s="145"/>
      <c r="G66" s="550">
        <f>E63</f>
        <v>0</v>
      </c>
      <c r="H66" s="534" t="str">
        <f>CONCATENATE("",E1," Non-AV Receipts (est.)")</f>
        <v>0 Non-AV Receipts (est.)</v>
      </c>
      <c r="I66" s="552"/>
      <c r="J66" s="585"/>
      <c r="K66" s="500"/>
    </row>
    <row r="67" spans="2:11" ht="15.75">
      <c r="B67" s="177"/>
      <c r="C67" s="171"/>
      <c r="D67" s="171"/>
      <c r="E67" s="145"/>
      <c r="G67" s="557">
        <f>IF(E81&gt;0,E80,E82)</f>
        <v>0</v>
      </c>
      <c r="H67" s="534" t="str">
        <f>CONCATENATE("",E1," Ad Valorem Tax (est.)")</f>
        <v>0 Ad Valorem Tax (est.)</v>
      </c>
      <c r="I67" s="534"/>
      <c r="J67" s="585"/>
      <c r="K67" s="558">
        <f>IF(G67=E82,"","Note: Does not include Delinquent Taxes")</f>
      </c>
    </row>
    <row r="68" spans="2:11" ht="15.75">
      <c r="B68" s="177"/>
      <c r="C68" s="171"/>
      <c r="D68" s="171"/>
      <c r="E68" s="145"/>
      <c r="G68" s="550">
        <f>SUM(G65:G67)</f>
        <v>0</v>
      </c>
      <c r="H68" s="534" t="str">
        <f>CONCATENATE("Total ",E1," Resources Available")</f>
        <v>Total 0 Resources Available</v>
      </c>
      <c r="I68" s="588"/>
      <c r="J68" s="585"/>
      <c r="K68" s="500"/>
    </row>
    <row r="69" spans="2:11" ht="15.75">
      <c r="B69" s="177"/>
      <c r="C69" s="171"/>
      <c r="D69" s="171"/>
      <c r="E69" s="145"/>
      <c r="G69" s="589"/>
      <c r="H69" s="590"/>
      <c r="I69" s="533"/>
      <c r="J69" s="585"/>
      <c r="K69" s="500"/>
    </row>
    <row r="70" spans="2:11" ht="15.75">
      <c r="B70" s="177"/>
      <c r="C70" s="171"/>
      <c r="D70" s="171"/>
      <c r="E70" s="145"/>
      <c r="G70" s="557">
        <f>ROUND(C75*0.05+C75,0)</f>
        <v>0</v>
      </c>
      <c r="H70" s="534" t="str">
        <f>CONCATENATE("Less ",E1-2," Expenditures + 5%")</f>
        <v>Less -2 Expenditures + 5%</v>
      </c>
      <c r="I70" s="588"/>
      <c r="J70" s="585"/>
      <c r="K70" s="500"/>
    </row>
    <row r="71" spans="2:11" ht="15.75">
      <c r="B71" s="177"/>
      <c r="C71" s="171"/>
      <c r="D71" s="171"/>
      <c r="E71" s="145"/>
      <c r="G71" s="565">
        <f>G68-G70</f>
        <v>0</v>
      </c>
      <c r="H71" s="566" t="str">
        <f>CONCATENATE("Projected ",E1+1," carryover (est.)")</f>
        <v>Projected 1 carryover (est.)</v>
      </c>
      <c r="I71" s="591"/>
      <c r="J71" s="592"/>
      <c r="K71" s="500"/>
    </row>
    <row r="72" spans="2:11" ht="15.75">
      <c r="B72" s="41" t="str">
        <f>CONCATENATE("Cash Forward (",E1," column)")</f>
        <v>Cash Forward (0 column)</v>
      </c>
      <c r="C72" s="171"/>
      <c r="D72" s="171"/>
      <c r="E72" s="145"/>
      <c r="G72" s="500"/>
      <c r="H72" s="500"/>
      <c r="I72" s="500"/>
      <c r="J72" s="500"/>
      <c r="K72" s="500"/>
    </row>
    <row r="73" spans="2:11" ht="15.75">
      <c r="B73" s="41" t="s">
        <v>45</v>
      </c>
      <c r="C73" s="171"/>
      <c r="D73" s="171"/>
      <c r="E73" s="145"/>
      <c r="G73" s="927" t="s">
        <v>659</v>
      </c>
      <c r="H73" s="928"/>
      <c r="I73" s="928"/>
      <c r="J73" s="929"/>
      <c r="K73" s="500"/>
    </row>
    <row r="74" spans="2:11" ht="15.75">
      <c r="B74" s="41" t="s">
        <v>637</v>
      </c>
      <c r="C74" s="350">
        <f>IF(C75*0.1&lt;C73,"Exceed 10% Rule","")</f>
      </c>
      <c r="D74" s="350">
        <f>IF(D75*0.1&lt;D73,"Exceed 10% Rule","")</f>
      </c>
      <c r="E74" s="341">
        <f>IF(E75*0.1&lt;E73,"Exceed 10% Rule","")</f>
      </c>
      <c r="G74" s="572"/>
      <c r="H74" s="551"/>
      <c r="I74" s="573"/>
      <c r="J74" s="574"/>
      <c r="K74" s="500"/>
    </row>
    <row r="75" spans="2:11" ht="15.75">
      <c r="B75" s="59" t="s">
        <v>133</v>
      </c>
      <c r="C75" s="352">
        <f>SUM(C66:C73)</f>
        <v>0</v>
      </c>
      <c r="D75" s="352">
        <f>SUM(D66:D73)</f>
        <v>0</v>
      </c>
      <c r="E75" s="182">
        <f>SUM(E66:E73)</f>
        <v>0</v>
      </c>
      <c r="G75" s="575" t="str">
        <f>summ!I34</f>
        <v> </v>
      </c>
      <c r="H75" s="551" t="str">
        <f>CONCATENATE("",E1," Fund Mill Rate")</f>
        <v>0 Fund Mill Rate</v>
      </c>
      <c r="I75" s="573"/>
      <c r="J75" s="574"/>
      <c r="K75" s="500"/>
    </row>
    <row r="76" spans="2:11" ht="15.75">
      <c r="B76" s="33" t="s">
        <v>216</v>
      </c>
      <c r="C76" s="356">
        <f>C64-C75</f>
        <v>0</v>
      </c>
      <c r="D76" s="356">
        <f>D64-D75</f>
        <v>0</v>
      </c>
      <c r="E76" s="174" t="s">
        <v>106</v>
      </c>
      <c r="G76" s="576" t="str">
        <f>summ!F34</f>
        <v>  </v>
      </c>
      <c r="H76" s="551" t="str">
        <f>CONCATENATE("",E1-1," Fund Mill Rate")</f>
        <v>-1 Fund Mill Rate</v>
      </c>
      <c r="I76" s="573"/>
      <c r="J76" s="574"/>
      <c r="K76" s="500"/>
    </row>
    <row r="77" spans="2:11" ht="15.75">
      <c r="B77" s="73" t="str">
        <f>CONCATENATE("",E1-2,"/",E1-1,"/",E1," Budget Authority Amount:")</f>
        <v>-2/-1/0 Budget Authority Amount:</v>
      </c>
      <c r="C77" s="190">
        <f>inputOth!B81</f>
        <v>0</v>
      </c>
      <c r="D77" s="190">
        <f>inputPrYr!D31</f>
        <v>0</v>
      </c>
      <c r="E77" s="125">
        <f>E75</f>
        <v>0</v>
      </c>
      <c r="F77" s="186"/>
      <c r="G77" s="578">
        <f>summ!I45</f>
        <v>0</v>
      </c>
      <c r="H77" s="551" t="str">
        <f>CONCATENATE("Total ",E1," Mill Rate")</f>
        <v>Total 0 Mill Rate</v>
      </c>
      <c r="I77" s="573"/>
      <c r="J77" s="574"/>
      <c r="K77" s="500"/>
    </row>
    <row r="78" spans="2:11" ht="15.75">
      <c r="B78" s="3"/>
      <c r="C78" s="916" t="s">
        <v>638</v>
      </c>
      <c r="D78" s="917"/>
      <c r="E78" s="145"/>
      <c r="F78" s="186">
        <f>IF(E75/0.95-E75&lt;E78,"Exceeds 5%","")</f>
      </c>
      <c r="G78" s="576">
        <f>summ!F45</f>
        <v>0</v>
      </c>
      <c r="H78" s="579" t="str">
        <f>CONCATENATE("Total ",E1-1," Mill Rate")</f>
        <v>Total -1 Mill Rate</v>
      </c>
      <c r="I78" s="580"/>
      <c r="J78" s="581"/>
      <c r="K78" s="500"/>
    </row>
    <row r="79" spans="2:5" ht="15.75">
      <c r="B79" s="357" t="str">
        <f>CONCATENATE(C95,"     ",D95)</f>
        <v>     </v>
      </c>
      <c r="C79" s="918" t="s">
        <v>639</v>
      </c>
      <c r="D79" s="919"/>
      <c r="E79" s="125">
        <f>E75+E78</f>
        <v>0</v>
      </c>
    </row>
    <row r="80" spans="2:10" ht="15.75">
      <c r="B80" s="357" t="str">
        <f>CONCATENATE(C96,"     ",D96)</f>
        <v>     </v>
      </c>
      <c r="C80" s="343"/>
      <c r="D80" s="91" t="s">
        <v>135</v>
      </c>
      <c r="E80" s="185">
        <f>IF(E79-E64&gt;0,E79-E64,0)</f>
        <v>0</v>
      </c>
      <c r="G80" s="806" t="s">
        <v>839</v>
      </c>
      <c r="H80" s="781"/>
      <c r="I80" s="782"/>
      <c r="J80" s="783" t="str">
        <f>cert!F46</f>
        <v>No</v>
      </c>
    </row>
    <row r="81" spans="2:10" ht="15.75">
      <c r="B81" s="91"/>
      <c r="C81" s="433" t="s">
        <v>640</v>
      </c>
      <c r="D81" s="622">
        <f>inputOth!$E$67</f>
        <v>0</v>
      </c>
      <c r="E81" s="125">
        <f>ROUND(IF(D81&gt;0,(E80*D81),0),0)</f>
        <v>0</v>
      </c>
      <c r="G81" s="784" t="str">
        <f>CONCATENATE("Computed ",E1," tax levy limit amount")</f>
        <v>Computed 0 tax levy limit amount</v>
      </c>
      <c r="H81" s="785"/>
      <c r="I81" s="785"/>
      <c r="J81" s="786">
        <f>computationTown!J41</f>
        <v>0</v>
      </c>
    </row>
    <row r="82" spans="2:10" ht="15.75">
      <c r="B82" s="17"/>
      <c r="C82" s="920" t="str">
        <f>CONCATENATE("Amount of  ",$E$1-1," Ad Valorem Tax")</f>
        <v>Amount of  -1 Ad Valorem Tax</v>
      </c>
      <c r="D82" s="921"/>
      <c r="E82" s="185">
        <f>E80+E81</f>
        <v>0</v>
      </c>
      <c r="G82" s="787" t="str">
        <f>CONCATENATE("Total ",E1," tax levy amount")</f>
        <v>Total 0 tax levy amount</v>
      </c>
      <c r="H82" s="788"/>
      <c r="I82" s="788"/>
      <c r="J82" s="789">
        <f>summ!H45</f>
        <v>0</v>
      </c>
    </row>
    <row r="83" spans="2:10" ht="15.75">
      <c r="B83" s="17"/>
      <c r="C83" s="487"/>
      <c r="D83" s="487"/>
      <c r="E83" s="487"/>
      <c r="G83" s="839"/>
      <c r="H83" s="840"/>
      <c r="I83" s="840"/>
      <c r="J83" s="841"/>
    </row>
    <row r="84" spans="2:10" ht="15.75">
      <c r="B84" s="817" t="s">
        <v>983</v>
      </c>
      <c r="C84" s="834"/>
      <c r="D84" s="834"/>
      <c r="E84" s="835"/>
      <c r="G84" s="839"/>
      <c r="H84" s="840"/>
      <c r="I84" s="840"/>
      <c r="J84" s="841"/>
    </row>
    <row r="85" spans="2:10" ht="15.75">
      <c r="B85" s="440"/>
      <c r="C85" s="487"/>
      <c r="D85" s="487"/>
      <c r="E85" s="836"/>
      <c r="G85" s="839"/>
      <c r="H85" s="840"/>
      <c r="I85" s="840"/>
      <c r="J85" s="841"/>
    </row>
    <row r="86" spans="2:10" ht="15.75">
      <c r="B86" s="818"/>
      <c r="C86" s="837"/>
      <c r="D86" s="837"/>
      <c r="E86" s="838"/>
      <c r="G86" s="839"/>
      <c r="H86" s="840"/>
      <c r="I86" s="840"/>
      <c r="J86" s="841"/>
    </row>
    <row r="87" spans="2:10" ht="15.75">
      <c r="B87" s="17"/>
      <c r="C87" s="487"/>
      <c r="D87" s="487"/>
      <c r="E87" s="487"/>
      <c r="G87" s="839"/>
      <c r="H87" s="840"/>
      <c r="I87" s="840"/>
      <c r="J87" s="841"/>
    </row>
    <row r="88" spans="2:5" ht="15.75">
      <c r="B88" s="91" t="s">
        <v>116</v>
      </c>
      <c r="C88" s="719"/>
      <c r="D88" s="17"/>
      <c r="E88" s="17"/>
    </row>
    <row r="89" ht="15.75">
      <c r="B89" s="5"/>
    </row>
    <row r="93" spans="3:4" ht="15.75" hidden="1">
      <c r="C93" s="108">
        <f>IF(C34&gt;C36,"See Tab A","")</f>
      </c>
      <c r="D93" s="108">
        <f>IF(D34&gt;D36,"See Tab C","")</f>
      </c>
    </row>
    <row r="94" spans="3:4" ht="15.75" hidden="1">
      <c r="C94" s="108">
        <f>IF(C35&lt;0,"See Tab B","")</f>
      </c>
      <c r="D94" s="108">
        <f>IF(D35&lt;0,"See Tab D","")</f>
      </c>
    </row>
    <row r="95" spans="3:4" ht="15.75" hidden="1">
      <c r="C95" s="108">
        <f>IF(C75&gt;C77,"See Tab A","")</f>
      </c>
      <c r="D95" s="108">
        <f>IF(D75&gt;D77,"See Tab C","")</f>
      </c>
    </row>
    <row r="96" spans="3:4" ht="15.75" hidden="1">
      <c r="C96" s="108">
        <f>IF(C76&lt;0,"See Tab B","")</f>
      </c>
      <c r="D96" s="108">
        <f>IF(D76&lt;0,"See Tab D","")</f>
      </c>
    </row>
  </sheetData>
  <sheetProtection sheet="1"/>
  <mergeCells count="12">
    <mergeCell ref="G15:J15"/>
    <mergeCell ref="G22:J22"/>
    <mergeCell ref="G32:J32"/>
    <mergeCell ref="G56:J56"/>
    <mergeCell ref="G63:J63"/>
    <mergeCell ref="G73:J73"/>
    <mergeCell ref="C41:D41"/>
    <mergeCell ref="C82:D82"/>
    <mergeCell ref="C37:D37"/>
    <mergeCell ref="C38:D38"/>
    <mergeCell ref="C78:D78"/>
    <mergeCell ref="C79:D79"/>
  </mergeCells>
  <conditionalFormatting sqref="C73">
    <cfRule type="cellIs" priority="3" dxfId="179" operator="greaterThan" stopIfTrue="1">
      <formula>$C$75*0.1</formula>
    </cfRule>
  </conditionalFormatting>
  <conditionalFormatting sqref="D73">
    <cfRule type="cellIs" priority="4" dxfId="179" operator="greaterThan" stopIfTrue="1">
      <formula>$D$75*0.1</formula>
    </cfRule>
  </conditionalFormatting>
  <conditionalFormatting sqref="E73">
    <cfRule type="cellIs" priority="5" dxfId="179" operator="greaterThan" stopIfTrue="1">
      <formula>$E$75*0.1</formula>
    </cfRule>
  </conditionalFormatting>
  <conditionalFormatting sqref="C61">
    <cfRule type="cellIs" priority="6" dxfId="179" operator="greaterThan" stopIfTrue="1">
      <formula>$C$63*0.1</formula>
    </cfRule>
  </conditionalFormatting>
  <conditionalFormatting sqref="D61">
    <cfRule type="cellIs" priority="7" dxfId="179" operator="greaterThan" stopIfTrue="1">
      <formula>$D$63*0.1</formula>
    </cfRule>
  </conditionalFormatting>
  <conditionalFormatting sqref="E78">
    <cfRule type="cellIs" priority="8" dxfId="179" operator="greaterThan" stopIfTrue="1">
      <formula>$E$75/0.95-$E$75</formula>
    </cfRule>
  </conditionalFormatting>
  <conditionalFormatting sqref="C32">
    <cfRule type="cellIs" priority="9" dxfId="179" operator="greaterThan" stopIfTrue="1">
      <formula>$C$34*0.1</formula>
    </cfRule>
  </conditionalFormatting>
  <conditionalFormatting sqref="D32">
    <cfRule type="cellIs" priority="10" dxfId="179" operator="greaterThan" stopIfTrue="1">
      <formula>$D$34*0.1</formula>
    </cfRule>
  </conditionalFormatting>
  <conditionalFormatting sqref="E32">
    <cfRule type="cellIs" priority="11" dxfId="179" operator="greaterThan" stopIfTrue="1">
      <formula>$E$34*0.1</formula>
    </cfRule>
  </conditionalFormatting>
  <conditionalFormatting sqref="C20">
    <cfRule type="cellIs" priority="12" dxfId="179" operator="greaterThan" stopIfTrue="1">
      <formula>$C$22*0.1</formula>
    </cfRule>
  </conditionalFormatting>
  <conditionalFormatting sqref="D20">
    <cfRule type="cellIs" priority="13" dxfId="179" operator="greaterThan" stopIfTrue="1">
      <formula>$D$22*0.1</formula>
    </cfRule>
  </conditionalFormatting>
  <conditionalFormatting sqref="E37">
    <cfRule type="cellIs" priority="14" dxfId="179" operator="greaterThan" stopIfTrue="1">
      <formula>$E$34/0.95-$E$34</formula>
    </cfRule>
  </conditionalFormatting>
  <conditionalFormatting sqref="C35 C76">
    <cfRule type="cellIs" priority="15" dxfId="179" operator="lessThan" stopIfTrue="1">
      <formula>0</formula>
    </cfRule>
  </conditionalFormatting>
  <conditionalFormatting sqref="D35 D76">
    <cfRule type="cellIs" priority="2" dxfId="0" operator="lessThan" stopIfTrue="1">
      <formula>0</formula>
    </cfRule>
  </conditionalFormatting>
  <conditionalFormatting sqref="D34">
    <cfRule type="cellIs" priority="37" dxfId="5" operator="greaterThan" stopIfTrue="1">
      <formula>$D$36</formula>
    </cfRule>
  </conditionalFormatting>
  <conditionalFormatting sqref="C34">
    <cfRule type="cellIs" priority="52" dxfId="5" operator="greaterThan" stopIfTrue="1">
      <formula>$C$36</formula>
    </cfRule>
  </conditionalFormatting>
  <conditionalFormatting sqref="D75">
    <cfRule type="cellIs" priority="68" dxfId="5" operator="greaterThan" stopIfTrue="1">
      <formula>$D$77</formula>
    </cfRule>
  </conditionalFormatting>
  <conditionalFormatting sqref="C75">
    <cfRule type="cellIs" priority="83" dxfId="5" operator="greaterThan" stopIfTrue="1">
      <formula>$C$77</formula>
    </cfRule>
  </conditionalFormatting>
  <conditionalFormatting sqref="E20">
    <cfRule type="cellIs" priority="93" dxfId="179" operator="greaterThan" stopIfTrue="1">
      <formula>$E$22*0.1+$E$41</formula>
    </cfRule>
  </conditionalFormatting>
  <conditionalFormatting sqref="E61">
    <cfRule type="cellIs" priority="94" dxfId="179" operator="greaterThan" stopIfTrue="1">
      <formula>$E$63*0.1+$E$82</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04"/>
  <sheetViews>
    <sheetView zoomScalePageLayoutView="0" workbookViewId="0" topLeftCell="A1">
      <selection activeCell="AH20" sqref="AH20"/>
    </sheetView>
  </sheetViews>
  <sheetFormatPr defaultColWidth="8.796875" defaultRowHeight="15.75"/>
  <cols>
    <col min="1" max="1" width="10.69921875" style="108" customWidth="1"/>
    <col min="2" max="2" width="20.8984375" style="108" customWidth="1"/>
    <col min="3" max="3" width="11.69921875" style="108" customWidth="1"/>
    <col min="4" max="4" width="15" style="108" customWidth="1"/>
    <col min="5" max="5" width="14.09765625" style="108" customWidth="1"/>
    <col min="6" max="6" width="2.69921875" style="108" customWidth="1"/>
    <col min="7" max="7" width="18.59765625" style="108" customWidth="1"/>
    <col min="8" max="16384" width="8.796875" style="108" customWidth="1"/>
  </cols>
  <sheetData>
    <row r="1" spans="1:5" ht="15.75">
      <c r="A1" s="866" t="s">
        <v>805</v>
      </c>
      <c r="B1" s="867"/>
      <c r="C1" s="867"/>
      <c r="D1" s="867"/>
      <c r="E1" s="867"/>
    </row>
    <row r="2" spans="1:5" ht="15.75">
      <c r="A2" s="266"/>
      <c r="B2" s="17"/>
      <c r="C2" s="17"/>
      <c r="D2" s="17"/>
      <c r="E2" s="17"/>
    </row>
    <row r="3" spans="1:5" ht="15.75">
      <c r="A3" s="191" t="s">
        <v>806</v>
      </c>
      <c r="B3" s="17"/>
      <c r="C3" s="17"/>
      <c r="D3" s="480"/>
      <c r="E3" s="24"/>
    </row>
    <row r="4" spans="1:5" ht="15.75">
      <c r="A4" s="191" t="s">
        <v>807</v>
      </c>
      <c r="B4" s="17"/>
      <c r="C4" s="17"/>
      <c r="D4" s="480"/>
      <c r="E4" s="24"/>
    </row>
    <row r="5" spans="1:5" ht="15.75">
      <c r="A5" s="81" t="s">
        <v>808</v>
      </c>
      <c r="B5" s="17"/>
      <c r="C5" s="17"/>
      <c r="D5" s="121"/>
      <c r="E5" s="17"/>
    </row>
    <row r="6" spans="1:5" ht="15.75">
      <c r="A6" s="17"/>
      <c r="B6" s="17"/>
      <c r="C6" s="17"/>
      <c r="D6" s="17"/>
      <c r="E6" s="17"/>
    </row>
    <row r="7" spans="1:5" ht="15.75">
      <c r="A7" s="81" t="s">
        <v>809</v>
      </c>
      <c r="B7" s="17"/>
      <c r="C7" s="17"/>
      <c r="D7" s="267"/>
      <c r="E7" s="17"/>
    </row>
    <row r="8" spans="1:5" ht="15.75">
      <c r="A8" s="81"/>
      <c r="B8" s="17"/>
      <c r="C8" s="17"/>
      <c r="D8" s="17"/>
      <c r="E8" s="17"/>
    </row>
    <row r="9" spans="1:5" ht="15.75">
      <c r="A9" s="81" t="s">
        <v>980</v>
      </c>
      <c r="B9" s="17"/>
      <c r="C9" s="17"/>
      <c r="D9" s="815"/>
      <c r="E9" s="17"/>
    </row>
    <row r="10" spans="1:5" ht="15.75">
      <c r="A10" s="17"/>
      <c r="B10" s="17"/>
      <c r="C10" s="17"/>
      <c r="D10" s="17"/>
      <c r="E10" s="17"/>
    </row>
    <row r="11" spans="1:8" ht="15.75" customHeight="1">
      <c r="A11" s="868" t="s">
        <v>810</v>
      </c>
      <c r="B11" s="868"/>
      <c r="C11" s="868"/>
      <c r="D11" s="868"/>
      <c r="E11" s="868"/>
      <c r="F11" s="17"/>
      <c r="G11" s="869" t="s">
        <v>812</v>
      </c>
      <c r="H11" s="870"/>
    </row>
    <row r="12" spans="1:8" ht="15.75">
      <c r="A12" s="868"/>
      <c r="B12" s="868"/>
      <c r="C12" s="868"/>
      <c r="D12" s="868"/>
      <c r="E12" s="868"/>
      <c r="F12" s="17"/>
      <c r="G12" s="871"/>
      <c r="H12" s="872"/>
    </row>
    <row r="13" spans="1:8" ht="15.75">
      <c r="A13" s="868"/>
      <c r="B13" s="868"/>
      <c r="C13" s="868"/>
      <c r="D13" s="868"/>
      <c r="E13" s="868"/>
      <c r="F13" s="17"/>
      <c r="G13" s="871"/>
      <c r="H13" s="872"/>
    </row>
    <row r="14" spans="1:8" ht="15.75">
      <c r="A14" s="864" t="s">
        <v>811</v>
      </c>
      <c r="B14" s="865"/>
      <c r="C14" s="865"/>
      <c r="D14" s="865"/>
      <c r="E14" s="865"/>
      <c r="F14" s="17"/>
      <c r="G14" s="871"/>
      <c r="H14" s="872"/>
    </row>
    <row r="15" spans="1:8" ht="15.75">
      <c r="A15" s="191"/>
      <c r="B15" s="17"/>
      <c r="C15" s="17"/>
      <c r="D15" s="17"/>
      <c r="E15" s="17"/>
      <c r="F15" s="17"/>
      <c r="G15" s="871"/>
      <c r="H15" s="872"/>
    </row>
    <row r="16" spans="1:8" ht="15.75">
      <c r="A16" s="720" t="s">
        <v>231</v>
      </c>
      <c r="B16" s="721"/>
      <c r="C16" s="17"/>
      <c r="D16" s="20"/>
      <c r="E16" s="268"/>
      <c r="F16" s="17"/>
      <c r="G16" s="871"/>
      <c r="H16" s="872"/>
    </row>
    <row r="17" spans="1:8" ht="15.75">
      <c r="A17" s="722" t="str">
        <f>CONCATENATE("the ",D7-1," Budget, Certificate Page:")</f>
        <v>the -1 Budget, Certificate Page:</v>
      </c>
      <c r="B17" s="723"/>
      <c r="C17" s="20"/>
      <c r="D17" s="269">
        <f>D7-1</f>
        <v>-1</v>
      </c>
      <c r="E17" s="269">
        <f>D7-2</f>
        <v>-2</v>
      </c>
      <c r="F17" s="17"/>
      <c r="G17" s="873"/>
      <c r="H17" s="874"/>
    </row>
    <row r="18" spans="1:8" ht="15.75">
      <c r="A18" s="724" t="s">
        <v>275</v>
      </c>
      <c r="B18" s="725"/>
      <c r="C18" s="20"/>
      <c r="D18" s="270"/>
      <c r="E18" s="270"/>
      <c r="F18" s="17"/>
      <c r="G18" s="97" t="s">
        <v>719</v>
      </c>
      <c r="H18" s="47" t="s">
        <v>136</v>
      </c>
    </row>
    <row r="19" spans="1:8" ht="15.75">
      <c r="A19" s="25" t="s">
        <v>88</v>
      </c>
      <c r="B19" s="17"/>
      <c r="C19" s="271" t="s">
        <v>87</v>
      </c>
      <c r="D19" s="272" t="s">
        <v>290</v>
      </c>
      <c r="E19" s="272" t="s">
        <v>123</v>
      </c>
      <c r="F19" s="83"/>
      <c r="G19" s="99" t="str">
        <f>CONCATENATE("",E18," Ad Valorem Tax")</f>
        <v> Ad Valorem Tax</v>
      </c>
      <c r="H19" s="496">
        <v>0</v>
      </c>
    </row>
    <row r="20" spans="1:7" ht="15.75">
      <c r="A20" s="25"/>
      <c r="B20" s="48">
        <f>D5</f>
        <v>0</v>
      </c>
      <c r="C20" s="47" t="s">
        <v>17</v>
      </c>
      <c r="D20" s="273"/>
      <c r="E20" s="273"/>
      <c r="F20" s="83"/>
      <c r="G20" s="125">
        <f>IF(H19&gt;0,ROUND(E20-(E20*H19),0),0)</f>
        <v>0</v>
      </c>
    </row>
    <row r="21" spans="1:7" ht="15.75">
      <c r="A21" s="25"/>
      <c r="B21" s="24"/>
      <c r="C21" s="52"/>
      <c r="D21" s="83"/>
      <c r="E21" s="83"/>
      <c r="F21" s="83"/>
      <c r="G21" s="83"/>
    </row>
    <row r="22" spans="1:8" ht="15.75">
      <c r="A22" s="25"/>
      <c r="B22" s="24"/>
      <c r="C22" s="52"/>
      <c r="D22" s="83"/>
      <c r="E22" s="83"/>
      <c r="F22" s="83"/>
      <c r="G22" s="97" t="s">
        <v>719</v>
      </c>
      <c r="H22" s="47" t="s">
        <v>136</v>
      </c>
    </row>
    <row r="23" spans="1:8" ht="15.75">
      <c r="A23" s="274" t="s">
        <v>49</v>
      </c>
      <c r="B23" s="24"/>
      <c r="C23" s="52"/>
      <c r="D23" s="275"/>
      <c r="E23" s="276"/>
      <c r="F23" s="83"/>
      <c r="G23" s="99" t="str">
        <f>CONCATENATE("",E22," Ad Valorem Tax")</f>
        <v> Ad Valorem Tax</v>
      </c>
      <c r="H23" s="496">
        <v>0</v>
      </c>
    </row>
    <row r="24" spans="1:7" ht="15.75">
      <c r="A24" s="17"/>
      <c r="B24" s="43" t="s">
        <v>89</v>
      </c>
      <c r="C24" s="37" t="s">
        <v>90</v>
      </c>
      <c r="D24" s="146"/>
      <c r="E24" s="749"/>
      <c r="F24" s="713"/>
      <c r="G24" s="125">
        <f>IF(H23&gt;0,ROUND(E24-(E24*H23),0),0)</f>
        <v>0</v>
      </c>
    </row>
    <row r="25" spans="1:7" ht="15.75">
      <c r="A25" s="17"/>
      <c r="B25" s="43" t="s">
        <v>268</v>
      </c>
      <c r="C25" s="37" t="s">
        <v>236</v>
      </c>
      <c r="D25" s="146"/>
      <c r="E25" s="749"/>
      <c r="F25" s="713"/>
      <c r="G25" s="125">
        <f>IF(H23&gt;0,ROUND(E25-(E25*H23),0),0)</f>
        <v>0</v>
      </c>
    </row>
    <row r="26" spans="1:7" ht="15.75">
      <c r="A26" s="17"/>
      <c r="B26" s="43" t="s">
        <v>650</v>
      </c>
      <c r="C26" s="37" t="s">
        <v>651</v>
      </c>
      <c r="D26" s="146"/>
      <c r="E26" s="749"/>
      <c r="F26" s="713"/>
      <c r="G26" s="125">
        <f>IF(H23&gt;0,ROUND(E26-(E26*H23),0),0)</f>
        <v>0</v>
      </c>
    </row>
    <row r="27" spans="1:7" ht="15.75">
      <c r="A27" s="17"/>
      <c r="B27" s="43" t="s">
        <v>91</v>
      </c>
      <c r="C27" s="47" t="s">
        <v>272</v>
      </c>
      <c r="D27" s="146"/>
      <c r="E27" s="749"/>
      <c r="F27" s="713"/>
      <c r="G27" s="125">
        <f>IF(H23&gt;0,ROUND(E27-(E27*H23),0),0)</f>
        <v>0</v>
      </c>
    </row>
    <row r="28" spans="1:7" ht="15.75">
      <c r="A28" s="17"/>
      <c r="B28" s="48" t="s">
        <v>270</v>
      </c>
      <c r="C28" s="47" t="s">
        <v>273</v>
      </c>
      <c r="D28" s="146"/>
      <c r="E28" s="749"/>
      <c r="F28" s="713"/>
      <c r="G28" s="125">
        <f>IF(H23&gt;0,ROUND(E28-(E28*H23),0),0)</f>
        <v>0</v>
      </c>
    </row>
    <row r="29" spans="1:7" ht="15.75">
      <c r="A29" s="17"/>
      <c r="B29" s="48" t="s">
        <v>271</v>
      </c>
      <c r="C29" s="47" t="s">
        <v>274</v>
      </c>
      <c r="D29" s="146"/>
      <c r="E29" s="749"/>
      <c r="F29" s="713"/>
      <c r="G29" s="125">
        <f>IF(H23&gt;0,ROUND(E29-(E29*H23),0),0)</f>
        <v>0</v>
      </c>
    </row>
    <row r="30" spans="1:7" ht="15.75">
      <c r="A30" s="17"/>
      <c r="B30" s="751"/>
      <c r="C30" s="429"/>
      <c r="D30" s="146"/>
      <c r="E30" s="749"/>
      <c r="F30" s="713"/>
      <c r="G30" s="125">
        <f>IF(H23&gt;0,ROUND(E30-(E30*H23),0),0)</f>
        <v>0</v>
      </c>
    </row>
    <row r="31" spans="1:7" ht="15.75">
      <c r="A31" s="17"/>
      <c r="B31" s="749"/>
      <c r="C31" s="429"/>
      <c r="D31" s="146"/>
      <c r="E31" s="749"/>
      <c r="F31" s="713"/>
      <c r="G31" s="125">
        <f>IF(H23&gt;0,ROUND(E31-(E31*H23),0),0)</f>
        <v>0</v>
      </c>
    </row>
    <row r="32" spans="1:7" ht="15.75">
      <c r="A32" s="17"/>
      <c r="B32" s="750"/>
      <c r="C32" s="429"/>
      <c r="D32" s="146"/>
      <c r="E32" s="749"/>
      <c r="F32" s="713"/>
      <c r="G32" s="125">
        <f>IF(H23&gt;0,ROUND(E32-(E32*H23),0),0)</f>
        <v>0</v>
      </c>
    </row>
    <row r="33" spans="1:7" ht="15.75">
      <c r="A33" s="17"/>
      <c r="B33" s="750"/>
      <c r="C33" s="429"/>
      <c r="D33" s="146"/>
      <c r="E33" s="749"/>
      <c r="F33" s="713"/>
      <c r="G33" s="125">
        <f>IF(H23&gt;0,ROUND(E33-(E33*H23),0),0)</f>
        <v>0</v>
      </c>
    </row>
    <row r="34" spans="1:7" ht="15.75">
      <c r="A34" s="17"/>
      <c r="B34" s="750"/>
      <c r="C34" s="429"/>
      <c r="D34" s="146"/>
      <c r="E34" s="146"/>
      <c r="F34" s="713"/>
      <c r="G34" s="125">
        <f>IF(H23&gt;0,ROUND(E34-(E34*H23),0),0)</f>
        <v>0</v>
      </c>
    </row>
    <row r="35" spans="1:7" ht="15.75">
      <c r="A35" s="17"/>
      <c r="B35" s="750"/>
      <c r="C35" s="429"/>
      <c r="D35" s="146"/>
      <c r="E35" s="146"/>
      <c r="F35" s="713"/>
      <c r="G35" s="125">
        <f>IF(H23&gt;0,ROUND(E35-(E35*H23),0),0)</f>
        <v>0</v>
      </c>
    </row>
    <row r="36" spans="1:5" ht="15.75">
      <c r="A36" s="277" t="str">
        <f>CONCATENATE("Total Ad Valorem Tax for ",D7-1," Budgeted Year")</f>
        <v>Total Ad Valorem Tax for -1 Budgeted Year</v>
      </c>
      <c r="B36" s="31"/>
      <c r="C36" s="42"/>
      <c r="D36" s="278"/>
      <c r="E36" s="279">
        <f>SUM(E24:E35)</f>
        <v>0</v>
      </c>
    </row>
    <row r="37" spans="1:5" ht="15.75">
      <c r="A37" s="24"/>
      <c r="B37" s="24"/>
      <c r="C37" s="24"/>
      <c r="D37" s="105"/>
      <c r="E37" s="70"/>
    </row>
    <row r="38" spans="1:5" ht="15.75">
      <c r="A38" s="17" t="s">
        <v>227</v>
      </c>
      <c r="B38" s="17"/>
      <c r="C38" s="17"/>
      <c r="D38" s="17"/>
      <c r="E38" s="17"/>
    </row>
    <row r="39" spans="1:5" ht="15.75">
      <c r="A39" s="17"/>
      <c r="B39" s="121"/>
      <c r="C39" s="17"/>
      <c r="D39" s="175"/>
      <c r="E39" s="24"/>
    </row>
    <row r="40" spans="1:5" ht="15.75">
      <c r="A40" s="17"/>
      <c r="B40" s="121"/>
      <c r="C40" s="17"/>
      <c r="D40" s="175"/>
      <c r="E40" s="24"/>
    </row>
    <row r="41" spans="1:5" ht="15.75">
      <c r="A41" s="17"/>
      <c r="B41" s="121"/>
      <c r="C41" s="17"/>
      <c r="D41" s="175"/>
      <c r="E41" s="17"/>
    </row>
    <row r="42" spans="1:5" ht="15.75">
      <c r="A42" s="17"/>
      <c r="B42" s="121"/>
      <c r="C42" s="17"/>
      <c r="D42" s="175"/>
      <c r="E42" s="17"/>
    </row>
    <row r="43" spans="1:5" ht="15.75">
      <c r="A43" s="31" t="str">
        <f>CONCATENATE("Total Expenditures for ",D7-1," Budgeted Year")</f>
        <v>Total Expenditures for -1 Budgeted Year</v>
      </c>
      <c r="B43" s="31"/>
      <c r="C43" s="49"/>
      <c r="D43" s="185">
        <f>SUM(D24:D35,D39:D42)</f>
        <v>0</v>
      </c>
      <c r="E43" s="17"/>
    </row>
    <row r="44" spans="1:5" ht="15.75">
      <c r="A44" s="65" t="s">
        <v>277</v>
      </c>
      <c r="B44" s="24"/>
      <c r="C44" s="24"/>
      <c r="D44" s="17"/>
      <c r="E44" s="17"/>
    </row>
    <row r="45" spans="1:5" ht="15.75">
      <c r="A45" s="208">
        <v>1</v>
      </c>
      <c r="B45" s="121"/>
      <c r="C45" s="24"/>
      <c r="D45" s="17"/>
      <c r="E45" s="17"/>
    </row>
    <row r="46" spans="1:5" ht="15.75">
      <c r="A46" s="208">
        <v>2</v>
      </c>
      <c r="B46" s="121"/>
      <c r="C46" s="24"/>
      <c r="D46" s="17"/>
      <c r="E46" s="17"/>
    </row>
    <row r="47" spans="1:5" ht="15.75">
      <c r="A47" s="208">
        <v>3</v>
      </c>
      <c r="B47" s="121"/>
      <c r="C47" s="24"/>
      <c r="D47" s="17"/>
      <c r="E47" s="17"/>
    </row>
    <row r="48" spans="1:5" ht="15.75">
      <c r="A48" s="208">
        <v>4</v>
      </c>
      <c r="B48" s="121"/>
      <c r="C48" s="24"/>
      <c r="D48" s="17"/>
      <c r="E48" s="17"/>
    </row>
    <row r="49" spans="1:5" ht="15.75">
      <c r="A49" s="208">
        <v>5</v>
      </c>
      <c r="B49" s="121"/>
      <c r="C49" s="24"/>
      <c r="D49" s="17"/>
      <c r="E49" s="17"/>
    </row>
    <row r="50" spans="1:5" ht="15.75">
      <c r="A50" s="17"/>
      <c r="B50" s="17"/>
      <c r="C50" s="17"/>
      <c r="D50" s="17"/>
      <c r="E50" s="17"/>
    </row>
    <row r="51" spans="1:5" ht="15.75" customHeight="1">
      <c r="A51" s="720" t="s">
        <v>231</v>
      </c>
      <c r="B51" s="721"/>
      <c r="C51" s="17"/>
      <c r="D51" s="862" t="str">
        <f>CONCATENATE("",D7-3," Tax Rate          (",D7-2," Column)")</f>
        <v>-3 Tax Rate          (-2 Column)</v>
      </c>
      <c r="E51" s="17"/>
    </row>
    <row r="52" spans="1:5" ht="15.75">
      <c r="A52" s="724" t="str">
        <f>CONCATENATE("the ",D7-1," Budget, Budget Summary Page:")</f>
        <v>the -1 Budget, Budget Summary Page:</v>
      </c>
      <c r="B52" s="726"/>
      <c r="C52" s="17"/>
      <c r="D52" s="863"/>
      <c r="E52" s="17"/>
    </row>
    <row r="53" spans="1:5" ht="15.75">
      <c r="A53" s="191"/>
      <c r="B53" s="664">
        <f>B20</f>
        <v>0</v>
      </c>
      <c r="C53" s="17"/>
      <c r="D53" s="280"/>
      <c r="E53" s="17"/>
    </row>
    <row r="54" spans="1:5" ht="15.75">
      <c r="A54" s="281" t="s">
        <v>49</v>
      </c>
      <c r="B54" s="24"/>
      <c r="C54" s="17"/>
      <c r="D54" s="282"/>
      <c r="E54" s="17"/>
    </row>
    <row r="55" spans="1:5" ht="15.75">
      <c r="A55" s="17"/>
      <c r="B55" s="53" t="str">
        <f>B24</f>
        <v>General</v>
      </c>
      <c r="C55" s="17"/>
      <c r="D55" s="280"/>
      <c r="E55" s="17"/>
    </row>
    <row r="56" spans="1:5" ht="15.75">
      <c r="A56" s="17"/>
      <c r="B56" s="53" t="str">
        <f>B25</f>
        <v>Debt Service</v>
      </c>
      <c r="C56" s="17"/>
      <c r="D56" s="280"/>
      <c r="E56" s="17"/>
    </row>
    <row r="57" spans="1:5" ht="15.75">
      <c r="A57" s="17"/>
      <c r="B57" s="53" t="str">
        <f>B26</f>
        <v>Library</v>
      </c>
      <c r="C57" s="17"/>
      <c r="D57" s="280"/>
      <c r="E57" s="17"/>
    </row>
    <row r="58" spans="1:5" ht="15.75">
      <c r="A58" s="17"/>
      <c r="B58" s="53" t="str">
        <f aca="true" t="shared" si="0" ref="B58:B66">B27</f>
        <v>Road</v>
      </c>
      <c r="C58" s="17"/>
      <c r="D58" s="280"/>
      <c r="E58" s="17"/>
    </row>
    <row r="59" spans="1:5" ht="15.75">
      <c r="A59" s="17"/>
      <c r="B59" s="43" t="str">
        <f t="shared" si="0"/>
        <v>Special Road</v>
      </c>
      <c r="C59" s="17"/>
      <c r="D59" s="280"/>
      <c r="E59" s="17"/>
    </row>
    <row r="60" spans="1:5" ht="15.75">
      <c r="A60" s="17"/>
      <c r="B60" s="43" t="str">
        <f t="shared" si="0"/>
        <v>Noxious Weed</v>
      </c>
      <c r="C60" s="17"/>
      <c r="D60" s="280"/>
      <c r="E60" s="17"/>
    </row>
    <row r="61" spans="1:5" ht="15.75">
      <c r="A61" s="17"/>
      <c r="B61" s="43">
        <f t="shared" si="0"/>
        <v>0</v>
      </c>
      <c r="C61" s="17"/>
      <c r="D61" s="280"/>
      <c r="E61" s="17"/>
    </row>
    <row r="62" spans="1:5" ht="15.75">
      <c r="A62" s="17"/>
      <c r="B62" s="43">
        <f t="shared" si="0"/>
        <v>0</v>
      </c>
      <c r="C62" s="17"/>
      <c r="D62" s="280"/>
      <c r="E62" s="17"/>
    </row>
    <row r="63" spans="1:5" ht="15.75">
      <c r="A63" s="17"/>
      <c r="B63" s="43">
        <f t="shared" si="0"/>
        <v>0</v>
      </c>
      <c r="C63" s="17"/>
      <c r="D63" s="280"/>
      <c r="E63" s="17"/>
    </row>
    <row r="64" spans="1:5" ht="15.75">
      <c r="A64" s="17"/>
      <c r="B64" s="43">
        <f t="shared" si="0"/>
        <v>0</v>
      </c>
      <c r="C64" s="17"/>
      <c r="D64" s="280"/>
      <c r="E64" s="17"/>
    </row>
    <row r="65" spans="1:5" ht="15.75">
      <c r="A65" s="17"/>
      <c r="B65" s="43">
        <f t="shared" si="0"/>
        <v>0</v>
      </c>
      <c r="C65" s="17"/>
      <c r="D65" s="280"/>
      <c r="E65" s="17"/>
    </row>
    <row r="66" spans="1:5" ht="15.75">
      <c r="A66" s="17"/>
      <c r="B66" s="43">
        <f t="shared" si="0"/>
        <v>0</v>
      </c>
      <c r="C66" s="17"/>
      <c r="D66" s="280"/>
      <c r="E66" s="17"/>
    </row>
    <row r="67" spans="1:5" ht="16.5" thickBot="1">
      <c r="A67" s="30" t="str">
        <f>CONCATENATE("Total ",D7-3," Tax Rate")</f>
        <v>Total -3 Tax Rate</v>
      </c>
      <c r="B67" s="283"/>
      <c r="C67" s="49"/>
      <c r="D67" s="284">
        <f>SUM(D55:D66)</f>
        <v>0</v>
      </c>
      <c r="E67" s="17"/>
    </row>
    <row r="68" spans="1:5" ht="16.5" thickTop="1">
      <c r="A68" s="17"/>
      <c r="B68" s="17"/>
      <c r="C68" s="17"/>
      <c r="D68" s="17"/>
      <c r="E68" s="17"/>
    </row>
    <row r="69" spans="1:5" ht="15.75">
      <c r="A69" s="727" t="str">
        <f>CONCATENATE("Total Tax Levied (",D7-2," budget column):")</f>
        <v>Total Tax Levied (-2 budget column):</v>
      </c>
      <c r="B69" s="728"/>
      <c r="C69" s="24"/>
      <c r="D69" s="24"/>
      <c r="E69" s="285"/>
    </row>
    <row r="70" spans="1:5" ht="15.75">
      <c r="A70" s="30" t="s">
        <v>15</v>
      </c>
      <c r="B70" s="31"/>
      <c r="C70" s="31"/>
      <c r="D70" s="31"/>
      <c r="E70" s="146"/>
    </row>
    <row r="71" spans="1:5" ht="15.75">
      <c r="A71" s="286">
        <f>B20</f>
        <v>0</v>
      </c>
      <c r="B71" s="42"/>
      <c r="C71" s="42"/>
      <c r="D71" s="42"/>
      <c r="E71" s="146"/>
    </row>
    <row r="72" spans="1:5" ht="15.75">
      <c r="A72" s="729" t="str">
        <f>CONCATENATE("Assessed Valuation (",D7-2," budget column):")</f>
        <v>Assessed Valuation (-2 budget column):</v>
      </c>
      <c r="B72" s="728"/>
      <c r="C72" s="17"/>
      <c r="D72" s="17"/>
      <c r="E72" s="285"/>
    </row>
    <row r="73" spans="1:5" ht="15.75">
      <c r="A73" s="30" t="s">
        <v>15</v>
      </c>
      <c r="B73" s="31"/>
      <c r="C73" s="31"/>
      <c r="D73" s="31"/>
      <c r="E73" s="687"/>
    </row>
    <row r="74" spans="1:5" ht="15.75">
      <c r="A74" s="30">
        <f>B20</f>
        <v>0</v>
      </c>
      <c r="B74" s="31"/>
      <c r="C74" s="31"/>
      <c r="D74" s="31"/>
      <c r="E74" s="687"/>
    </row>
    <row r="75" spans="1:5" ht="15.75">
      <c r="A75" s="65"/>
      <c r="B75" s="24"/>
      <c r="C75" s="24"/>
      <c r="D75" s="24"/>
      <c r="E75" s="285"/>
    </row>
    <row r="76" spans="1:5" ht="15.75">
      <c r="A76" s="17"/>
      <c r="B76" s="17"/>
      <c r="C76" s="17"/>
      <c r="D76" s="17"/>
      <c r="E76" s="77"/>
    </row>
    <row r="77" spans="1:5" ht="15.75">
      <c r="A77" s="730" t="s">
        <v>26</v>
      </c>
      <c r="B77" s="721"/>
      <c r="C77" s="124"/>
      <c r="D77" s="287">
        <f>D7-3</f>
        <v>-3</v>
      </c>
      <c r="E77" s="287">
        <f>D7-2</f>
        <v>-2</v>
      </c>
    </row>
    <row r="78" spans="1:5" ht="15.75">
      <c r="A78" s="731" t="s">
        <v>245</v>
      </c>
      <c r="B78" s="732"/>
      <c r="C78" s="288"/>
      <c r="D78" s="175"/>
      <c r="E78" s="175"/>
    </row>
    <row r="79" spans="1:5" ht="15.75">
      <c r="A79" s="733" t="s">
        <v>246</v>
      </c>
      <c r="B79" s="728"/>
      <c r="C79" s="290"/>
      <c r="D79" s="175"/>
      <c r="E79" s="175"/>
    </row>
    <row r="80" spans="1:5" ht="15.75">
      <c r="A80" s="733" t="s">
        <v>247</v>
      </c>
      <c r="B80" s="728"/>
      <c r="C80" s="290"/>
      <c r="D80" s="175"/>
      <c r="E80" s="175"/>
    </row>
    <row r="81" spans="1:5" ht="15.75">
      <c r="A81" s="733"/>
      <c r="B81" s="728"/>
      <c r="C81" s="291"/>
      <c r="D81" s="175"/>
      <c r="E81" s="175"/>
    </row>
    <row r="82" spans="1:5" ht="15.75">
      <c r="A82" s="5"/>
      <c r="B82" s="5"/>
      <c r="C82" s="5"/>
      <c r="D82" s="5"/>
      <c r="E82" s="5"/>
    </row>
    <row r="83" spans="1:5" ht="15.75">
      <c r="A83" s="5"/>
      <c r="B83" s="5"/>
      <c r="C83" s="5"/>
      <c r="D83" s="5"/>
      <c r="E83" s="5"/>
    </row>
    <row r="84" spans="1:5" ht="15.75">
      <c r="A84" s="5"/>
      <c r="B84" s="5"/>
      <c r="C84" s="5"/>
      <c r="D84" s="5"/>
      <c r="E84" s="5"/>
    </row>
    <row r="85" spans="1:5" ht="15.75">
      <c r="A85" s="5"/>
      <c r="B85" s="5"/>
      <c r="C85" s="5"/>
      <c r="D85" s="5"/>
      <c r="E85" s="5"/>
    </row>
    <row r="86" spans="1:5" ht="15.75">
      <c r="A86" s="5"/>
      <c r="B86" s="5"/>
      <c r="C86" s="5"/>
      <c r="D86" s="5"/>
      <c r="E86" s="5"/>
    </row>
    <row r="87" spans="1:5" ht="15.75">
      <c r="A87" s="5"/>
      <c r="B87" s="5"/>
      <c r="C87" s="5"/>
      <c r="D87" s="5"/>
      <c r="E87" s="5"/>
    </row>
    <row r="88" spans="1:5" ht="15.75">
      <c r="A88" s="5"/>
      <c r="B88" s="5"/>
      <c r="C88" s="5"/>
      <c r="D88" s="5"/>
      <c r="E88" s="5"/>
    </row>
    <row r="89" spans="1:5" ht="15.75">
      <c r="A89" s="5"/>
      <c r="B89" s="5"/>
      <c r="C89" s="5"/>
      <c r="D89" s="5"/>
      <c r="E89" s="5"/>
    </row>
    <row r="90" spans="1:5" ht="15.75">
      <c r="A90" s="5"/>
      <c r="B90" s="5"/>
      <c r="C90" s="5"/>
      <c r="D90" s="5"/>
      <c r="E90" s="5"/>
    </row>
    <row r="91" spans="1:5" ht="15.75">
      <c r="A91" s="5"/>
      <c r="B91" s="5"/>
      <c r="C91" s="5"/>
      <c r="D91" s="5"/>
      <c r="E91" s="5"/>
    </row>
    <row r="92" spans="1:5" s="292" customFormat="1" ht="15.75">
      <c r="A92" s="5"/>
      <c r="B92" s="5"/>
      <c r="C92" s="5"/>
      <c r="D92" s="5"/>
      <c r="E92" s="5"/>
    </row>
    <row r="93" spans="1:5" ht="15.75">
      <c r="A93" s="5"/>
      <c r="B93" s="5"/>
      <c r="C93" s="5"/>
      <c r="D93" s="5"/>
      <c r="E93" s="5"/>
    </row>
    <row r="94" spans="1:5" ht="15.75">
      <c r="A94" s="5"/>
      <c r="B94" s="5"/>
      <c r="C94" s="5"/>
      <c r="D94" s="5"/>
      <c r="E94" s="5"/>
    </row>
    <row r="95" spans="1:5" ht="15.75">
      <c r="A95" s="5"/>
      <c r="B95" s="5"/>
      <c r="C95" s="5"/>
      <c r="D95" s="5"/>
      <c r="E95" s="5"/>
    </row>
    <row r="96" spans="1:5" ht="15.75">
      <c r="A96" s="5"/>
      <c r="B96" s="5"/>
      <c r="C96" s="5"/>
      <c r="D96" s="5"/>
      <c r="E96" s="5"/>
    </row>
    <row r="97" spans="1:5" ht="15.75">
      <c r="A97" s="5"/>
      <c r="B97" s="5"/>
      <c r="C97" s="5"/>
      <c r="D97" s="5"/>
      <c r="E97" s="5"/>
    </row>
    <row r="98" spans="1:5" ht="15.75">
      <c r="A98" s="5"/>
      <c r="B98" s="5"/>
      <c r="C98" s="5"/>
      <c r="D98" s="5"/>
      <c r="E98" s="5"/>
    </row>
    <row r="99" spans="1:5" ht="15.75">
      <c r="A99" s="5"/>
      <c r="B99" s="5"/>
      <c r="C99" s="5"/>
      <c r="D99" s="5"/>
      <c r="E99" s="5"/>
    </row>
    <row r="100" spans="1:5" ht="15.75">
      <c r="A100" s="5"/>
      <c r="B100" s="5"/>
      <c r="C100" s="5"/>
      <c r="D100" s="5"/>
      <c r="E100" s="5"/>
    </row>
    <row r="101" spans="1:5" ht="15.75">
      <c r="A101" s="5"/>
      <c r="B101" s="5"/>
      <c r="C101" s="5"/>
      <c r="D101" s="5"/>
      <c r="E101" s="5"/>
    </row>
    <row r="102" s="5" customFormat="1" ht="15.75">
      <c r="G102" s="108"/>
    </row>
    <row r="103" s="5" customFormat="1" ht="15.75">
      <c r="G103" s="108"/>
    </row>
    <row r="104" spans="1:5" ht="15.75">
      <c r="A104" s="5"/>
      <c r="B104" s="5"/>
      <c r="C104" s="5"/>
      <c r="D104" s="5"/>
      <c r="E104" s="5"/>
    </row>
  </sheetData>
  <sheetProtection/>
  <mergeCells count="5">
    <mergeCell ref="D51:D52"/>
    <mergeCell ref="A14:E14"/>
    <mergeCell ref="A1:E1"/>
    <mergeCell ref="A11:E13"/>
    <mergeCell ref="G11:H17"/>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90" sqref="L90"/>
    </sheetView>
  </sheetViews>
  <sheetFormatPr defaultColWidth="8.796875" defaultRowHeight="15.75"/>
  <cols>
    <col min="1" max="1" width="2.3984375" style="108" customWidth="1"/>
    <col min="2" max="2" width="31" style="108" customWidth="1"/>
    <col min="3" max="4" width="15.69921875" style="108" customWidth="1"/>
    <col min="5" max="5" width="13.69921875" style="108" customWidth="1"/>
    <col min="6" max="6" width="8.796875" style="108" customWidth="1"/>
    <col min="7" max="7" width="9.19921875" style="108" customWidth="1"/>
    <col min="8" max="8" width="8.796875" style="108" customWidth="1"/>
    <col min="9" max="9" width="4.5" style="108" customWidth="1"/>
    <col min="10" max="10" width="9" style="108" customWidth="1"/>
    <col min="11" max="16384" width="8.796875" style="108" customWidth="1"/>
  </cols>
  <sheetData>
    <row r="1" spans="2:5" ht="15.75">
      <c r="B1" s="74">
        <f>inputPrYr!D3</f>
        <v>0</v>
      </c>
      <c r="C1" s="17"/>
      <c r="D1" s="17"/>
      <c r="E1" s="90">
        <f>inputPrYr!D7</f>
        <v>0</v>
      </c>
    </row>
    <row r="2" spans="2:5" ht="15.75">
      <c r="B2" s="81" t="s">
        <v>178</v>
      </c>
      <c r="C2" s="17"/>
      <c r="D2" s="103"/>
      <c r="E2" s="19"/>
    </row>
    <row r="3" spans="2:5" ht="15.75">
      <c r="B3" s="17"/>
      <c r="C3" s="23"/>
      <c r="D3" s="23"/>
      <c r="E3" s="23"/>
    </row>
    <row r="4" spans="2:5" ht="15.75">
      <c r="B4" s="25" t="s">
        <v>117</v>
      </c>
      <c r="C4" s="353" t="s">
        <v>118</v>
      </c>
      <c r="D4" s="354" t="s">
        <v>119</v>
      </c>
      <c r="E4" s="27" t="s">
        <v>120</v>
      </c>
    </row>
    <row r="5" spans="2:5" ht="15.75">
      <c r="B5" s="428">
        <f>inputPrYr!B32</f>
        <v>0</v>
      </c>
      <c r="C5" s="170" t="str">
        <f>gen!C5</f>
        <v>Actual for -2</v>
      </c>
      <c r="D5" s="170" t="str">
        <f>gen!D5</f>
        <v>Estimate for -1</v>
      </c>
      <c r="E5" s="32" t="str">
        <f>gen!E5</f>
        <v>Year for 0</v>
      </c>
    </row>
    <row r="6" spans="2:5" ht="15.75">
      <c r="B6" s="33" t="s">
        <v>215</v>
      </c>
      <c r="C6" s="171"/>
      <c r="D6" s="351">
        <f>C35</f>
        <v>0</v>
      </c>
      <c r="E6" s="125">
        <f>D35</f>
        <v>0</v>
      </c>
    </row>
    <row r="7" spans="2:5" ht="15.75">
      <c r="B7" s="33" t="s">
        <v>217</v>
      </c>
      <c r="C7" s="351"/>
      <c r="D7" s="351"/>
      <c r="E7" s="174"/>
    </row>
    <row r="8" spans="2:5" ht="15.75">
      <c r="B8" s="33" t="s">
        <v>123</v>
      </c>
      <c r="C8" s="171"/>
      <c r="D8" s="351">
        <f>IF(inputPrYr!H23&gt;0,inputPrYr!G32,inputPrYr!E32)</f>
        <v>0</v>
      </c>
      <c r="E8" s="174" t="s">
        <v>106</v>
      </c>
    </row>
    <row r="9" spans="2:5" ht="15.75">
      <c r="B9" s="33" t="s">
        <v>124</v>
      </c>
      <c r="C9" s="171"/>
      <c r="D9" s="171"/>
      <c r="E9" s="145"/>
    </row>
    <row r="10" spans="2:5" ht="15.75">
      <c r="B10" s="33" t="s">
        <v>125</v>
      </c>
      <c r="C10" s="171"/>
      <c r="D10" s="171"/>
      <c r="E10" s="125">
        <f>mvalloc!D19</f>
        <v>0</v>
      </c>
    </row>
    <row r="11" spans="2:5" ht="15.75">
      <c r="B11" s="33" t="s">
        <v>126</v>
      </c>
      <c r="C11" s="171"/>
      <c r="D11" s="171"/>
      <c r="E11" s="125">
        <f>mvalloc!E19</f>
        <v>0</v>
      </c>
    </row>
    <row r="12" spans="2:5" ht="15.75">
      <c r="B12" s="33" t="s">
        <v>205</v>
      </c>
      <c r="C12" s="171"/>
      <c r="D12" s="171"/>
      <c r="E12" s="125">
        <f>mvalloc!F19</f>
        <v>0</v>
      </c>
    </row>
    <row r="13" spans="2:5" ht="15.75">
      <c r="B13" s="753" t="s">
        <v>818</v>
      </c>
      <c r="C13" s="171"/>
      <c r="D13" s="171"/>
      <c r="E13" s="125">
        <f>mvalloc!G19</f>
        <v>0</v>
      </c>
    </row>
    <row r="14" spans="2:5" ht="15.75">
      <c r="B14" s="753" t="s">
        <v>819</v>
      </c>
      <c r="C14" s="171"/>
      <c r="D14" s="171"/>
      <c r="E14" s="125">
        <f>mvalloc!H19</f>
        <v>0</v>
      </c>
    </row>
    <row r="15" spans="2:11" ht="15.75">
      <c r="B15" s="177"/>
      <c r="C15" s="171"/>
      <c r="D15" s="171"/>
      <c r="E15" s="145"/>
      <c r="G15" s="922" t="str">
        <f>CONCATENATE("Desired Carryover Into ",E1+1,"")</f>
        <v>Desired Carryover Into 1</v>
      </c>
      <c r="H15" s="923"/>
      <c r="I15" s="923"/>
      <c r="J15" s="924"/>
      <c r="K15" s="500"/>
    </row>
    <row r="16" spans="2:11" ht="15.75">
      <c r="B16" s="177"/>
      <c r="C16" s="171"/>
      <c r="D16" s="171"/>
      <c r="E16" s="145"/>
      <c r="G16" s="532"/>
      <c r="H16" s="533"/>
      <c r="I16" s="534"/>
      <c r="J16" s="535"/>
      <c r="K16" s="500"/>
    </row>
    <row r="17" spans="2:11" ht="15.75">
      <c r="B17" s="177"/>
      <c r="C17" s="171"/>
      <c r="D17" s="171"/>
      <c r="E17" s="145"/>
      <c r="G17" s="536" t="s">
        <v>642</v>
      </c>
      <c r="H17" s="534"/>
      <c r="I17" s="534"/>
      <c r="J17" s="537">
        <v>0</v>
      </c>
      <c r="K17" s="500"/>
    </row>
    <row r="18" spans="2:11" ht="15.75">
      <c r="B18" s="177" t="s">
        <v>129</v>
      </c>
      <c r="C18" s="171"/>
      <c r="D18" s="171"/>
      <c r="E18" s="145"/>
      <c r="G18" s="532" t="s">
        <v>643</v>
      </c>
      <c r="H18" s="533"/>
      <c r="I18" s="533"/>
      <c r="J18" s="538">
        <f>IF(J17=0,"",ROUND((J17+E41-G30)/inputOth!E8*1000,3)-G35)</f>
      </c>
      <c r="K18" s="500"/>
    </row>
    <row r="19" spans="2:11" ht="15.75">
      <c r="B19" s="41" t="s">
        <v>47</v>
      </c>
      <c r="C19" s="171"/>
      <c r="D19" s="171"/>
      <c r="E19" s="185">
        <f>nhood!E14*-1</f>
        <v>0</v>
      </c>
      <c r="G19" s="539" t="str">
        <f>CONCATENATE("",E1," Tot Exp/Non-Appr Must Be:")</f>
        <v>0 Tot Exp/Non-Appr Must Be:</v>
      </c>
      <c r="H19" s="540"/>
      <c r="I19" s="541"/>
      <c r="J19" s="542">
        <f>IF(J17&gt;0,IF(E38&lt;E23,IF(J17=G30,E38,((J17-G30)*(1-D40))+E23),E38+(J17-G30)),0)</f>
        <v>0</v>
      </c>
      <c r="K19" s="500"/>
    </row>
    <row r="20" spans="2:11" ht="15.75">
      <c r="B20" s="178" t="s">
        <v>45</v>
      </c>
      <c r="C20" s="171"/>
      <c r="D20" s="171"/>
      <c r="E20" s="145"/>
      <c r="G20" s="543" t="s">
        <v>658</v>
      </c>
      <c r="H20" s="544"/>
      <c r="I20" s="544"/>
      <c r="J20" s="545">
        <f>IF(J17&gt;0,J19-E38,0)</f>
        <v>0</v>
      </c>
      <c r="K20" s="500"/>
    </row>
    <row r="21" spans="2:11" ht="15.75">
      <c r="B21" s="178" t="s">
        <v>46</v>
      </c>
      <c r="C21" s="350">
        <f>IF(C22*0.1&lt;C20,"Exceed 10% Rule","")</f>
      </c>
      <c r="D21" s="350">
        <f>IF(D22*0.1&lt;D20,"Exceed 10% Rule","")</f>
      </c>
      <c r="E21" s="341">
        <f>IF((E41+E22)*0.1&lt;E20,"Exceed 10% Rule","")</f>
      </c>
      <c r="G21" s="500"/>
      <c r="H21" s="500"/>
      <c r="I21" s="500"/>
      <c r="J21" s="500"/>
      <c r="K21" s="500"/>
    </row>
    <row r="22" spans="2:11" ht="15.75">
      <c r="B22" s="180" t="s">
        <v>130</v>
      </c>
      <c r="C22" s="352">
        <f>SUM(C8:C20)</f>
        <v>0</v>
      </c>
      <c r="D22" s="352">
        <f>SUM(D8:D20)</f>
        <v>0</v>
      </c>
      <c r="E22" s="182">
        <f>SUM(E8:E20)</f>
        <v>0</v>
      </c>
      <c r="G22" s="922" t="str">
        <f>CONCATENATE("Projected Carryover Into ",E1+1,"")</f>
        <v>Projected Carryover Into 1</v>
      </c>
      <c r="H22" s="925"/>
      <c r="I22" s="925"/>
      <c r="J22" s="926"/>
      <c r="K22" s="500"/>
    </row>
    <row r="23" spans="2:11" ht="15.75">
      <c r="B23" s="59" t="s">
        <v>131</v>
      </c>
      <c r="C23" s="352">
        <f>C22+C6</f>
        <v>0</v>
      </c>
      <c r="D23" s="352">
        <f>D22+D6</f>
        <v>0</v>
      </c>
      <c r="E23" s="182">
        <f>E22+E6</f>
        <v>0</v>
      </c>
      <c r="G23" s="532"/>
      <c r="H23" s="534"/>
      <c r="I23" s="534"/>
      <c r="J23" s="547"/>
      <c r="K23" s="500"/>
    </row>
    <row r="24" spans="2:11" ht="15.75">
      <c r="B24" s="33" t="s">
        <v>132</v>
      </c>
      <c r="C24" s="351"/>
      <c r="D24" s="351"/>
      <c r="E24" s="125"/>
      <c r="G24" s="550">
        <f>D35</f>
        <v>0</v>
      </c>
      <c r="H24" s="551" t="str">
        <f>CONCATENATE("",E1-1," Ending Cash Balance (est.)")</f>
        <v>-1 Ending Cash Balance (est.)</v>
      </c>
      <c r="I24" s="552"/>
      <c r="J24" s="547"/>
      <c r="K24" s="500"/>
    </row>
    <row r="25" spans="2:11" ht="15.75">
      <c r="B25" s="177"/>
      <c r="C25" s="171"/>
      <c r="D25" s="171"/>
      <c r="E25" s="145"/>
      <c r="G25" s="550">
        <f>E22</f>
        <v>0</v>
      </c>
      <c r="H25" s="534" t="str">
        <f>CONCATENATE("",E1," Non-AV Receipts (est.)")</f>
        <v>0 Non-AV Receipts (est.)</v>
      </c>
      <c r="I25" s="552"/>
      <c r="J25" s="547"/>
      <c r="K25" s="500"/>
    </row>
    <row r="26" spans="2:11" ht="15.75">
      <c r="B26" s="177"/>
      <c r="C26" s="171"/>
      <c r="D26" s="171"/>
      <c r="E26" s="145"/>
      <c r="G26" s="557">
        <f>IF(E40&gt;0,E39,E41)</f>
        <v>0</v>
      </c>
      <c r="H26" s="534" t="str">
        <f>CONCATENATE("",E1," Ad Valorem Tax (est.)")</f>
        <v>0 Ad Valorem Tax (est.)</v>
      </c>
      <c r="I26" s="534"/>
      <c r="J26" s="547"/>
      <c r="K26" s="558">
        <f>IF(G26=E41,"","Note: Does not include Delinquent Taxes")</f>
      </c>
    </row>
    <row r="27" spans="2:11" ht="15.75">
      <c r="B27" s="177"/>
      <c r="C27" s="171"/>
      <c r="D27" s="171"/>
      <c r="E27" s="145"/>
      <c r="G27" s="550">
        <f>SUM(G24:G26)</f>
        <v>0</v>
      </c>
      <c r="H27" s="534" t="str">
        <f>CONCATENATE("Total ",E1," Resources Available")</f>
        <v>Total 0 Resources Available</v>
      </c>
      <c r="I27" s="552"/>
      <c r="J27" s="547"/>
      <c r="K27" s="500"/>
    </row>
    <row r="28" spans="2:11" ht="15.75">
      <c r="B28" s="177"/>
      <c r="C28" s="171"/>
      <c r="D28" s="171"/>
      <c r="E28" s="145"/>
      <c r="G28" s="561"/>
      <c r="H28" s="534"/>
      <c r="I28" s="534"/>
      <c r="J28" s="547"/>
      <c r="K28" s="500"/>
    </row>
    <row r="29" spans="2:11" ht="15.75">
      <c r="B29" s="171"/>
      <c r="C29" s="171"/>
      <c r="D29" s="171"/>
      <c r="E29" s="145"/>
      <c r="G29" s="557">
        <f>C34*0.05+C34</f>
        <v>0</v>
      </c>
      <c r="H29" s="534" t="str">
        <f>CONCATENATE("Less ",E1-2," Expenditures + 5%")</f>
        <v>Less -2 Expenditures + 5%</v>
      </c>
      <c r="I29" s="534"/>
      <c r="J29" s="547"/>
      <c r="K29" s="500"/>
    </row>
    <row r="30" spans="2:11" ht="15.75">
      <c r="B30" s="177"/>
      <c r="C30" s="171"/>
      <c r="D30" s="171"/>
      <c r="E30" s="145"/>
      <c r="G30" s="565">
        <f>G27-G29</f>
        <v>0</v>
      </c>
      <c r="H30" s="566" t="str">
        <f>CONCATENATE("Projected ",E1+1," carryover (est.)")</f>
        <v>Projected 1 carryover (est.)</v>
      </c>
      <c r="I30" s="567"/>
      <c r="J30" s="568"/>
      <c r="K30" s="500"/>
    </row>
    <row r="31" spans="2:11" ht="15.75">
      <c r="B31" s="41" t="str">
        <f>CONCATENATE("Cash Forward (",E1," column)")</f>
        <v>Cash Forward (0 column)</v>
      </c>
      <c r="C31" s="171"/>
      <c r="D31" s="171"/>
      <c r="E31" s="145"/>
      <c r="G31" s="500"/>
      <c r="H31" s="500"/>
      <c r="I31" s="500"/>
      <c r="J31" s="500"/>
      <c r="K31" s="500"/>
    </row>
    <row r="32" spans="2:11" ht="15.75">
      <c r="B32" s="41" t="s">
        <v>45</v>
      </c>
      <c r="C32" s="171"/>
      <c r="D32" s="171"/>
      <c r="E32" s="145"/>
      <c r="G32" s="927" t="s">
        <v>659</v>
      </c>
      <c r="H32" s="928"/>
      <c r="I32" s="928"/>
      <c r="J32" s="929"/>
      <c r="K32" s="500"/>
    </row>
    <row r="33" spans="2:11" ht="15.75">
      <c r="B33" s="41" t="s">
        <v>637</v>
      </c>
      <c r="C33" s="350">
        <f>IF(C34*0.1&lt;C32,"Exceed 10% Rule","")</f>
      </c>
      <c r="D33" s="350">
        <f>IF(D34*0.1&lt;D32,"Exceed 10% Rule","")</f>
      </c>
      <c r="E33" s="341">
        <f>IF(E34*0.1&lt;E32,"Exceed 10% Rule","")</f>
      </c>
      <c r="G33" s="572"/>
      <c r="H33" s="551"/>
      <c r="I33" s="573"/>
      <c r="J33" s="574"/>
      <c r="K33" s="500"/>
    </row>
    <row r="34" spans="2:11" ht="15.75">
      <c r="B34" s="59" t="s">
        <v>133</v>
      </c>
      <c r="C34" s="352">
        <f>SUM(C25:C32)</f>
        <v>0</v>
      </c>
      <c r="D34" s="352">
        <f>SUM(D25:D32)</f>
        <v>0</v>
      </c>
      <c r="E34" s="182">
        <f>SUM(E25:E32)</f>
        <v>0</v>
      </c>
      <c r="G34" s="575" t="str">
        <f>summ!I35</f>
        <v> </v>
      </c>
      <c r="H34" s="551" t="str">
        <f>CONCATENATE("",E1," Fund Mill Rate")</f>
        <v>0 Fund Mill Rate</v>
      </c>
      <c r="I34" s="573"/>
      <c r="J34" s="574"/>
      <c r="K34" s="500"/>
    </row>
    <row r="35" spans="2:11" ht="15.75">
      <c r="B35" s="33" t="s">
        <v>216</v>
      </c>
      <c r="C35" s="356">
        <f>C23-C34</f>
        <v>0</v>
      </c>
      <c r="D35" s="356">
        <f>D23-D34</f>
        <v>0</v>
      </c>
      <c r="E35" s="174" t="s">
        <v>106</v>
      </c>
      <c r="G35" s="576" t="str">
        <f>summ!F35</f>
        <v>  </v>
      </c>
      <c r="H35" s="551" t="str">
        <f>CONCATENATE("",E1-1," Fund Mill Rate")</f>
        <v>-1 Fund Mill Rate</v>
      </c>
      <c r="I35" s="573"/>
      <c r="J35" s="574"/>
      <c r="K35" s="500"/>
    </row>
    <row r="36" spans="2:11" ht="15.75">
      <c r="B36" s="73" t="str">
        <f>CONCATENATE("",E1-2,"/",E1-1,"/",E1," Budget Authority Amount:")</f>
        <v>-2/-1/0 Budget Authority Amount:</v>
      </c>
      <c r="C36" s="190">
        <f>inputOth!B82</f>
        <v>0</v>
      </c>
      <c r="D36" s="190">
        <f>inputPrYr!D32</f>
        <v>0</v>
      </c>
      <c r="E36" s="125">
        <f>E34</f>
        <v>0</v>
      </c>
      <c r="F36" s="186"/>
      <c r="G36" s="578">
        <f>summ!I45</f>
        <v>0</v>
      </c>
      <c r="H36" s="551" t="str">
        <f>CONCATENATE("Total ",E1," Mill Rate")</f>
        <v>Total 0 Mill Rate</v>
      </c>
      <c r="I36" s="573"/>
      <c r="J36" s="574"/>
      <c r="K36" s="500"/>
    </row>
    <row r="37" spans="2:11" ht="15.75">
      <c r="B37" s="3"/>
      <c r="C37" s="916" t="s">
        <v>638</v>
      </c>
      <c r="D37" s="917"/>
      <c r="E37" s="145"/>
      <c r="F37" s="186">
        <f>IF(E34/0.95-E34&lt;E37,"Exceeds 5%","")</f>
      </c>
      <c r="G37" s="576">
        <f>summ!F45</f>
        <v>0</v>
      </c>
      <c r="H37" s="579" t="str">
        <f>CONCATENATE("Total ",E1-1," Mill Rate")</f>
        <v>Total -1 Mill Rate</v>
      </c>
      <c r="I37" s="580"/>
      <c r="J37" s="581"/>
      <c r="K37" s="500"/>
    </row>
    <row r="38" spans="2:11" ht="15.75">
      <c r="B38" s="357" t="str">
        <f>CONCATENATE(C93,"     ",D93)</f>
        <v>     </v>
      </c>
      <c r="C38" s="918" t="s">
        <v>639</v>
      </c>
      <c r="D38" s="919"/>
      <c r="E38" s="125">
        <f>E34+E37</f>
        <v>0</v>
      </c>
      <c r="G38" s="500"/>
      <c r="H38" s="500"/>
      <c r="I38" s="500"/>
      <c r="J38" s="500"/>
      <c r="K38" s="500"/>
    </row>
    <row r="39" spans="2:11" ht="15.75">
      <c r="B39" s="357" t="str">
        <f>CONCATENATE(C94,"     ",D94)</f>
        <v>     </v>
      </c>
      <c r="C39" s="343"/>
      <c r="D39" s="91" t="s">
        <v>135</v>
      </c>
      <c r="E39" s="185">
        <f>IF(E38-E23&gt;0,E38-E23,0)</f>
        <v>0</v>
      </c>
      <c r="G39" s="806" t="s">
        <v>839</v>
      </c>
      <c r="H39" s="781"/>
      <c r="I39" s="782"/>
      <c r="J39" s="783" t="str">
        <f>cert!F46</f>
        <v>No</v>
      </c>
      <c r="K39" s="500"/>
    </row>
    <row r="40" spans="2:11" ht="15.75">
      <c r="B40" s="91"/>
      <c r="C40" s="433" t="s">
        <v>640</v>
      </c>
      <c r="D40" s="622">
        <f>inputOth!$E$67</f>
        <v>0</v>
      </c>
      <c r="E40" s="125">
        <f>ROUND(IF(D40&gt;0,(E39*D40),0),0)</f>
        <v>0</v>
      </c>
      <c r="G40" s="804" t="str">
        <f>CONCATENATE("Computed ",E1," tax levy limit amount")</f>
        <v>Computed 0 tax levy limit amount</v>
      </c>
      <c r="H40" s="803"/>
      <c r="I40" s="803"/>
      <c r="J40" s="802">
        <f>computationTown!J41</f>
        <v>0</v>
      </c>
      <c r="K40" s="500"/>
    </row>
    <row r="41" spans="2:11" ht="15.75">
      <c r="B41" s="17"/>
      <c r="C41" s="920" t="str">
        <f>CONCATENATE("Amount of  ",$E$1-1," Ad Valorem Tax")</f>
        <v>Amount of  -1 Ad Valorem Tax</v>
      </c>
      <c r="D41" s="921"/>
      <c r="E41" s="185">
        <f>E39+E40</f>
        <v>0</v>
      </c>
      <c r="G41" s="801" t="str">
        <f>CONCATENATE("Total ",E1," tax levy amount")</f>
        <v>Total 0 tax levy amount</v>
      </c>
      <c r="H41" s="800"/>
      <c r="I41" s="800"/>
      <c r="J41" s="799">
        <f>summ!H45</f>
        <v>0</v>
      </c>
      <c r="K41" s="500"/>
    </row>
    <row r="42" spans="2:11" ht="15.75">
      <c r="B42" s="17"/>
      <c r="C42" s="487"/>
      <c r="D42" s="17"/>
      <c r="E42" s="17"/>
      <c r="G42" s="500"/>
      <c r="H42" s="500"/>
      <c r="I42" s="500"/>
      <c r="J42" s="500"/>
      <c r="K42" s="500"/>
    </row>
    <row r="43" spans="2:11" ht="15.75">
      <c r="B43" s="17"/>
      <c r="C43" s="487"/>
      <c r="D43" s="17"/>
      <c r="E43" s="17"/>
      <c r="G43" s="500"/>
      <c r="H43" s="500"/>
      <c r="I43" s="500"/>
      <c r="J43" s="500"/>
      <c r="K43" s="500"/>
    </row>
    <row r="44" spans="2:11" ht="15.75">
      <c r="B44" s="25" t="s">
        <v>117</v>
      </c>
      <c r="C44" s="23"/>
      <c r="D44" s="23"/>
      <c r="E44" s="23"/>
      <c r="G44" s="500"/>
      <c r="H44" s="500"/>
      <c r="I44" s="500"/>
      <c r="J44" s="500"/>
      <c r="K44" s="500"/>
    </row>
    <row r="45" spans="2:11" ht="15.75">
      <c r="B45" s="17"/>
      <c r="C45" s="353" t="s">
        <v>118</v>
      </c>
      <c r="D45" s="354" t="s">
        <v>119</v>
      </c>
      <c r="E45" s="27" t="s">
        <v>120</v>
      </c>
      <c r="G45" s="500"/>
      <c r="H45" s="500"/>
      <c r="I45" s="500"/>
      <c r="J45" s="500"/>
      <c r="K45" s="500"/>
    </row>
    <row r="46" spans="2:11" ht="15.75">
      <c r="B46" s="428">
        <f>inputPrYr!B33</f>
        <v>0</v>
      </c>
      <c r="C46" s="170" t="str">
        <f>C5</f>
        <v>Actual for -2</v>
      </c>
      <c r="D46" s="170" t="str">
        <f>D5</f>
        <v>Estimate for -1</v>
      </c>
      <c r="E46" s="32" t="str">
        <f>E5</f>
        <v>Year for 0</v>
      </c>
      <c r="G46" s="500"/>
      <c r="H46" s="500"/>
      <c r="I46" s="500"/>
      <c r="J46" s="500"/>
      <c r="K46" s="500"/>
    </row>
    <row r="47" spans="2:11" ht="15.75">
      <c r="B47" s="33" t="s">
        <v>215</v>
      </c>
      <c r="C47" s="171"/>
      <c r="D47" s="351">
        <f>C76</f>
        <v>0</v>
      </c>
      <c r="E47" s="125">
        <f>D76</f>
        <v>0</v>
      </c>
      <c r="G47" s="500"/>
      <c r="H47" s="500"/>
      <c r="I47" s="500"/>
      <c r="J47" s="500"/>
      <c r="K47" s="500"/>
    </row>
    <row r="48" spans="2:11" ht="15.75">
      <c r="B48" s="33" t="s">
        <v>217</v>
      </c>
      <c r="C48" s="351"/>
      <c r="D48" s="351"/>
      <c r="E48" s="174"/>
      <c r="G48" s="500"/>
      <c r="H48" s="500"/>
      <c r="I48" s="500"/>
      <c r="J48" s="500"/>
      <c r="K48" s="500"/>
    </row>
    <row r="49" spans="2:11" ht="15.75">
      <c r="B49" s="33" t="s">
        <v>123</v>
      </c>
      <c r="C49" s="171"/>
      <c r="D49" s="351">
        <f>IF(inputPrYr!H23&gt;0,inputPrYr!G33,inputPrYr!E33)</f>
        <v>0</v>
      </c>
      <c r="E49" s="174" t="s">
        <v>106</v>
      </c>
      <c r="G49" s="500"/>
      <c r="H49" s="500"/>
      <c r="I49" s="500"/>
      <c r="J49" s="500"/>
      <c r="K49" s="500"/>
    </row>
    <row r="50" spans="2:11" ht="15.75">
      <c r="B50" s="33" t="s">
        <v>124</v>
      </c>
      <c r="C50" s="171"/>
      <c r="D50" s="171"/>
      <c r="E50" s="145"/>
      <c r="G50" s="500"/>
      <c r="H50" s="500"/>
      <c r="I50" s="500"/>
      <c r="J50" s="500"/>
      <c r="K50" s="500"/>
    </row>
    <row r="51" spans="2:11" ht="15.75">
      <c r="B51" s="33" t="s">
        <v>125</v>
      </c>
      <c r="C51" s="171"/>
      <c r="D51" s="171"/>
      <c r="E51" s="125">
        <f>mvalloc!D20</f>
        <v>0</v>
      </c>
      <c r="G51" s="500"/>
      <c r="H51" s="500"/>
      <c r="I51" s="500"/>
      <c r="J51" s="500"/>
      <c r="K51" s="500"/>
    </row>
    <row r="52" spans="2:11" ht="15.75">
      <c r="B52" s="33" t="s">
        <v>126</v>
      </c>
      <c r="C52" s="171"/>
      <c r="D52" s="171"/>
      <c r="E52" s="125">
        <f>mvalloc!E20</f>
        <v>0</v>
      </c>
      <c r="G52" s="500"/>
      <c r="H52" s="500"/>
      <c r="I52" s="500"/>
      <c r="J52" s="500"/>
      <c r="K52" s="500"/>
    </row>
    <row r="53" spans="2:11" ht="15.75">
      <c r="B53" s="33" t="s">
        <v>205</v>
      </c>
      <c r="C53" s="171"/>
      <c r="D53" s="171"/>
      <c r="E53" s="125">
        <f>mvalloc!F20</f>
        <v>0</v>
      </c>
      <c r="G53" s="500"/>
      <c r="H53" s="500"/>
      <c r="I53" s="500"/>
      <c r="J53" s="500"/>
      <c r="K53" s="500"/>
    </row>
    <row r="54" spans="2:11" ht="15.75">
      <c r="B54" s="753" t="s">
        <v>818</v>
      </c>
      <c r="C54" s="171"/>
      <c r="D54" s="171"/>
      <c r="E54" s="125">
        <f>mvalloc!G20</f>
        <v>0</v>
      </c>
      <c r="G54" s="500"/>
      <c r="H54" s="500"/>
      <c r="I54" s="500"/>
      <c r="J54" s="500"/>
      <c r="K54" s="500"/>
    </row>
    <row r="55" spans="2:11" ht="15.75">
      <c r="B55" s="753" t="s">
        <v>819</v>
      </c>
      <c r="C55" s="171"/>
      <c r="D55" s="171"/>
      <c r="E55" s="125">
        <f>mvalloc!H20</f>
        <v>0</v>
      </c>
      <c r="G55" s="500"/>
      <c r="H55" s="500"/>
      <c r="I55" s="500"/>
      <c r="J55" s="500"/>
      <c r="K55" s="500"/>
    </row>
    <row r="56" spans="2:11" ht="15.75">
      <c r="B56" s="176"/>
      <c r="C56" s="171"/>
      <c r="D56" s="171"/>
      <c r="E56" s="145"/>
      <c r="G56" s="922" t="str">
        <f>CONCATENATE("Desired Carryover Into ",E1+1,"")</f>
        <v>Desired Carryover Into 1</v>
      </c>
      <c r="H56" s="923"/>
      <c r="I56" s="923"/>
      <c r="J56" s="924"/>
      <c r="K56" s="500"/>
    </row>
    <row r="57" spans="2:11" ht="15.75">
      <c r="B57" s="176"/>
      <c r="C57" s="171"/>
      <c r="D57" s="171"/>
      <c r="E57" s="145"/>
      <c r="G57" s="532"/>
      <c r="H57" s="533"/>
      <c r="I57" s="534"/>
      <c r="J57" s="535"/>
      <c r="K57" s="500"/>
    </row>
    <row r="58" spans="2:11" ht="15.75">
      <c r="B58" s="177"/>
      <c r="C58" s="171"/>
      <c r="D58" s="171"/>
      <c r="E58" s="145"/>
      <c r="G58" s="536" t="s">
        <v>642</v>
      </c>
      <c r="H58" s="534"/>
      <c r="I58" s="534"/>
      <c r="J58" s="537">
        <v>0</v>
      </c>
      <c r="K58" s="500"/>
    </row>
    <row r="59" spans="2:11" ht="15.75">
      <c r="B59" s="177" t="s">
        <v>129</v>
      </c>
      <c r="C59" s="171"/>
      <c r="D59" s="171"/>
      <c r="E59" s="145"/>
      <c r="G59" s="532" t="s">
        <v>643</v>
      </c>
      <c r="H59" s="533"/>
      <c r="I59" s="533"/>
      <c r="J59" s="538">
        <f>IF(J58=0,"",ROUND((J58+E82-G71)/inputOth!E8*1000,3)-G76)</f>
      </c>
      <c r="K59" s="500"/>
    </row>
    <row r="60" spans="2:11" ht="15.75">
      <c r="B60" s="41" t="s">
        <v>47</v>
      </c>
      <c r="C60" s="171"/>
      <c r="D60" s="171"/>
      <c r="E60" s="185">
        <f>nhood!E15*-1</f>
        <v>0</v>
      </c>
      <c r="G60" s="539" t="str">
        <f>CONCATENATE("",E1," Tot Exp/Non-Appr Must Be:")</f>
        <v>0 Tot Exp/Non-Appr Must Be:</v>
      </c>
      <c r="H60" s="540"/>
      <c r="I60" s="541"/>
      <c r="J60" s="542">
        <f>IF(J58&gt;0,IF(E79&lt;E64,IF(J58=G71,E79,((J58-G71)*(1-D81))+E64),E79+(J58-G71)),0)</f>
        <v>0</v>
      </c>
      <c r="K60" s="500"/>
    </row>
    <row r="61" spans="2:11" ht="15.75">
      <c r="B61" s="178" t="s">
        <v>45</v>
      </c>
      <c r="C61" s="171"/>
      <c r="D61" s="171"/>
      <c r="E61" s="145"/>
      <c r="G61" s="543" t="s">
        <v>658</v>
      </c>
      <c r="H61" s="544"/>
      <c r="I61" s="544"/>
      <c r="J61" s="545">
        <f>IF(J58&gt;0,J60-E79,0)</f>
        <v>0</v>
      </c>
      <c r="K61" s="500"/>
    </row>
    <row r="62" spans="2:11" ht="15.75">
      <c r="B62" s="178" t="s">
        <v>46</v>
      </c>
      <c r="C62" s="350">
        <f>IF(C63*0.1&lt;C61,"Exceed 10% Rule","")</f>
      </c>
      <c r="D62" s="350">
        <f>IF(D63*0.1&lt;D61,"Exceed 10% Rule","")</f>
      </c>
      <c r="E62" s="341">
        <f>IF((E82+E63)*0.1&lt;E61,"Exceed 10% Rule","")</f>
      </c>
      <c r="G62" s="500"/>
      <c r="H62" s="500"/>
      <c r="I62" s="500"/>
      <c r="J62" s="500"/>
      <c r="K62" s="500"/>
    </row>
    <row r="63" spans="2:11" ht="15.75">
      <c r="B63" s="180" t="s">
        <v>130</v>
      </c>
      <c r="C63" s="352">
        <f>SUM(C49:C61)</f>
        <v>0</v>
      </c>
      <c r="D63" s="352">
        <f>SUM(D49:D61)</f>
        <v>0</v>
      </c>
      <c r="E63" s="182">
        <f>SUM(E49:E61)</f>
        <v>0</v>
      </c>
      <c r="G63" s="922" t="str">
        <f>CONCATENATE("Projected Carryover Into ",E1+1,"")</f>
        <v>Projected Carryover Into 1</v>
      </c>
      <c r="H63" s="949"/>
      <c r="I63" s="949"/>
      <c r="J63" s="926"/>
      <c r="K63" s="500"/>
    </row>
    <row r="64" spans="2:11" ht="15.75">
      <c r="B64" s="59" t="s">
        <v>131</v>
      </c>
      <c r="C64" s="352">
        <f>C63+C47</f>
        <v>0</v>
      </c>
      <c r="D64" s="352">
        <f>D63+D47</f>
        <v>0</v>
      </c>
      <c r="E64" s="182">
        <f>E63+E47</f>
        <v>0</v>
      </c>
      <c r="G64" s="584"/>
      <c r="H64" s="533"/>
      <c r="I64" s="533"/>
      <c r="J64" s="585"/>
      <c r="K64" s="500"/>
    </row>
    <row r="65" spans="2:11" ht="15.75">
      <c r="B65" s="33" t="s">
        <v>132</v>
      </c>
      <c r="C65" s="351"/>
      <c r="D65" s="351"/>
      <c r="E65" s="125"/>
      <c r="G65" s="550">
        <f>D76</f>
        <v>0</v>
      </c>
      <c r="H65" s="551" t="str">
        <f>CONCATENATE("",E1-1," Ending Cash Balance (est.)")</f>
        <v>-1 Ending Cash Balance (est.)</v>
      </c>
      <c r="I65" s="552"/>
      <c r="J65" s="585"/>
      <c r="K65" s="500"/>
    </row>
    <row r="66" spans="2:11" ht="15.75">
      <c r="B66" s="177"/>
      <c r="C66" s="171"/>
      <c r="D66" s="171"/>
      <c r="E66" s="145"/>
      <c r="G66" s="550">
        <f>E63</f>
        <v>0</v>
      </c>
      <c r="H66" s="534" t="str">
        <f>CONCATENATE("",E1," Non-AV Receipts (est.)")</f>
        <v>0 Non-AV Receipts (est.)</v>
      </c>
      <c r="I66" s="552"/>
      <c r="J66" s="585"/>
      <c r="K66" s="500"/>
    </row>
    <row r="67" spans="2:11" ht="15.75">
      <c r="B67" s="177"/>
      <c r="C67" s="171"/>
      <c r="D67" s="171"/>
      <c r="E67" s="145"/>
      <c r="G67" s="557">
        <f>IF(E81&gt;0,E80,E82)</f>
        <v>0</v>
      </c>
      <c r="H67" s="534" t="str">
        <f>CONCATENATE("",E1," Ad Valorem Tax (est.)")</f>
        <v>0 Ad Valorem Tax (est.)</v>
      </c>
      <c r="I67" s="534"/>
      <c r="J67" s="585"/>
      <c r="K67" s="558">
        <f>IF(G67=E82,"","Note: Does not include Delinquent Taxes")</f>
      </c>
    </row>
    <row r="68" spans="2:11" ht="15.75">
      <c r="B68" s="177"/>
      <c r="C68" s="171"/>
      <c r="D68" s="171"/>
      <c r="E68" s="145"/>
      <c r="G68" s="587">
        <f>SUM(G65:G67)</f>
        <v>0</v>
      </c>
      <c r="H68" s="534" t="str">
        <f>CONCATENATE("Total ",E1," Resources Available")</f>
        <v>Total 0 Resources Available</v>
      </c>
      <c r="I68" s="588"/>
      <c r="J68" s="585"/>
      <c r="K68" s="500"/>
    </row>
    <row r="69" spans="2:11" ht="15.75">
      <c r="B69" s="177"/>
      <c r="C69" s="171"/>
      <c r="D69" s="171"/>
      <c r="E69" s="145"/>
      <c r="G69" s="589"/>
      <c r="H69" s="590"/>
      <c r="I69" s="533"/>
      <c r="J69" s="585"/>
      <c r="K69" s="500"/>
    </row>
    <row r="70" spans="2:11" ht="15.75">
      <c r="B70" s="177"/>
      <c r="C70" s="171"/>
      <c r="D70" s="171"/>
      <c r="E70" s="145"/>
      <c r="G70" s="557">
        <f>ROUND(C75*0.05+C75,0)</f>
        <v>0</v>
      </c>
      <c r="H70" s="534" t="str">
        <f>CONCATENATE("Less ",E1-2," Expenditures + 5%")</f>
        <v>Less -2 Expenditures + 5%</v>
      </c>
      <c r="I70" s="588"/>
      <c r="J70" s="585"/>
      <c r="K70" s="500"/>
    </row>
    <row r="71" spans="2:11" ht="15.75">
      <c r="B71" s="177"/>
      <c r="C71" s="171"/>
      <c r="D71" s="171"/>
      <c r="E71" s="145"/>
      <c r="G71" s="565">
        <f>G68-G70</f>
        <v>0</v>
      </c>
      <c r="H71" s="566" t="str">
        <f>CONCATENATE("Projected ",E1+1," carryover (est.)")</f>
        <v>Projected 1 carryover (est.)</v>
      </c>
      <c r="I71" s="591"/>
      <c r="J71" s="592"/>
      <c r="K71" s="500"/>
    </row>
    <row r="72" spans="2:11" ht="15.75">
      <c r="B72" s="41" t="str">
        <f>CONCATENATE("Cash Forward (",E1," column)")</f>
        <v>Cash Forward (0 column)</v>
      </c>
      <c r="C72" s="171"/>
      <c r="D72" s="171"/>
      <c r="E72" s="145"/>
      <c r="G72" s="500"/>
      <c r="H72" s="500"/>
      <c r="I72" s="500"/>
      <c r="J72" s="500"/>
      <c r="K72" s="500"/>
    </row>
    <row r="73" spans="2:11" ht="15.75">
      <c r="B73" s="41" t="s">
        <v>45</v>
      </c>
      <c r="C73" s="171"/>
      <c r="D73" s="171"/>
      <c r="E73" s="145"/>
      <c r="G73" s="927" t="s">
        <v>659</v>
      </c>
      <c r="H73" s="928"/>
      <c r="I73" s="928"/>
      <c r="J73" s="929"/>
      <c r="K73" s="500"/>
    </row>
    <row r="74" spans="2:11" ht="15.75">
      <c r="B74" s="41" t="s">
        <v>637</v>
      </c>
      <c r="C74" s="350">
        <f>IF(C75*0.1&lt;C73,"Exceed 10% Rule","")</f>
      </c>
      <c r="D74" s="350">
        <f>IF(D75*0.1&lt;D73,"Exceed 10% Rule","")</f>
      </c>
      <c r="E74" s="341">
        <f>IF(E75*0.1&lt;E73,"Exceed 10% Rule","")</f>
      </c>
      <c r="G74" s="572"/>
      <c r="H74" s="551"/>
      <c r="I74" s="573"/>
      <c r="J74" s="574"/>
      <c r="K74" s="500"/>
    </row>
    <row r="75" spans="2:11" ht="15.75">
      <c r="B75" s="59" t="s">
        <v>133</v>
      </c>
      <c r="C75" s="352">
        <f>SUM(C66:C73)</f>
        <v>0</v>
      </c>
      <c r="D75" s="352">
        <f>SUM(D66:D73)</f>
        <v>0</v>
      </c>
      <c r="E75" s="182">
        <f>SUM(E66:E73)</f>
        <v>0</v>
      </c>
      <c r="G75" s="575" t="str">
        <f>summ!I36</f>
        <v> </v>
      </c>
      <c r="H75" s="551" t="str">
        <f>CONCATENATE("",E1," Fund Mill Rate")</f>
        <v>0 Fund Mill Rate</v>
      </c>
      <c r="I75" s="573"/>
      <c r="J75" s="574"/>
      <c r="K75" s="500"/>
    </row>
    <row r="76" spans="2:11" ht="15.75">
      <c r="B76" s="33" t="s">
        <v>216</v>
      </c>
      <c r="C76" s="356">
        <f>C64-C75</f>
        <v>0</v>
      </c>
      <c r="D76" s="356">
        <f>D64-D75</f>
        <v>0</v>
      </c>
      <c r="E76" s="174" t="s">
        <v>106</v>
      </c>
      <c r="G76" s="576" t="str">
        <f>summ!F36</f>
        <v>  </v>
      </c>
      <c r="H76" s="551" t="str">
        <f>CONCATENATE("",E1-1," Fund Mill Rate")</f>
        <v>-1 Fund Mill Rate</v>
      </c>
      <c r="I76" s="573"/>
      <c r="J76" s="574"/>
      <c r="K76" s="500"/>
    </row>
    <row r="77" spans="2:11" ht="15.75">
      <c r="B77" s="73" t="str">
        <f>CONCATENATE("",E1-2,"/",E1-1,"/",E1," Budget Authority Amount:")</f>
        <v>-2/-1/0 Budget Authority Amount:</v>
      </c>
      <c r="C77" s="190">
        <f>inputOth!B83</f>
        <v>0</v>
      </c>
      <c r="D77" s="190">
        <f>inputPrYr!D33</f>
        <v>0</v>
      </c>
      <c r="E77" s="125">
        <f>E75</f>
        <v>0</v>
      </c>
      <c r="G77" s="578">
        <f>summ!I45</f>
        <v>0</v>
      </c>
      <c r="H77" s="551" t="str">
        <f>CONCATENATE("Total ",E1," Mill Rate")</f>
        <v>Total 0 Mill Rate</v>
      </c>
      <c r="I77" s="573"/>
      <c r="J77" s="574"/>
      <c r="K77" s="500"/>
    </row>
    <row r="78" spans="2:11" ht="15.75">
      <c r="B78" s="3"/>
      <c r="C78" s="916" t="s">
        <v>638</v>
      </c>
      <c r="D78" s="917"/>
      <c r="E78" s="145"/>
      <c r="F78" s="186">
        <f>IF(E75/0.95-E75&lt;E78,"Exceeds 5%","")</f>
      </c>
      <c r="G78" s="576">
        <f>summ!F45</f>
        <v>0</v>
      </c>
      <c r="H78" s="579" t="str">
        <f>CONCATENATE("Total ",E1-1," Mill Rate")</f>
        <v>Total -1 Mill Rate</v>
      </c>
      <c r="I78" s="580"/>
      <c r="J78" s="581"/>
      <c r="K78" s="500"/>
    </row>
    <row r="79" spans="2:5" ht="15.75">
      <c r="B79" s="357" t="str">
        <f>CONCATENATE(C95,"     ",D95)</f>
        <v>     </v>
      </c>
      <c r="C79" s="918" t="s">
        <v>639</v>
      </c>
      <c r="D79" s="919"/>
      <c r="E79" s="125">
        <f>E75+E78</f>
        <v>0</v>
      </c>
    </row>
    <row r="80" spans="2:10" ht="15.75">
      <c r="B80" s="357" t="str">
        <f>CONCATENATE(C96,"     ",D96)</f>
        <v>     </v>
      </c>
      <c r="C80" s="343"/>
      <c r="D80" s="91" t="s">
        <v>135</v>
      </c>
      <c r="E80" s="185">
        <f>IF(E79-E64&gt;0,E79-E64,0)</f>
        <v>0</v>
      </c>
      <c r="G80" s="806" t="s">
        <v>839</v>
      </c>
      <c r="H80" s="781"/>
      <c r="I80" s="782"/>
      <c r="J80" s="783" t="str">
        <f>cert!F46</f>
        <v>No</v>
      </c>
    </row>
    <row r="81" spans="2:10" ht="15.75">
      <c r="B81" s="91"/>
      <c r="C81" s="433" t="s">
        <v>640</v>
      </c>
      <c r="D81" s="622">
        <f>inputOth!$E$67</f>
        <v>0</v>
      </c>
      <c r="E81" s="125">
        <f>ROUND(IF(D81&gt;0,(E80*D81),0),0)</f>
        <v>0</v>
      </c>
      <c r="G81" s="784" t="str">
        <f>CONCATENATE("Computed ",E1," tax levy limit amount")</f>
        <v>Computed 0 tax levy limit amount</v>
      </c>
      <c r="H81" s="785"/>
      <c r="I81" s="785"/>
      <c r="J81" s="786">
        <f>computationTown!J41</f>
        <v>0</v>
      </c>
    </row>
    <row r="82" spans="2:10" ht="15.75">
      <c r="B82" s="17"/>
      <c r="C82" s="920" t="str">
        <f>CONCATENATE("Amount of  ",$E$1-1," Ad Valorem Tax")</f>
        <v>Amount of  -1 Ad Valorem Tax</v>
      </c>
      <c r="D82" s="921"/>
      <c r="E82" s="185">
        <f>E80+E81</f>
        <v>0</v>
      </c>
      <c r="G82" s="787" t="str">
        <f>CONCATENATE("Total ",E1," tax levy amount")</f>
        <v>Total 0 tax levy amount</v>
      </c>
      <c r="H82" s="788"/>
      <c r="I82" s="788"/>
      <c r="J82" s="789">
        <f>summ!H45</f>
        <v>0</v>
      </c>
    </row>
    <row r="83" spans="2:10" ht="15.75">
      <c r="B83" s="17"/>
      <c r="C83" s="487"/>
      <c r="D83" s="487"/>
      <c r="E83" s="487"/>
      <c r="G83" s="839"/>
      <c r="H83" s="840"/>
      <c r="I83" s="840"/>
      <c r="J83" s="841"/>
    </row>
    <row r="84" spans="2:10" ht="15.75">
      <c r="B84" s="817" t="s">
        <v>983</v>
      </c>
      <c r="C84" s="834"/>
      <c r="D84" s="834"/>
      <c r="E84" s="835"/>
      <c r="G84" s="839"/>
      <c r="H84" s="840"/>
      <c r="I84" s="840"/>
      <c r="J84" s="841"/>
    </row>
    <row r="85" spans="2:10" ht="15.75">
      <c r="B85" s="440"/>
      <c r="C85" s="487"/>
      <c r="D85" s="487"/>
      <c r="E85" s="836"/>
      <c r="G85" s="839"/>
      <c r="H85" s="840"/>
      <c r="I85" s="840"/>
      <c r="J85" s="841"/>
    </row>
    <row r="86" spans="2:10" ht="15.75">
      <c r="B86" s="818"/>
      <c r="C86" s="837"/>
      <c r="D86" s="837"/>
      <c r="E86" s="838"/>
      <c r="G86" s="839"/>
      <c r="H86" s="840"/>
      <c r="I86" s="840"/>
      <c r="J86" s="841"/>
    </row>
    <row r="87" spans="2:10" ht="15.75">
      <c r="B87" s="17"/>
      <c r="C87" s="487"/>
      <c r="D87" s="487"/>
      <c r="E87" s="487"/>
      <c r="G87" s="839"/>
      <c r="H87" s="840"/>
      <c r="I87" s="840"/>
      <c r="J87" s="841"/>
    </row>
    <row r="88" spans="2:5" ht="15.75">
      <c r="B88" s="91" t="s">
        <v>116</v>
      </c>
      <c r="C88" s="740"/>
      <c r="D88" s="17"/>
      <c r="E88" s="17"/>
    </row>
    <row r="89" ht="15.75">
      <c r="B89" s="5"/>
    </row>
    <row r="93" spans="3:4" ht="15.75" hidden="1">
      <c r="C93" s="108">
        <f>IF(C34&gt;C36,"See Tab A","")</f>
      </c>
      <c r="D93" s="108">
        <f>IF(D34&gt;D36,"See Tab C","")</f>
      </c>
    </row>
    <row r="94" spans="3:4" ht="15.75" hidden="1">
      <c r="C94" s="108">
        <f>IF(C35&lt;0,"See Tab B","")</f>
      </c>
      <c r="D94" s="108">
        <f>IF(D35&lt;0,"See Tab D","")</f>
      </c>
    </row>
    <row r="95" spans="3:4" ht="15.75" hidden="1">
      <c r="C95" s="108">
        <f>IF(C75&gt;C77,"See Tab A","")</f>
      </c>
      <c r="D95" s="108">
        <f>IF(D75&gt;D77,"See Tab C","")</f>
      </c>
    </row>
    <row r="96" spans="3:4" ht="15.75" hidden="1">
      <c r="C96" s="108">
        <f>IF(C76&lt;0,"See Tab B","")</f>
      </c>
      <c r="D96" s="108">
        <f>IF(D76&lt;0,"See Tab D","")</f>
      </c>
    </row>
  </sheetData>
  <sheetProtection sheet="1"/>
  <mergeCells count="12">
    <mergeCell ref="G15:J15"/>
    <mergeCell ref="G22:J22"/>
    <mergeCell ref="G32:J32"/>
    <mergeCell ref="G56:J56"/>
    <mergeCell ref="G63:J63"/>
    <mergeCell ref="G73:J73"/>
    <mergeCell ref="C41:D41"/>
    <mergeCell ref="C82:D82"/>
    <mergeCell ref="C37:D37"/>
    <mergeCell ref="C38:D38"/>
    <mergeCell ref="C78:D78"/>
    <mergeCell ref="C79:D79"/>
  </mergeCells>
  <conditionalFormatting sqref="C73">
    <cfRule type="cellIs" priority="3" dxfId="179" operator="greaterThan" stopIfTrue="1">
      <formula>$C$75*0.1</formula>
    </cfRule>
  </conditionalFormatting>
  <conditionalFormatting sqref="D73">
    <cfRule type="cellIs" priority="4" dxfId="179" operator="greaterThan" stopIfTrue="1">
      <formula>$D$75*0.1</formula>
    </cfRule>
  </conditionalFormatting>
  <conditionalFormatting sqref="E73">
    <cfRule type="cellIs" priority="5" dxfId="179" operator="greaterThan" stopIfTrue="1">
      <formula>$E$75*0.1</formula>
    </cfRule>
  </conditionalFormatting>
  <conditionalFormatting sqref="C61">
    <cfRule type="cellIs" priority="6" dxfId="179" operator="greaterThan" stopIfTrue="1">
      <formula>$C$63*0.1</formula>
    </cfRule>
  </conditionalFormatting>
  <conditionalFormatting sqref="D61">
    <cfRule type="cellIs" priority="7" dxfId="179" operator="greaterThan" stopIfTrue="1">
      <formula>$D$63*0.1</formula>
    </cfRule>
  </conditionalFormatting>
  <conditionalFormatting sqref="E78">
    <cfRule type="cellIs" priority="8" dxfId="179" operator="greaterThan" stopIfTrue="1">
      <formula>$E$75/0.95-$E$75</formula>
    </cfRule>
  </conditionalFormatting>
  <conditionalFormatting sqref="C32">
    <cfRule type="cellIs" priority="9" dxfId="179" operator="greaterThan" stopIfTrue="1">
      <formula>$C$34*0.1</formula>
    </cfRule>
  </conditionalFormatting>
  <conditionalFormatting sqref="D32">
    <cfRule type="cellIs" priority="10" dxfId="179" operator="greaterThan" stopIfTrue="1">
      <formula>$D$34*0.1</formula>
    </cfRule>
  </conditionalFormatting>
  <conditionalFormatting sqref="E32">
    <cfRule type="cellIs" priority="11" dxfId="179" operator="greaterThan" stopIfTrue="1">
      <formula>$E$34*0.1</formula>
    </cfRule>
  </conditionalFormatting>
  <conditionalFormatting sqref="C20">
    <cfRule type="cellIs" priority="12" dxfId="179" operator="greaterThan" stopIfTrue="1">
      <formula>$C$22*0.1</formula>
    </cfRule>
  </conditionalFormatting>
  <conditionalFormatting sqref="D20">
    <cfRule type="cellIs" priority="13" dxfId="179" operator="greaterThan" stopIfTrue="1">
      <formula>$D$22*0.1</formula>
    </cfRule>
  </conditionalFormatting>
  <conditionalFormatting sqref="E37">
    <cfRule type="cellIs" priority="14" dxfId="179" operator="greaterThan" stopIfTrue="1">
      <formula>$E$34/0.95-$E$34</formula>
    </cfRule>
  </conditionalFormatting>
  <conditionalFormatting sqref="C35 C76">
    <cfRule type="cellIs" priority="15" dxfId="179" operator="lessThan" stopIfTrue="1">
      <formula>0</formula>
    </cfRule>
  </conditionalFormatting>
  <conditionalFormatting sqref="D35 D76">
    <cfRule type="cellIs" priority="2" dxfId="0" operator="lessThan" stopIfTrue="1">
      <formula>0</formula>
    </cfRule>
  </conditionalFormatting>
  <conditionalFormatting sqref="D34">
    <cfRule type="cellIs" priority="37" dxfId="5" operator="greaterThan" stopIfTrue="1">
      <formula>$D$36</formula>
    </cfRule>
  </conditionalFormatting>
  <conditionalFormatting sqref="C34">
    <cfRule type="cellIs" priority="52" dxfId="5" operator="greaterThan" stopIfTrue="1">
      <formula>$C$36</formula>
    </cfRule>
  </conditionalFormatting>
  <conditionalFormatting sqref="D75">
    <cfRule type="cellIs" priority="68" dxfId="5" operator="greaterThan" stopIfTrue="1">
      <formula>$D$77</formula>
    </cfRule>
  </conditionalFormatting>
  <conditionalFormatting sqref="C75">
    <cfRule type="cellIs" priority="83" dxfId="5" operator="greaterThan" stopIfTrue="1">
      <formula>$C$77</formula>
    </cfRule>
  </conditionalFormatting>
  <conditionalFormatting sqref="E20">
    <cfRule type="cellIs" priority="95" dxfId="179" operator="greaterThan" stopIfTrue="1">
      <formula>$E$22*0.1+$E$41</formula>
    </cfRule>
  </conditionalFormatting>
  <conditionalFormatting sqref="E61">
    <cfRule type="cellIs" priority="96" dxfId="179" operator="greaterThan" stopIfTrue="1">
      <formula>$E$63*0.1+$E$82</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97" sqref="L97"/>
    </sheetView>
  </sheetViews>
  <sheetFormatPr defaultColWidth="8.796875" defaultRowHeight="15.75"/>
  <cols>
    <col min="1" max="1" width="2.3984375" style="108" customWidth="1"/>
    <col min="2" max="2" width="31" style="108" customWidth="1"/>
    <col min="3" max="4" width="15.69921875" style="108" customWidth="1"/>
    <col min="5" max="5" width="13.69921875" style="108" customWidth="1"/>
    <col min="6" max="6" width="8.796875" style="108" customWidth="1"/>
    <col min="7" max="7" width="9.19921875" style="108" customWidth="1"/>
    <col min="8" max="8" width="8.796875" style="108" customWidth="1"/>
    <col min="9" max="9" width="4.5" style="108" customWidth="1"/>
    <col min="10" max="10" width="9" style="108" customWidth="1"/>
    <col min="11" max="16384" width="8.796875" style="108" customWidth="1"/>
  </cols>
  <sheetData>
    <row r="1" spans="2:5" ht="15.75">
      <c r="B1" s="74">
        <f>inputPrYr!D3</f>
        <v>0</v>
      </c>
      <c r="C1" s="17"/>
      <c r="D1" s="17"/>
      <c r="E1" s="90">
        <f>inputPrYr!D7</f>
        <v>0</v>
      </c>
    </row>
    <row r="2" spans="2:5" ht="15.75">
      <c r="B2" s="81" t="s">
        <v>178</v>
      </c>
      <c r="C2" s="17"/>
      <c r="D2" s="103"/>
      <c r="E2" s="19"/>
    </row>
    <row r="3" spans="2:5" ht="15.75">
      <c r="B3" s="17"/>
      <c r="C3" s="23"/>
      <c r="D3" s="23"/>
      <c r="E3" s="23"/>
    </row>
    <row r="4" spans="2:5" ht="15.75">
      <c r="B4" s="25" t="s">
        <v>117</v>
      </c>
      <c r="C4" s="353" t="s">
        <v>118</v>
      </c>
      <c r="D4" s="354" t="s">
        <v>119</v>
      </c>
      <c r="E4" s="27" t="s">
        <v>120</v>
      </c>
    </row>
    <row r="5" spans="2:5" ht="15.75">
      <c r="B5" s="428">
        <f>inputPrYr!B34</f>
        <v>0</v>
      </c>
      <c r="C5" s="170" t="str">
        <f>gen!C5</f>
        <v>Actual for -2</v>
      </c>
      <c r="D5" s="170" t="str">
        <f>gen!D5</f>
        <v>Estimate for -1</v>
      </c>
      <c r="E5" s="32" t="str">
        <f>gen!E5</f>
        <v>Year for 0</v>
      </c>
    </row>
    <row r="6" spans="2:5" ht="15.75">
      <c r="B6" s="33" t="s">
        <v>215</v>
      </c>
      <c r="C6" s="171"/>
      <c r="D6" s="351">
        <f>C35</f>
        <v>0</v>
      </c>
      <c r="E6" s="125">
        <f>D35</f>
        <v>0</v>
      </c>
    </row>
    <row r="7" spans="2:5" ht="15.75">
      <c r="B7" s="33" t="s">
        <v>217</v>
      </c>
      <c r="C7" s="351"/>
      <c r="D7" s="351"/>
      <c r="E7" s="174"/>
    </row>
    <row r="8" spans="2:5" ht="15.75">
      <c r="B8" s="33" t="s">
        <v>123</v>
      </c>
      <c r="C8" s="171"/>
      <c r="D8" s="351">
        <f>IF(inputPrYr!H23&gt;0,inputPrYr!G34,inputPrYr!E34)</f>
        <v>0</v>
      </c>
      <c r="E8" s="174" t="s">
        <v>106</v>
      </c>
    </row>
    <row r="9" spans="2:5" ht="15.75">
      <c r="B9" s="33" t="s">
        <v>124</v>
      </c>
      <c r="C9" s="171"/>
      <c r="D9" s="171"/>
      <c r="E9" s="145"/>
    </row>
    <row r="10" spans="2:5" ht="15.75">
      <c r="B10" s="33" t="s">
        <v>125</v>
      </c>
      <c r="C10" s="171"/>
      <c r="D10" s="171"/>
      <c r="E10" s="125">
        <f>mvalloc!D21</f>
        <v>0</v>
      </c>
    </row>
    <row r="11" spans="2:5" ht="15.75">
      <c r="B11" s="33" t="s">
        <v>126</v>
      </c>
      <c r="C11" s="171"/>
      <c r="D11" s="171"/>
      <c r="E11" s="125">
        <f>mvalloc!E21</f>
        <v>0</v>
      </c>
    </row>
    <row r="12" spans="2:5" ht="15.75">
      <c r="B12" s="33" t="s">
        <v>205</v>
      </c>
      <c r="C12" s="171"/>
      <c r="D12" s="171"/>
      <c r="E12" s="125">
        <f>mvalloc!F21</f>
        <v>0</v>
      </c>
    </row>
    <row r="13" spans="2:5" ht="15.75">
      <c r="B13" s="753" t="s">
        <v>818</v>
      </c>
      <c r="C13" s="171"/>
      <c r="D13" s="171"/>
      <c r="E13" s="125">
        <f>mvalloc!G21</f>
        <v>0</v>
      </c>
    </row>
    <row r="14" spans="2:5" ht="15.75">
      <c r="B14" s="753" t="s">
        <v>819</v>
      </c>
      <c r="C14" s="171"/>
      <c r="D14" s="171"/>
      <c r="E14" s="125">
        <f>mvalloc!H21</f>
        <v>0</v>
      </c>
    </row>
    <row r="15" spans="2:11" ht="15.75">
      <c r="B15" s="176"/>
      <c r="C15" s="171"/>
      <c r="D15" s="171"/>
      <c r="E15" s="145"/>
      <c r="G15" s="922" t="str">
        <f>CONCATENATE("Desired Carryover Into ",E1+1,"")</f>
        <v>Desired Carryover Into 1</v>
      </c>
      <c r="H15" s="923"/>
      <c r="I15" s="923"/>
      <c r="J15" s="924"/>
      <c r="K15" s="500"/>
    </row>
    <row r="16" spans="2:11" ht="15.75">
      <c r="B16" s="176"/>
      <c r="C16" s="171"/>
      <c r="D16" s="171"/>
      <c r="E16" s="145"/>
      <c r="G16" s="532"/>
      <c r="H16" s="533"/>
      <c r="I16" s="534"/>
      <c r="J16" s="535"/>
      <c r="K16" s="500"/>
    </row>
    <row r="17" spans="2:11" ht="15.75">
      <c r="B17" s="177"/>
      <c r="C17" s="171"/>
      <c r="D17" s="171"/>
      <c r="E17" s="145"/>
      <c r="G17" s="536" t="s">
        <v>642</v>
      </c>
      <c r="H17" s="534"/>
      <c r="I17" s="534"/>
      <c r="J17" s="537">
        <v>0</v>
      </c>
      <c r="K17" s="500"/>
    </row>
    <row r="18" spans="2:11" ht="15.75">
      <c r="B18" s="177" t="s">
        <v>129</v>
      </c>
      <c r="C18" s="171"/>
      <c r="D18" s="171"/>
      <c r="E18" s="145"/>
      <c r="G18" s="532" t="s">
        <v>643</v>
      </c>
      <c r="H18" s="533"/>
      <c r="I18" s="533"/>
      <c r="J18" s="538">
        <f>IF(J17=0,"",ROUND((J17+E41-G30)/inputOth!E8*1000,3)-G35)</f>
      </c>
      <c r="K18" s="500"/>
    </row>
    <row r="19" spans="2:11" ht="15.75">
      <c r="B19" s="41" t="s">
        <v>47</v>
      </c>
      <c r="C19" s="171"/>
      <c r="D19" s="171"/>
      <c r="E19" s="185">
        <f>nhood!E16*-1</f>
        <v>0</v>
      </c>
      <c r="G19" s="539" t="str">
        <f>CONCATENATE("",E1," Tot Exp/Non-Appr Must Be:")</f>
        <v>0 Tot Exp/Non-Appr Must Be:</v>
      </c>
      <c r="H19" s="540"/>
      <c r="I19" s="541"/>
      <c r="J19" s="542">
        <f>IF(J17&gt;0,IF(E38&lt;E23,IF(J17=G30,E38,((J17-G30)*(1-D40))+E23),E38+(J17-G30)),0)</f>
        <v>0</v>
      </c>
      <c r="K19" s="500"/>
    </row>
    <row r="20" spans="2:11" ht="15.75">
      <c r="B20" s="178" t="s">
        <v>45</v>
      </c>
      <c r="C20" s="171"/>
      <c r="D20" s="171"/>
      <c r="E20" s="145"/>
      <c r="G20" s="543" t="s">
        <v>658</v>
      </c>
      <c r="H20" s="544"/>
      <c r="I20" s="544"/>
      <c r="J20" s="545">
        <f>IF(J17&gt;0,J19-E38,0)</f>
        <v>0</v>
      </c>
      <c r="K20" s="500"/>
    </row>
    <row r="21" spans="2:11" ht="15.75">
      <c r="B21" s="178" t="s">
        <v>46</v>
      </c>
      <c r="C21" s="350">
        <f>IF(C22*0.1&lt;C20,"Exceed 10% Rule","")</f>
      </c>
      <c r="D21" s="350">
        <f>IF(D22*0.1&lt;D20,"Exceed 10% Rule","")</f>
      </c>
      <c r="E21" s="341">
        <f>IF((E41+E22)*0.1&lt;E20,"Exceed 10% Rule","")</f>
      </c>
      <c r="G21" s="500"/>
      <c r="H21" s="500"/>
      <c r="I21" s="500"/>
      <c r="J21" s="500"/>
      <c r="K21" s="500"/>
    </row>
    <row r="22" spans="2:11" ht="15.75">
      <c r="B22" s="180" t="s">
        <v>130</v>
      </c>
      <c r="C22" s="352">
        <f>SUM(C8:C20)</f>
        <v>0</v>
      </c>
      <c r="D22" s="352">
        <f>SUM(D8:D20)</f>
        <v>0</v>
      </c>
      <c r="E22" s="182">
        <f>SUM(E8:E20)</f>
        <v>0</v>
      </c>
      <c r="G22" s="922" t="str">
        <f>CONCATENATE("Projected Carryover Into ",E1+1,"")</f>
        <v>Projected Carryover Into 1</v>
      </c>
      <c r="H22" s="925"/>
      <c r="I22" s="925"/>
      <c r="J22" s="926"/>
      <c r="K22" s="500"/>
    </row>
    <row r="23" spans="2:11" ht="15.75">
      <c r="B23" s="59" t="s">
        <v>131</v>
      </c>
      <c r="C23" s="352">
        <f>C22+C6</f>
        <v>0</v>
      </c>
      <c r="D23" s="352">
        <f>D22+D6</f>
        <v>0</v>
      </c>
      <c r="E23" s="182">
        <f>E22+E6</f>
        <v>0</v>
      </c>
      <c r="G23" s="532"/>
      <c r="H23" s="534"/>
      <c r="I23" s="534"/>
      <c r="J23" s="547"/>
      <c r="K23" s="500"/>
    </row>
    <row r="24" spans="2:11" ht="15.75">
      <c r="B24" s="33" t="s">
        <v>132</v>
      </c>
      <c r="C24" s="351"/>
      <c r="D24" s="351"/>
      <c r="E24" s="125"/>
      <c r="G24" s="550">
        <f>D35</f>
        <v>0</v>
      </c>
      <c r="H24" s="551" t="str">
        <f>CONCATENATE("",E1-1," Ending Cash Balance (est.)")</f>
        <v>-1 Ending Cash Balance (est.)</v>
      </c>
      <c r="I24" s="552"/>
      <c r="J24" s="547"/>
      <c r="K24" s="500"/>
    </row>
    <row r="25" spans="2:11" ht="15.75">
      <c r="B25" s="177"/>
      <c r="C25" s="171"/>
      <c r="D25" s="171"/>
      <c r="E25" s="145"/>
      <c r="G25" s="550">
        <f>E22</f>
        <v>0</v>
      </c>
      <c r="H25" s="534" t="str">
        <f>CONCATENATE("",E1," Non-AV Receipts (est.)")</f>
        <v>0 Non-AV Receipts (est.)</v>
      </c>
      <c r="I25" s="552"/>
      <c r="J25" s="547"/>
      <c r="K25" s="500"/>
    </row>
    <row r="26" spans="2:11" ht="15.75">
      <c r="B26" s="177"/>
      <c r="C26" s="171"/>
      <c r="D26" s="171"/>
      <c r="E26" s="145"/>
      <c r="G26" s="557">
        <f>IF(E40&gt;0,E39,E41)</f>
        <v>0</v>
      </c>
      <c r="H26" s="534" t="str">
        <f>CONCATENATE("",E1," Ad Valorem Tax (est.)")</f>
        <v>0 Ad Valorem Tax (est.)</v>
      </c>
      <c r="I26" s="534"/>
      <c r="J26" s="547"/>
      <c r="K26" s="558">
        <f>IF(G26=E41,"","Note: Does not include Delinquent Taxes")</f>
      </c>
    </row>
    <row r="27" spans="2:11" ht="15.75">
      <c r="B27" s="177"/>
      <c r="C27" s="171"/>
      <c r="D27" s="171"/>
      <c r="E27" s="145"/>
      <c r="G27" s="550">
        <f>SUM(G24:G26)</f>
        <v>0</v>
      </c>
      <c r="H27" s="534" t="str">
        <f>CONCATENATE("Total ",E1," Resources Available")</f>
        <v>Total 0 Resources Available</v>
      </c>
      <c r="I27" s="552"/>
      <c r="J27" s="547"/>
      <c r="K27" s="500"/>
    </row>
    <row r="28" spans="2:11" ht="15.75">
      <c r="B28" s="177"/>
      <c r="C28" s="171"/>
      <c r="D28" s="171"/>
      <c r="E28" s="145"/>
      <c r="G28" s="561"/>
      <c r="H28" s="534"/>
      <c r="I28" s="534"/>
      <c r="J28" s="547"/>
      <c r="K28" s="500"/>
    </row>
    <row r="29" spans="2:11" ht="15.75">
      <c r="B29" s="171"/>
      <c r="C29" s="171"/>
      <c r="D29" s="171"/>
      <c r="E29" s="145"/>
      <c r="G29" s="557">
        <f>ROUND(C34*0.05+C34,0)</f>
        <v>0</v>
      </c>
      <c r="H29" s="534" t="str">
        <f>CONCATENATE("Less ",E1-2," Expenditures + 5%")</f>
        <v>Less -2 Expenditures + 5%</v>
      </c>
      <c r="I29" s="534"/>
      <c r="J29" s="547"/>
      <c r="K29" s="500"/>
    </row>
    <row r="30" spans="2:11" ht="15.75">
      <c r="B30" s="177"/>
      <c r="C30" s="171"/>
      <c r="D30" s="171"/>
      <c r="E30" s="145"/>
      <c r="G30" s="565">
        <f>G27-G29</f>
        <v>0</v>
      </c>
      <c r="H30" s="566" t="str">
        <f>CONCATENATE("Projected ",E1+1," carryover (est.)")</f>
        <v>Projected 1 carryover (est.)</v>
      </c>
      <c r="I30" s="567"/>
      <c r="J30" s="568"/>
      <c r="K30" s="500"/>
    </row>
    <row r="31" spans="2:11" ht="15.75">
      <c r="B31" s="41" t="str">
        <f>CONCATENATE("Cash Forward (",E1," column)")</f>
        <v>Cash Forward (0 column)</v>
      </c>
      <c r="C31" s="171"/>
      <c r="D31" s="171"/>
      <c r="E31" s="145"/>
      <c r="G31" s="500"/>
      <c r="H31" s="500"/>
      <c r="I31" s="500"/>
      <c r="J31" s="500"/>
      <c r="K31" s="500"/>
    </row>
    <row r="32" spans="2:11" ht="15.75">
      <c r="B32" s="41" t="s">
        <v>45</v>
      </c>
      <c r="C32" s="171"/>
      <c r="D32" s="171"/>
      <c r="E32" s="145"/>
      <c r="G32" s="927" t="s">
        <v>659</v>
      </c>
      <c r="H32" s="928"/>
      <c r="I32" s="928"/>
      <c r="J32" s="929"/>
      <c r="K32" s="500"/>
    </row>
    <row r="33" spans="2:11" ht="15.75">
      <c r="B33" s="41" t="s">
        <v>637</v>
      </c>
      <c r="C33" s="350">
        <f>IF(C34*0.1&lt;C32,"Exceed 10% Rule","")</f>
      </c>
      <c r="D33" s="350">
        <f>IF(D34*0.1&lt;D32,"Exceed 10% Rule","")</f>
      </c>
      <c r="E33" s="341">
        <f>IF(E34*0.1&lt;E32,"Exceed 10% Rule","")</f>
      </c>
      <c r="G33" s="572"/>
      <c r="H33" s="551"/>
      <c r="I33" s="573"/>
      <c r="J33" s="574"/>
      <c r="K33" s="500"/>
    </row>
    <row r="34" spans="2:11" ht="15.75">
      <c r="B34" s="59" t="s">
        <v>133</v>
      </c>
      <c r="C34" s="352">
        <f>SUM(C25:C32)</f>
        <v>0</v>
      </c>
      <c r="D34" s="352">
        <f>SUM(D25:D32)</f>
        <v>0</v>
      </c>
      <c r="E34" s="182">
        <f>SUM(E25:E32)</f>
        <v>0</v>
      </c>
      <c r="G34" s="575" t="str">
        <f>summ!I37</f>
        <v> </v>
      </c>
      <c r="H34" s="551" t="str">
        <f>CONCATENATE("",E1," Fund Mill Rate")</f>
        <v>0 Fund Mill Rate</v>
      </c>
      <c r="I34" s="573"/>
      <c r="J34" s="574"/>
      <c r="K34" s="500"/>
    </row>
    <row r="35" spans="2:11" ht="15.75">
      <c r="B35" s="33" t="s">
        <v>216</v>
      </c>
      <c r="C35" s="356">
        <f>C23-C34</f>
        <v>0</v>
      </c>
      <c r="D35" s="356">
        <f>D23-D34</f>
        <v>0</v>
      </c>
      <c r="E35" s="174" t="s">
        <v>106</v>
      </c>
      <c r="G35" s="576" t="str">
        <f>summ!F37</f>
        <v>  </v>
      </c>
      <c r="H35" s="551" t="str">
        <f>CONCATENATE("",E1-1," Fund Mill Rate")</f>
        <v>-1 Fund Mill Rate</v>
      </c>
      <c r="I35" s="573"/>
      <c r="J35" s="574"/>
      <c r="K35" s="500"/>
    </row>
    <row r="36" spans="2:11" ht="15.75">
      <c r="B36" s="73" t="str">
        <f>CONCATENATE("",E1-2,"/",E1-1,"/",E1," Budget Authority Amount:")</f>
        <v>-2/-1/0 Budget Authority Amount:</v>
      </c>
      <c r="C36" s="190">
        <f>inputOth!B84</f>
        <v>0</v>
      </c>
      <c r="D36" s="190">
        <f>inputPrYr!D34</f>
        <v>0</v>
      </c>
      <c r="E36" s="125">
        <f>E34</f>
        <v>0</v>
      </c>
      <c r="G36" s="578">
        <f>summ!I45</f>
        <v>0</v>
      </c>
      <c r="H36" s="551" t="str">
        <f>CONCATENATE("Total ",E1," Mill Rate")</f>
        <v>Total 0 Mill Rate</v>
      </c>
      <c r="I36" s="573"/>
      <c r="J36" s="574"/>
      <c r="K36" s="500"/>
    </row>
    <row r="37" spans="2:11" ht="15.75">
      <c r="B37" s="3"/>
      <c r="C37" s="916" t="s">
        <v>638</v>
      </c>
      <c r="D37" s="917"/>
      <c r="E37" s="145"/>
      <c r="F37" s="186">
        <f>IF(E34/0.95-E34&lt;E37,"Exceeds 5%","")</f>
      </c>
      <c r="G37" s="576">
        <f>summ!F45</f>
        <v>0</v>
      </c>
      <c r="H37" s="579" t="str">
        <f>CONCATENATE("Total ",E1-1," Mill Rate")</f>
        <v>Total -1 Mill Rate</v>
      </c>
      <c r="I37" s="580"/>
      <c r="J37" s="581"/>
      <c r="K37" s="500"/>
    </row>
    <row r="38" spans="2:11" ht="15.75">
      <c r="B38" s="357" t="str">
        <f>CONCATENATE(C93,"     ",D93)</f>
        <v>     </v>
      </c>
      <c r="C38" s="918" t="s">
        <v>639</v>
      </c>
      <c r="D38" s="919"/>
      <c r="E38" s="125">
        <f>E34+E37</f>
        <v>0</v>
      </c>
      <c r="G38" s="500"/>
      <c r="H38" s="500"/>
      <c r="I38" s="500"/>
      <c r="J38" s="500"/>
      <c r="K38" s="500"/>
    </row>
    <row r="39" spans="2:11" ht="15.75">
      <c r="B39" s="357" t="str">
        <f>CONCATENATE(C94,"     ",D94)</f>
        <v>     </v>
      </c>
      <c r="C39" s="343"/>
      <c r="D39" s="91" t="s">
        <v>135</v>
      </c>
      <c r="E39" s="185">
        <f>IF(E38-E23&gt;0,E38-E23,0)</f>
        <v>0</v>
      </c>
      <c r="G39" s="806" t="s">
        <v>839</v>
      </c>
      <c r="H39" s="781"/>
      <c r="I39" s="782"/>
      <c r="J39" s="783" t="str">
        <f>cert!F46</f>
        <v>No</v>
      </c>
      <c r="K39" s="500"/>
    </row>
    <row r="40" spans="2:11" ht="15.75">
      <c r="B40" s="91"/>
      <c r="C40" s="433" t="s">
        <v>640</v>
      </c>
      <c r="D40" s="622">
        <f>inputOth!$E$67</f>
        <v>0</v>
      </c>
      <c r="E40" s="125">
        <f>ROUND(IF(D40&gt;0,(E39*D40),0),0)</f>
        <v>0</v>
      </c>
      <c r="G40" s="804" t="str">
        <f>CONCATENATE("Computed ",E1," tax levy limit amount")</f>
        <v>Computed 0 tax levy limit amount</v>
      </c>
      <c r="H40" s="803"/>
      <c r="I40" s="803"/>
      <c r="J40" s="802">
        <f>computationTown!J41</f>
        <v>0</v>
      </c>
      <c r="K40" s="500"/>
    </row>
    <row r="41" spans="2:11" ht="15.75">
      <c r="B41" s="17"/>
      <c r="C41" s="920" t="str">
        <f>CONCATENATE("Amount of  ",$E$1-1," Ad Valorem Tax")</f>
        <v>Amount of  -1 Ad Valorem Tax</v>
      </c>
      <c r="D41" s="921"/>
      <c r="E41" s="185">
        <f>E39+E40</f>
        <v>0</v>
      </c>
      <c r="G41" s="801" t="str">
        <f>CONCATENATE("Total ",E1," tax levy amount")</f>
        <v>Total 0 tax levy amount</v>
      </c>
      <c r="H41" s="800"/>
      <c r="I41" s="800"/>
      <c r="J41" s="799">
        <f>summ!H45</f>
        <v>0</v>
      </c>
      <c r="K41" s="500"/>
    </row>
    <row r="42" spans="2:11" ht="15.75">
      <c r="B42" s="17"/>
      <c r="C42" s="487"/>
      <c r="D42" s="17"/>
      <c r="E42" s="17"/>
      <c r="G42" s="500"/>
      <c r="H42" s="500"/>
      <c r="I42" s="500"/>
      <c r="J42" s="500"/>
      <c r="K42" s="500"/>
    </row>
    <row r="43" spans="2:11" ht="15.75">
      <c r="B43" s="17"/>
      <c r="C43" s="487"/>
      <c r="D43" s="17"/>
      <c r="E43" s="17"/>
      <c r="G43" s="500"/>
      <c r="H43" s="500"/>
      <c r="I43" s="500"/>
      <c r="J43" s="500"/>
      <c r="K43" s="500"/>
    </row>
    <row r="44" spans="2:11" ht="15.75">
      <c r="B44" s="25" t="s">
        <v>117</v>
      </c>
      <c r="C44" s="23"/>
      <c r="D44" s="23"/>
      <c r="E44" s="23"/>
      <c r="G44" s="500"/>
      <c r="H44" s="500"/>
      <c r="I44" s="500"/>
      <c r="J44" s="500"/>
      <c r="K44" s="500"/>
    </row>
    <row r="45" spans="2:11" ht="15.75">
      <c r="B45" s="17"/>
      <c r="C45" s="353" t="s">
        <v>118</v>
      </c>
      <c r="D45" s="354" t="s">
        <v>119</v>
      </c>
      <c r="E45" s="27" t="s">
        <v>120</v>
      </c>
      <c r="G45" s="500"/>
      <c r="H45" s="500"/>
      <c r="I45" s="500"/>
      <c r="J45" s="500"/>
      <c r="K45" s="500"/>
    </row>
    <row r="46" spans="2:11" ht="15.75">
      <c r="B46" s="428">
        <f>inputPrYr!B35</f>
        <v>0</v>
      </c>
      <c r="C46" s="170" t="str">
        <f>C5</f>
        <v>Actual for -2</v>
      </c>
      <c r="D46" s="170" t="str">
        <f>D5</f>
        <v>Estimate for -1</v>
      </c>
      <c r="E46" s="32" t="str">
        <f>E5</f>
        <v>Year for 0</v>
      </c>
      <c r="G46" s="500"/>
      <c r="H46" s="500"/>
      <c r="I46" s="500"/>
      <c r="J46" s="500"/>
      <c r="K46" s="500"/>
    </row>
    <row r="47" spans="2:11" ht="15.75">
      <c r="B47" s="33" t="s">
        <v>215</v>
      </c>
      <c r="C47" s="171"/>
      <c r="D47" s="351">
        <f>C76</f>
        <v>0</v>
      </c>
      <c r="E47" s="125">
        <f>D76</f>
        <v>0</v>
      </c>
      <c r="G47" s="500"/>
      <c r="H47" s="500"/>
      <c r="I47" s="500"/>
      <c r="J47" s="500"/>
      <c r="K47" s="500"/>
    </row>
    <row r="48" spans="2:11" ht="15.75">
      <c r="B48" s="33" t="s">
        <v>217</v>
      </c>
      <c r="C48" s="351"/>
      <c r="D48" s="351"/>
      <c r="E48" s="174"/>
      <c r="G48" s="500"/>
      <c r="H48" s="500"/>
      <c r="I48" s="500"/>
      <c r="J48" s="500"/>
      <c r="K48" s="500"/>
    </row>
    <row r="49" spans="2:11" ht="15.75">
      <c r="B49" s="33" t="s">
        <v>123</v>
      </c>
      <c r="C49" s="171"/>
      <c r="D49" s="351">
        <f>IF(inputPrYr!H23&gt;0,inputPrYr!G35,inputPrYr!E35)</f>
        <v>0</v>
      </c>
      <c r="E49" s="174" t="s">
        <v>106</v>
      </c>
      <c r="G49" s="500"/>
      <c r="H49" s="500"/>
      <c r="I49" s="500"/>
      <c r="J49" s="500"/>
      <c r="K49" s="500"/>
    </row>
    <row r="50" spans="2:11" ht="15.75">
      <c r="B50" s="33" t="s">
        <v>124</v>
      </c>
      <c r="C50" s="171"/>
      <c r="D50" s="171"/>
      <c r="E50" s="145"/>
      <c r="G50" s="500"/>
      <c r="H50" s="500"/>
      <c r="I50" s="500"/>
      <c r="J50" s="500"/>
      <c r="K50" s="500"/>
    </row>
    <row r="51" spans="2:11" ht="15.75">
      <c r="B51" s="33" t="s">
        <v>125</v>
      </c>
      <c r="C51" s="171"/>
      <c r="D51" s="171"/>
      <c r="E51" s="125">
        <f>mvalloc!D22</f>
        <v>0</v>
      </c>
      <c r="G51" s="500"/>
      <c r="H51" s="500"/>
      <c r="I51" s="500"/>
      <c r="J51" s="500"/>
      <c r="K51" s="500"/>
    </row>
    <row r="52" spans="2:11" ht="15.75">
      <c r="B52" s="33" t="s">
        <v>126</v>
      </c>
      <c r="C52" s="171"/>
      <c r="D52" s="171"/>
      <c r="E52" s="125">
        <f>mvalloc!E22</f>
        <v>0</v>
      </c>
      <c r="G52" s="500"/>
      <c r="H52" s="500"/>
      <c r="I52" s="500"/>
      <c r="J52" s="500"/>
      <c r="K52" s="500"/>
    </row>
    <row r="53" spans="2:11" ht="15.75">
      <c r="B53" s="33" t="s">
        <v>205</v>
      </c>
      <c r="C53" s="171"/>
      <c r="D53" s="171"/>
      <c r="E53" s="125">
        <f>mvalloc!F22</f>
        <v>0</v>
      </c>
      <c r="G53" s="500"/>
      <c r="H53" s="500"/>
      <c r="I53" s="500"/>
      <c r="J53" s="500"/>
      <c r="K53" s="500"/>
    </row>
    <row r="54" spans="2:11" ht="15.75">
      <c r="B54" s="753" t="s">
        <v>818</v>
      </c>
      <c r="C54" s="171"/>
      <c r="D54" s="171"/>
      <c r="E54" s="125">
        <f>mvalloc!G22</f>
        <v>0</v>
      </c>
      <c r="G54" s="500"/>
      <c r="H54" s="500"/>
      <c r="I54" s="500"/>
      <c r="J54" s="500"/>
      <c r="K54" s="500"/>
    </row>
    <row r="55" spans="2:11" ht="15.75">
      <c r="B55" s="753" t="s">
        <v>819</v>
      </c>
      <c r="C55" s="171"/>
      <c r="D55" s="171"/>
      <c r="E55" s="125">
        <f>mvalloc!H22</f>
        <v>0</v>
      </c>
      <c r="G55" s="500"/>
      <c r="H55" s="500"/>
      <c r="I55" s="500"/>
      <c r="J55" s="500"/>
      <c r="K55" s="500"/>
    </row>
    <row r="56" spans="2:11" ht="15.75">
      <c r="B56" s="176"/>
      <c r="C56" s="171"/>
      <c r="D56" s="171"/>
      <c r="E56" s="145"/>
      <c r="G56" s="922" t="str">
        <f>CONCATENATE("Desired Carryover Into ",E1+1,"")</f>
        <v>Desired Carryover Into 1</v>
      </c>
      <c r="H56" s="923"/>
      <c r="I56" s="923"/>
      <c r="J56" s="924"/>
      <c r="K56" s="500"/>
    </row>
    <row r="57" spans="2:11" ht="15.75">
      <c r="B57" s="176"/>
      <c r="C57" s="171"/>
      <c r="D57" s="171"/>
      <c r="E57" s="145"/>
      <c r="G57" s="532"/>
      <c r="H57" s="533"/>
      <c r="I57" s="534"/>
      <c r="J57" s="535"/>
      <c r="K57" s="500"/>
    </row>
    <row r="58" spans="2:11" ht="15.75">
      <c r="B58" s="177"/>
      <c r="C58" s="171"/>
      <c r="D58" s="171"/>
      <c r="E58" s="145"/>
      <c r="G58" s="536" t="s">
        <v>642</v>
      </c>
      <c r="H58" s="534"/>
      <c r="I58" s="534"/>
      <c r="J58" s="537">
        <v>0</v>
      </c>
      <c r="K58" s="500"/>
    </row>
    <row r="59" spans="2:11" ht="15.75">
      <c r="B59" s="177" t="s">
        <v>129</v>
      </c>
      <c r="C59" s="171"/>
      <c r="D59" s="171"/>
      <c r="E59" s="145"/>
      <c r="G59" s="532" t="s">
        <v>643</v>
      </c>
      <c r="H59" s="533"/>
      <c r="I59" s="533"/>
      <c r="J59" s="538">
        <f>IF(J58=0,"",ROUND((J58+E82-G71)/inputOth!E8*1000,3)-G76)</f>
      </c>
      <c r="K59" s="500"/>
    </row>
    <row r="60" spans="2:11" ht="15.75">
      <c r="B60" s="41" t="s">
        <v>47</v>
      </c>
      <c r="C60" s="171"/>
      <c r="D60" s="171"/>
      <c r="E60" s="185">
        <f>nhood!E17*-1</f>
        <v>0</v>
      </c>
      <c r="G60" s="539" t="str">
        <f>CONCATENATE("",E1," Tot Exp/Non-Appr Must Be:")</f>
        <v>0 Tot Exp/Non-Appr Must Be:</v>
      </c>
      <c r="H60" s="540"/>
      <c r="I60" s="541"/>
      <c r="J60" s="542">
        <f>IF(J58&gt;0,IF(E79&lt;E64,IF(J58=G71,E79,((J58-G71)*(1-D81))+E64),E79+(J58-G71)),0)</f>
        <v>0</v>
      </c>
      <c r="K60" s="500"/>
    </row>
    <row r="61" spans="2:11" ht="15.75">
      <c r="B61" s="178" t="s">
        <v>45</v>
      </c>
      <c r="C61" s="171"/>
      <c r="D61" s="171"/>
      <c r="E61" s="145"/>
      <c r="G61" s="543" t="s">
        <v>658</v>
      </c>
      <c r="H61" s="544"/>
      <c r="I61" s="544"/>
      <c r="J61" s="545">
        <f>IF(J58&gt;0,J60-E79,0)</f>
        <v>0</v>
      </c>
      <c r="K61" s="500"/>
    </row>
    <row r="62" spans="2:11" ht="15.75">
      <c r="B62" s="178" t="s">
        <v>46</v>
      </c>
      <c r="C62" s="350">
        <f>IF(C63*0.1&lt;C61,"Exceed 10% Rule","")</f>
      </c>
      <c r="D62" s="350">
        <f>IF(D63*0.1&lt;D61,"Exceed 10% Rule","")</f>
      </c>
      <c r="E62" s="341">
        <f>IF((E82+E63)*0.1&lt;E61,"Exceed 10% Rule","")</f>
      </c>
      <c r="G62" s="500"/>
      <c r="H62" s="500"/>
      <c r="I62" s="500"/>
      <c r="J62" s="500"/>
      <c r="K62" s="500"/>
    </row>
    <row r="63" spans="2:11" ht="15.75">
      <c r="B63" s="180" t="s">
        <v>130</v>
      </c>
      <c r="C63" s="352">
        <f>SUM(C49:C61)</f>
        <v>0</v>
      </c>
      <c r="D63" s="352">
        <f>SUM(D49:D61)</f>
        <v>0</v>
      </c>
      <c r="E63" s="182">
        <f>SUM(E49:E61)</f>
        <v>0</v>
      </c>
      <c r="G63" s="922" t="str">
        <f>CONCATENATE("Projected Carryover Into ",E1+1,"")</f>
        <v>Projected Carryover Into 1</v>
      </c>
      <c r="H63" s="949"/>
      <c r="I63" s="949"/>
      <c r="J63" s="926"/>
      <c r="K63" s="500"/>
    </row>
    <row r="64" spans="2:11" ht="15.75">
      <c r="B64" s="59" t="s">
        <v>131</v>
      </c>
      <c r="C64" s="352">
        <f>C63+C47</f>
        <v>0</v>
      </c>
      <c r="D64" s="352">
        <f>D63+D47</f>
        <v>0</v>
      </c>
      <c r="E64" s="182">
        <f>E63+E47</f>
        <v>0</v>
      </c>
      <c r="G64" s="584"/>
      <c r="H64" s="533"/>
      <c r="I64" s="533"/>
      <c r="J64" s="585"/>
      <c r="K64" s="500"/>
    </row>
    <row r="65" spans="2:11" ht="15.75">
      <c r="B65" s="33" t="s">
        <v>132</v>
      </c>
      <c r="C65" s="351"/>
      <c r="D65" s="351"/>
      <c r="E65" s="125"/>
      <c r="G65" s="550">
        <f>D76</f>
        <v>0</v>
      </c>
      <c r="H65" s="551" t="str">
        <f>CONCATENATE("",E1-1," Ending Cash Balance (est.)")</f>
        <v>-1 Ending Cash Balance (est.)</v>
      </c>
      <c r="I65" s="552"/>
      <c r="J65" s="585"/>
      <c r="K65" s="500"/>
    </row>
    <row r="66" spans="2:11" ht="15.75">
      <c r="B66" s="177"/>
      <c r="C66" s="171"/>
      <c r="D66" s="171"/>
      <c r="E66" s="145"/>
      <c r="G66" s="550">
        <f>E63</f>
        <v>0</v>
      </c>
      <c r="H66" s="534" t="str">
        <f>CONCATENATE("",E1," Non-AV Receipts (est.)")</f>
        <v>0 Non-AV Receipts (est.)</v>
      </c>
      <c r="I66" s="552"/>
      <c r="J66" s="585"/>
      <c r="K66" s="500"/>
    </row>
    <row r="67" spans="2:11" ht="15.75">
      <c r="B67" s="177"/>
      <c r="C67" s="171"/>
      <c r="D67" s="171"/>
      <c r="E67" s="145"/>
      <c r="G67" s="557">
        <f>IF(E81&gt;0,E80,E82)</f>
        <v>0</v>
      </c>
      <c r="H67" s="534" t="str">
        <f>CONCATENATE("",E1," Ad Valorem Tax (est.)")</f>
        <v>0 Ad Valorem Tax (est.)</v>
      </c>
      <c r="I67" s="534"/>
      <c r="J67" s="585"/>
      <c r="K67" s="558">
        <f>IF(G67=E82,"","Note: Does not include Delinquent Taxes")</f>
      </c>
    </row>
    <row r="68" spans="2:11" ht="15.75">
      <c r="B68" s="177"/>
      <c r="C68" s="171"/>
      <c r="D68" s="171"/>
      <c r="E68" s="145"/>
      <c r="G68" s="587">
        <f>SUM(G65:G67)</f>
        <v>0</v>
      </c>
      <c r="H68" s="534" t="str">
        <f>CONCATENATE("Total ",E1," Resources Available")</f>
        <v>Total 0 Resources Available</v>
      </c>
      <c r="I68" s="588"/>
      <c r="J68" s="585"/>
      <c r="K68" s="500"/>
    </row>
    <row r="69" spans="2:11" ht="15.75">
      <c r="B69" s="177"/>
      <c r="C69" s="171"/>
      <c r="D69" s="171"/>
      <c r="E69" s="145"/>
      <c r="G69" s="589"/>
      <c r="H69" s="590"/>
      <c r="I69" s="533"/>
      <c r="J69" s="585"/>
      <c r="K69" s="500"/>
    </row>
    <row r="70" spans="2:11" ht="15.75">
      <c r="B70" s="177"/>
      <c r="C70" s="171"/>
      <c r="D70" s="171"/>
      <c r="E70" s="145"/>
      <c r="G70" s="557">
        <f>ROUND(C75*0.05+C75,0)</f>
        <v>0</v>
      </c>
      <c r="H70" s="534" t="str">
        <f>CONCATENATE("Less ",E1-2," Expenditures + 5%")</f>
        <v>Less -2 Expenditures + 5%</v>
      </c>
      <c r="I70" s="588"/>
      <c r="J70" s="585"/>
      <c r="K70" s="500"/>
    </row>
    <row r="71" spans="2:11" ht="15.75">
      <c r="B71" s="177"/>
      <c r="C71" s="171"/>
      <c r="D71" s="171"/>
      <c r="E71" s="145"/>
      <c r="G71" s="565">
        <f>G68-G70</f>
        <v>0</v>
      </c>
      <c r="H71" s="566" t="str">
        <f>CONCATENATE("Projected ",E1+1," carryover (est.)")</f>
        <v>Projected 1 carryover (est.)</v>
      </c>
      <c r="I71" s="591"/>
      <c r="J71" s="592"/>
      <c r="K71" s="500"/>
    </row>
    <row r="72" spans="2:11" ht="15.75">
      <c r="B72" s="41" t="str">
        <f>CONCATENATE("Cash Forward (",E1," column)")</f>
        <v>Cash Forward (0 column)</v>
      </c>
      <c r="C72" s="171"/>
      <c r="D72" s="171"/>
      <c r="E72" s="145"/>
      <c r="G72" s="500"/>
      <c r="H72" s="500"/>
      <c r="I72" s="500"/>
      <c r="J72" s="500"/>
      <c r="K72" s="500"/>
    </row>
    <row r="73" spans="2:11" ht="15.75">
      <c r="B73" s="41" t="s">
        <v>45</v>
      </c>
      <c r="C73" s="171"/>
      <c r="D73" s="171"/>
      <c r="E73" s="145"/>
      <c r="G73" s="927" t="s">
        <v>659</v>
      </c>
      <c r="H73" s="928"/>
      <c r="I73" s="928"/>
      <c r="J73" s="929"/>
      <c r="K73" s="500"/>
    </row>
    <row r="74" spans="2:11" ht="15.75">
      <c r="B74" s="41" t="s">
        <v>637</v>
      </c>
      <c r="C74" s="350">
        <f>IF(C75*0.1&lt;C73,"Exceed 10% Rule","")</f>
      </c>
      <c r="D74" s="350">
        <f>IF(D75*0.1&lt;D73,"Exceed 10% Rule","")</f>
      </c>
      <c r="E74" s="341">
        <f>IF(E75*0.1&lt;E73,"Exceed 10% Rule","")</f>
      </c>
      <c r="G74" s="572"/>
      <c r="H74" s="551"/>
      <c r="I74" s="573"/>
      <c r="J74" s="574"/>
      <c r="K74" s="500"/>
    </row>
    <row r="75" spans="2:11" ht="15.75">
      <c r="B75" s="59" t="s">
        <v>133</v>
      </c>
      <c r="C75" s="352">
        <f>SUM(C66:C73)</f>
        <v>0</v>
      </c>
      <c r="D75" s="352">
        <f>SUM(D66:D73)</f>
        <v>0</v>
      </c>
      <c r="E75" s="182">
        <f>SUM(E66:E73)</f>
        <v>0</v>
      </c>
      <c r="G75" s="575" t="str">
        <f>summ!I38</f>
        <v> </v>
      </c>
      <c r="H75" s="551" t="str">
        <f>CONCATENATE("",E1," Fund Mill Rate")</f>
        <v>0 Fund Mill Rate</v>
      </c>
      <c r="I75" s="573"/>
      <c r="J75" s="574"/>
      <c r="K75" s="500"/>
    </row>
    <row r="76" spans="2:11" ht="15.75">
      <c r="B76" s="33" t="s">
        <v>216</v>
      </c>
      <c r="C76" s="356">
        <f>C64-C75</f>
        <v>0</v>
      </c>
      <c r="D76" s="356">
        <f>D64-D75</f>
        <v>0</v>
      </c>
      <c r="E76" s="174" t="s">
        <v>106</v>
      </c>
      <c r="G76" s="576" t="str">
        <f>summ!F38</f>
        <v>  </v>
      </c>
      <c r="H76" s="551" t="str">
        <f>CONCATENATE("",E1-1," Fund Mill Rate")</f>
        <v>-1 Fund Mill Rate</v>
      </c>
      <c r="I76" s="573"/>
      <c r="J76" s="574"/>
      <c r="K76" s="500"/>
    </row>
    <row r="77" spans="2:11" ht="15.75">
      <c r="B77" s="73" t="str">
        <f>CONCATENATE("",E1-2,"/",E1-1,"/",E1," Budget Authority Amount:")</f>
        <v>-2/-1/0 Budget Authority Amount:</v>
      </c>
      <c r="C77" s="190">
        <f>inputOth!B85</f>
        <v>0</v>
      </c>
      <c r="D77" s="190">
        <f>inputPrYr!D35</f>
        <v>0</v>
      </c>
      <c r="E77" s="125">
        <f>E75</f>
        <v>0</v>
      </c>
      <c r="G77" s="578">
        <f>summ!I45</f>
        <v>0</v>
      </c>
      <c r="H77" s="551" t="str">
        <f>CONCATENATE("Total ",E1," Mill Rate")</f>
        <v>Total 0 Mill Rate</v>
      </c>
      <c r="I77" s="573"/>
      <c r="J77" s="574"/>
      <c r="K77" s="500"/>
    </row>
    <row r="78" spans="2:11" ht="15.75">
      <c r="B78" s="3"/>
      <c r="C78" s="916" t="s">
        <v>638</v>
      </c>
      <c r="D78" s="917"/>
      <c r="E78" s="145"/>
      <c r="F78" s="186">
        <f>IF(E75/0.95-E75&lt;E78,"Exceeds 5%","")</f>
      </c>
      <c r="G78" s="576">
        <f>summ!F45</f>
        <v>0</v>
      </c>
      <c r="H78" s="579" t="str">
        <f>CONCATENATE("Total ",E1-1," Mill Rate")</f>
        <v>Total -1 Mill Rate</v>
      </c>
      <c r="I78" s="580"/>
      <c r="J78" s="581"/>
      <c r="K78" s="500"/>
    </row>
    <row r="79" spans="2:5" ht="15.75">
      <c r="B79" s="357" t="str">
        <f>CONCATENATE(C95,"     ",D95)</f>
        <v>     </v>
      </c>
      <c r="C79" s="918" t="s">
        <v>639</v>
      </c>
      <c r="D79" s="919"/>
      <c r="E79" s="125">
        <f>E75+E78</f>
        <v>0</v>
      </c>
    </row>
    <row r="80" spans="2:10" ht="15.75">
      <c r="B80" s="357" t="str">
        <f>CONCATENATE(C96,"     ",D96)</f>
        <v>     </v>
      </c>
      <c r="C80" s="343"/>
      <c r="D80" s="91" t="s">
        <v>135</v>
      </c>
      <c r="E80" s="185">
        <f>IF(E79-E64&gt;0,E79-E64,0)</f>
        <v>0</v>
      </c>
      <c r="G80" s="806" t="s">
        <v>839</v>
      </c>
      <c r="H80" s="781"/>
      <c r="I80" s="782"/>
      <c r="J80" s="783" t="str">
        <f>cert!F46</f>
        <v>No</v>
      </c>
    </row>
    <row r="81" spans="2:10" ht="15.75">
      <c r="B81" s="91"/>
      <c r="C81" s="433" t="s">
        <v>640</v>
      </c>
      <c r="D81" s="622">
        <f>inputOth!$E$67</f>
        <v>0</v>
      </c>
      <c r="E81" s="125">
        <f>ROUND(IF(D81&gt;0,(E80*D81),0),0)</f>
        <v>0</v>
      </c>
      <c r="G81" s="784" t="str">
        <f>CONCATENATE("Computed ",E1," tax levy limit amount")</f>
        <v>Computed 0 tax levy limit amount</v>
      </c>
      <c r="H81" s="785"/>
      <c r="I81" s="785"/>
      <c r="J81" s="786">
        <f>computationTown!J41</f>
        <v>0</v>
      </c>
    </row>
    <row r="82" spans="2:10" ht="15.75">
      <c r="B82" s="17"/>
      <c r="C82" s="920" t="str">
        <f>CONCATENATE("Amount of  ",$E$1-1," Ad Valorem Tax")</f>
        <v>Amount of  -1 Ad Valorem Tax</v>
      </c>
      <c r="D82" s="921"/>
      <c r="E82" s="185">
        <f>E80+E81</f>
        <v>0</v>
      </c>
      <c r="G82" s="787" t="str">
        <f>CONCATENATE("Total ",E1," tax levy amount")</f>
        <v>Total 0 tax levy amount</v>
      </c>
      <c r="H82" s="788"/>
      <c r="I82" s="788"/>
      <c r="J82" s="789">
        <f>summ!H45</f>
        <v>0</v>
      </c>
    </row>
    <row r="83" spans="2:10" ht="15.75">
      <c r="B83" s="17"/>
      <c r="C83" s="487"/>
      <c r="D83" s="487"/>
      <c r="E83" s="487"/>
      <c r="G83" s="839"/>
      <c r="H83" s="840"/>
      <c r="I83" s="840"/>
      <c r="J83" s="841"/>
    </row>
    <row r="84" spans="2:10" ht="15.75">
      <c r="B84" s="817" t="s">
        <v>983</v>
      </c>
      <c r="C84" s="834"/>
      <c r="D84" s="834"/>
      <c r="E84" s="835"/>
      <c r="G84" s="839"/>
      <c r="H84" s="840"/>
      <c r="I84" s="840"/>
      <c r="J84" s="841"/>
    </row>
    <row r="85" spans="2:10" ht="15.75">
      <c r="B85" s="440"/>
      <c r="C85" s="487"/>
      <c r="D85" s="487"/>
      <c r="E85" s="836"/>
      <c r="G85" s="839"/>
      <c r="H85" s="840"/>
      <c r="I85" s="840"/>
      <c r="J85" s="841"/>
    </row>
    <row r="86" spans="2:10" ht="15.75">
      <c r="B86" s="818"/>
      <c r="C86" s="837"/>
      <c r="D86" s="837"/>
      <c r="E86" s="838"/>
      <c r="G86" s="839"/>
      <c r="H86" s="840"/>
      <c r="I86" s="840"/>
      <c r="J86" s="841"/>
    </row>
    <row r="87" spans="2:10" ht="15.75">
      <c r="B87" s="17"/>
      <c r="C87" s="487"/>
      <c r="D87" s="487"/>
      <c r="E87" s="487"/>
      <c r="G87" s="839"/>
      <c r="H87" s="840"/>
      <c r="I87" s="840"/>
      <c r="J87" s="841"/>
    </row>
    <row r="88" spans="2:5" ht="15.75">
      <c r="B88" s="91" t="s">
        <v>116</v>
      </c>
      <c r="C88" s="740"/>
      <c r="D88" s="17"/>
      <c r="E88" s="17"/>
    </row>
    <row r="89" ht="15.75">
      <c r="B89" s="5"/>
    </row>
    <row r="93" spans="3:4" ht="15.75" hidden="1">
      <c r="C93" s="108">
        <f>IF(C34&gt;C36,"See Tab A","")</f>
      </c>
      <c r="D93" s="108">
        <f>IF(D34&gt;D36,"See Tab C","")</f>
      </c>
    </row>
    <row r="94" spans="3:4" ht="15.75" hidden="1">
      <c r="C94" s="108">
        <f>IF(C35&lt;0,"See Tab B","")</f>
      </c>
      <c r="D94" s="108">
        <f>IF(D35&lt;0,"See Tab D","")</f>
      </c>
    </row>
    <row r="95" spans="3:4" ht="15.75" hidden="1">
      <c r="C95" s="108">
        <f>IF(C75&gt;C77,"See Tab A","")</f>
      </c>
      <c r="D95" s="108">
        <f>IF(D75&gt;D77,"See Tab C","")</f>
      </c>
    </row>
    <row r="96" spans="3:4" ht="15.75" hidden="1">
      <c r="C96" s="108">
        <f>IF(C76&lt;0,"See Tab B","")</f>
      </c>
      <c r="D96" s="108">
        <f>IF(D76&lt;0,"See Tab D","")</f>
      </c>
    </row>
  </sheetData>
  <sheetProtection sheet="1"/>
  <mergeCells count="12">
    <mergeCell ref="G15:J15"/>
    <mergeCell ref="G22:J22"/>
    <mergeCell ref="G32:J32"/>
    <mergeCell ref="G56:J56"/>
    <mergeCell ref="G63:J63"/>
    <mergeCell ref="G73:J73"/>
    <mergeCell ref="C41:D41"/>
    <mergeCell ref="C82:D82"/>
    <mergeCell ref="C37:D37"/>
    <mergeCell ref="C38:D38"/>
    <mergeCell ref="C78:D78"/>
    <mergeCell ref="C79:D79"/>
  </mergeCells>
  <conditionalFormatting sqref="C73">
    <cfRule type="cellIs" priority="4" dxfId="179" operator="greaterThan" stopIfTrue="1">
      <formula>$C$75*0.1</formula>
    </cfRule>
  </conditionalFormatting>
  <conditionalFormatting sqref="D73">
    <cfRule type="cellIs" priority="5" dxfId="179" operator="greaterThan" stopIfTrue="1">
      <formula>$D$75*0.1</formula>
    </cfRule>
  </conditionalFormatting>
  <conditionalFormatting sqref="E73">
    <cfRule type="cellIs" priority="6" dxfId="179" operator="greaterThan" stopIfTrue="1">
      <formula>$E$75*0.1</formula>
    </cfRule>
  </conditionalFormatting>
  <conditionalFormatting sqref="C61">
    <cfRule type="cellIs" priority="7" dxfId="179" operator="greaterThan" stopIfTrue="1">
      <formula>$C$63*0.1</formula>
    </cfRule>
  </conditionalFormatting>
  <conditionalFormatting sqref="D61">
    <cfRule type="cellIs" priority="8" dxfId="179" operator="greaterThan" stopIfTrue="1">
      <formula>$D$63*0.1</formula>
    </cfRule>
  </conditionalFormatting>
  <conditionalFormatting sqref="E78">
    <cfRule type="cellIs" priority="9" dxfId="179" operator="greaterThan" stopIfTrue="1">
      <formula>$E$75/0.95-$E$75</formula>
    </cfRule>
  </conditionalFormatting>
  <conditionalFormatting sqref="C32">
    <cfRule type="cellIs" priority="10" dxfId="179" operator="greaterThan" stopIfTrue="1">
      <formula>$C$34*0.1</formula>
    </cfRule>
  </conditionalFormatting>
  <conditionalFormatting sqref="D32">
    <cfRule type="cellIs" priority="11" dxfId="179" operator="greaterThan" stopIfTrue="1">
      <formula>$D$34*0.1</formula>
    </cfRule>
  </conditionalFormatting>
  <conditionalFormatting sqref="E32">
    <cfRule type="cellIs" priority="12" dxfId="179" operator="greaterThan" stopIfTrue="1">
      <formula>$E$34*0.1</formula>
    </cfRule>
  </conditionalFormatting>
  <conditionalFormatting sqref="C20">
    <cfRule type="cellIs" priority="13" dxfId="179" operator="greaterThan" stopIfTrue="1">
      <formula>$C$22*0.1</formula>
    </cfRule>
  </conditionalFormatting>
  <conditionalFormatting sqref="D20">
    <cfRule type="cellIs" priority="14" dxfId="179" operator="greaterThan" stopIfTrue="1">
      <formula>$D$22*0.1</formula>
    </cfRule>
  </conditionalFormatting>
  <conditionalFormatting sqref="E37">
    <cfRule type="cellIs" priority="15" dxfId="179" operator="greaterThan" stopIfTrue="1">
      <formula>$E$34/0.95-$E$34</formula>
    </cfRule>
  </conditionalFormatting>
  <conditionalFormatting sqref="C35 C76">
    <cfRule type="cellIs" priority="16" dxfId="179" operator="lessThan" stopIfTrue="1">
      <formula>0</formula>
    </cfRule>
  </conditionalFormatting>
  <conditionalFormatting sqref="D35">
    <cfRule type="cellIs" priority="2" dxfId="0" operator="lessThan" stopIfTrue="1">
      <formula>0</formula>
    </cfRule>
    <cfRule type="cellIs" priority="3" dxfId="0" operator="lessThan" stopIfTrue="1">
      <formula>0</formula>
    </cfRule>
  </conditionalFormatting>
  <conditionalFormatting sqref="D76">
    <cfRule type="cellIs" priority="1" dxfId="0" operator="lessThan" stopIfTrue="1">
      <formula>0</formula>
    </cfRule>
  </conditionalFormatting>
  <conditionalFormatting sqref="D34">
    <cfRule type="cellIs" priority="38" dxfId="5" operator="greaterThan" stopIfTrue="1">
      <formula>$D$36</formula>
    </cfRule>
  </conditionalFormatting>
  <conditionalFormatting sqref="C34">
    <cfRule type="cellIs" priority="53" dxfId="5" operator="greaterThan" stopIfTrue="1">
      <formula>$C$36</formula>
    </cfRule>
  </conditionalFormatting>
  <conditionalFormatting sqref="D75">
    <cfRule type="cellIs" priority="69" dxfId="5" operator="greaterThan" stopIfTrue="1">
      <formula>$D$77</formula>
    </cfRule>
  </conditionalFormatting>
  <conditionalFormatting sqref="C75">
    <cfRule type="cellIs" priority="84" dxfId="5" operator="greaterThan" stopIfTrue="1">
      <formula>$C$77</formula>
    </cfRule>
  </conditionalFormatting>
  <conditionalFormatting sqref="E20">
    <cfRule type="cellIs" priority="97" dxfId="179" operator="greaterThan" stopIfTrue="1">
      <formula>$E$22*0.1+$E$41</formula>
    </cfRule>
  </conditionalFormatting>
  <conditionalFormatting sqref="E61">
    <cfRule type="cellIs" priority="98" dxfId="179" operator="greaterThan" stopIfTrue="1">
      <formula>$E$63*0.1+$E$82</formula>
    </cfRule>
  </conditionalFormatting>
  <printOptions/>
  <pageMargins left="0.9" right="0.9" top="0.96" bottom="0.5" header="0.41" footer="0.3"/>
  <pageSetup blackAndWhite="1" fitToHeight="1" fitToWidth="1" horizontalDpi="300" verticalDpi="300" orientation="portrait" scale="56"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L66" sqref="L66"/>
    </sheetView>
  </sheetViews>
  <sheetFormatPr defaultColWidth="8.796875" defaultRowHeight="15.75"/>
  <cols>
    <col min="1" max="1" width="2.3984375" style="5" customWidth="1"/>
    <col min="2" max="2" width="31" style="5" customWidth="1"/>
    <col min="3" max="5" width="14.19921875" style="5" customWidth="1"/>
    <col min="6" max="16384" width="8.796875" style="5" customWidth="1"/>
  </cols>
  <sheetData>
    <row r="1" spans="2:5" ht="15.75">
      <c r="B1" s="74">
        <f>inputPrYr!D3</f>
        <v>0</v>
      </c>
      <c r="C1" s="17"/>
      <c r="D1" s="17"/>
      <c r="E1" s="90">
        <f>inputPrYr!D7</f>
        <v>0</v>
      </c>
    </row>
    <row r="2" spans="2:5" ht="15.75">
      <c r="B2" s="17"/>
      <c r="C2" s="17"/>
      <c r="D2" s="17"/>
      <c r="E2" s="91"/>
    </row>
    <row r="3" spans="2:5" ht="15.75">
      <c r="B3" s="81" t="s">
        <v>228</v>
      </c>
      <c r="C3" s="23"/>
      <c r="D3" s="23"/>
      <c r="E3" s="23"/>
    </row>
    <row r="4" spans="2:5" ht="15.75">
      <c r="B4" s="25" t="s">
        <v>117</v>
      </c>
      <c r="C4" s="192" t="s">
        <v>118</v>
      </c>
      <c r="D4" s="27" t="s">
        <v>119</v>
      </c>
      <c r="E4" s="27" t="s">
        <v>120</v>
      </c>
    </row>
    <row r="5" spans="2:5" ht="15.75">
      <c r="B5" s="428">
        <f>inputPrYr!B39</f>
        <v>0</v>
      </c>
      <c r="C5" s="32" t="str">
        <f>gen!C5</f>
        <v>Actual for -2</v>
      </c>
      <c r="D5" s="32" t="str">
        <f>gen!D5</f>
        <v>Estimate for -1</v>
      </c>
      <c r="E5" s="32" t="str">
        <f>gen!E5</f>
        <v>Year for 0</v>
      </c>
    </row>
    <row r="6" spans="2:5" ht="15.75">
      <c r="B6" s="200" t="s">
        <v>229</v>
      </c>
      <c r="C6" s="145"/>
      <c r="D6" s="125">
        <f>C28</f>
        <v>0</v>
      </c>
      <c r="E6" s="125">
        <f>D28</f>
        <v>0</v>
      </c>
    </row>
    <row r="7" spans="2:5" s="108" customFormat="1" ht="15.75">
      <c r="B7" s="201" t="s">
        <v>217</v>
      </c>
      <c r="C7" s="53"/>
      <c r="D7" s="53"/>
      <c r="E7" s="53"/>
    </row>
    <row r="8" spans="2:5" ht="15.75">
      <c r="B8" s="176"/>
      <c r="C8" s="145"/>
      <c r="D8" s="145"/>
      <c r="E8" s="145"/>
    </row>
    <row r="9" spans="2:5" ht="15.75">
      <c r="B9" s="176"/>
      <c r="C9" s="145"/>
      <c r="D9" s="145"/>
      <c r="E9" s="145"/>
    </row>
    <row r="10" spans="2:5" ht="15.75">
      <c r="B10" s="176"/>
      <c r="C10" s="145"/>
      <c r="D10" s="145"/>
      <c r="E10" s="145"/>
    </row>
    <row r="11" spans="2:5" ht="15.75">
      <c r="B11" s="176"/>
      <c r="C11" s="145"/>
      <c r="D11" s="145"/>
      <c r="E11" s="145"/>
    </row>
    <row r="12" spans="2:5" ht="15.75">
      <c r="B12" s="202" t="s">
        <v>129</v>
      </c>
      <c r="C12" s="145"/>
      <c r="D12" s="145"/>
      <c r="E12" s="145"/>
    </row>
    <row r="13" spans="2:5" ht="15.75">
      <c r="B13" s="178" t="s">
        <v>45</v>
      </c>
      <c r="C13" s="145"/>
      <c r="D13" s="172"/>
      <c r="E13" s="172"/>
    </row>
    <row r="14" spans="2:5" ht="15.75">
      <c r="B14" s="178" t="s">
        <v>46</v>
      </c>
      <c r="C14" s="341">
        <f>IF(C15*0.1&lt;C13,"Exceed 10% Rule","")</f>
      </c>
      <c r="D14" s="179">
        <f>IF(D15*0.1&lt;D13,"Exceed 10% Rule","")</f>
      </c>
      <c r="E14" s="179">
        <f>IF(E15*0.1&lt;E13,"Exceed 10% Rule","")</f>
      </c>
    </row>
    <row r="15" spans="2:5" ht="15.75">
      <c r="B15" s="59" t="s">
        <v>130</v>
      </c>
      <c r="C15" s="182">
        <f>SUM(C8:C13)</f>
        <v>0</v>
      </c>
      <c r="D15" s="181">
        <f>SUM(D8:D13)</f>
        <v>0</v>
      </c>
      <c r="E15" s="181">
        <f>SUM(E8:E13)</f>
        <v>0</v>
      </c>
    </row>
    <row r="16" spans="2:5" ht="15.75">
      <c r="B16" s="59" t="s">
        <v>131</v>
      </c>
      <c r="C16" s="182">
        <f>C6+C15</f>
        <v>0</v>
      </c>
      <c r="D16" s="182">
        <f>D6+D15</f>
        <v>0</v>
      </c>
      <c r="E16" s="182">
        <f>E6+E15</f>
        <v>0</v>
      </c>
    </row>
    <row r="17" spans="2:5" ht="15.75">
      <c r="B17" s="33" t="s">
        <v>132</v>
      </c>
      <c r="C17" s="125"/>
      <c r="D17" s="125"/>
      <c r="E17" s="125"/>
    </row>
    <row r="18" spans="2:5" ht="15.75">
      <c r="B18" s="176"/>
      <c r="C18" s="145"/>
      <c r="D18" s="145"/>
      <c r="E18" s="145"/>
    </row>
    <row r="19" spans="2:5" ht="15.75">
      <c r="B19" s="176"/>
      <c r="C19" s="145"/>
      <c r="D19" s="145"/>
      <c r="E19" s="145"/>
    </row>
    <row r="20" spans="2:5" ht="15.75">
      <c r="B20" s="176"/>
      <c r="C20" s="145"/>
      <c r="D20" s="145"/>
      <c r="E20" s="145"/>
    </row>
    <row r="21" spans="2:5" ht="15.75">
      <c r="B21" s="176"/>
      <c r="C21" s="145"/>
      <c r="D21" s="145"/>
      <c r="E21" s="145"/>
    </row>
    <row r="22" spans="2:5" ht="15.75">
      <c r="B22" s="176"/>
      <c r="C22" s="145"/>
      <c r="D22" s="145"/>
      <c r="E22" s="145"/>
    </row>
    <row r="23" spans="2:5" ht="15.75">
      <c r="B23" s="176"/>
      <c r="C23" s="145"/>
      <c r="D23" s="145"/>
      <c r="E23" s="145"/>
    </row>
    <row r="24" spans="2:5" ht="15.75">
      <c r="B24" s="41" t="str">
        <f>CONCATENATE("Cash Forward (",E1," column)")</f>
        <v>Cash Forward (0 column)</v>
      </c>
      <c r="C24" s="145"/>
      <c r="D24" s="145"/>
      <c r="E24" s="145"/>
    </row>
    <row r="25" spans="2:5" ht="15.75">
      <c r="B25" s="41" t="s">
        <v>45</v>
      </c>
      <c r="C25" s="145"/>
      <c r="D25" s="172"/>
      <c r="E25" s="172"/>
    </row>
    <row r="26" spans="2:5" ht="15.75">
      <c r="B26" s="41" t="s">
        <v>637</v>
      </c>
      <c r="C26" s="341">
        <f>IF(C27*0.1&lt;C25,"Exceed 10% Rule","")</f>
      </c>
      <c r="D26" s="179">
        <f>IF(D27*0.1&lt;D25,"Exceed 10% Rule","")</f>
      </c>
      <c r="E26" s="179">
        <f>IF(E27*0.1&lt;E25,"Exceed 10% Rule","")</f>
      </c>
    </row>
    <row r="27" spans="2:5" ht="15.75">
      <c r="B27" s="59" t="s">
        <v>133</v>
      </c>
      <c r="C27" s="182">
        <f>SUM(C18:C25)</f>
        <v>0</v>
      </c>
      <c r="D27" s="181">
        <f>SUM(D18:D25)</f>
        <v>0</v>
      </c>
      <c r="E27" s="181">
        <f>SUM(E18:E25)</f>
        <v>0</v>
      </c>
    </row>
    <row r="28" spans="2:5" ht="15.75">
      <c r="B28" s="33" t="s">
        <v>216</v>
      </c>
      <c r="C28" s="185">
        <f>C16-C27</f>
        <v>0</v>
      </c>
      <c r="D28" s="185">
        <f>D16-D27</f>
        <v>0</v>
      </c>
      <c r="E28" s="185">
        <f>E16-E27</f>
        <v>0</v>
      </c>
    </row>
    <row r="29" spans="2:5" ht="15.75">
      <c r="B29" s="73" t="str">
        <f>CONCATENATE("",E1-2,"/",E1-1,"/",E1," Budget Authority Amount:")</f>
        <v>-2/-1/0 Budget Authority Amount:</v>
      </c>
      <c r="C29" s="190">
        <f>inputOth!B86</f>
        <v>0</v>
      </c>
      <c r="D29" s="190">
        <f>inputPrYr!D39</f>
        <v>0</v>
      </c>
      <c r="E29" s="697">
        <f>E27</f>
        <v>0</v>
      </c>
    </row>
    <row r="30" spans="2:5" ht="15.75">
      <c r="B30" s="3"/>
      <c r="C30" s="187">
        <f>IF(C27&gt;C29,"See Tab A","")</f>
      </c>
      <c r="D30" s="187">
        <f>IF(D27&gt;D29,"See Tab C","")</f>
      </c>
      <c r="E30" s="698">
        <f>IF(E28&lt;0,"See Tab E","")</f>
      </c>
    </row>
    <row r="31" spans="2:5" ht="15.75">
      <c r="B31" s="3"/>
      <c r="C31" s="187">
        <f>IF(C28&lt;0,"See Tab B","")</f>
      </c>
      <c r="D31" s="187">
        <f>IF(D28&lt;0,"See Tab D","")</f>
      </c>
      <c r="E31" s="77"/>
    </row>
    <row r="32" spans="2:5" ht="15.75">
      <c r="B32" s="17"/>
      <c r="C32" s="77"/>
      <c r="D32" s="77"/>
      <c r="E32" s="77"/>
    </row>
    <row r="33" spans="2:5" ht="15.75">
      <c r="B33" s="25" t="s">
        <v>117</v>
      </c>
      <c r="C33" s="23"/>
      <c r="D33" s="23"/>
      <c r="E33" s="23"/>
    </row>
    <row r="34" spans="2:5" ht="15.75">
      <c r="B34" s="17"/>
      <c r="C34" s="192" t="s">
        <v>118</v>
      </c>
      <c r="D34" s="27" t="s">
        <v>119</v>
      </c>
      <c r="E34" s="27" t="s">
        <v>120</v>
      </c>
    </row>
    <row r="35" spans="2:5" ht="15.75">
      <c r="B35" s="428">
        <f>inputPrYr!B40</f>
        <v>0</v>
      </c>
      <c r="C35" s="32" t="str">
        <f>C5</f>
        <v>Actual for -2</v>
      </c>
      <c r="D35" s="32" t="str">
        <f>D5</f>
        <v>Estimate for -1</v>
      </c>
      <c r="E35" s="32" t="str">
        <f>E5</f>
        <v>Year for 0</v>
      </c>
    </row>
    <row r="36" spans="2:5" ht="15.75">
      <c r="B36" s="200" t="s">
        <v>229</v>
      </c>
      <c r="C36" s="145"/>
      <c r="D36" s="125">
        <f>C58</f>
        <v>0</v>
      </c>
      <c r="E36" s="125">
        <f>D58</f>
        <v>0</v>
      </c>
    </row>
    <row r="37" spans="2:5" s="108" customFormat="1" ht="15.75">
      <c r="B37" s="201" t="s">
        <v>217</v>
      </c>
      <c r="C37" s="53"/>
      <c r="D37" s="53"/>
      <c r="E37" s="53"/>
    </row>
    <row r="38" spans="2:5" ht="15.75">
      <c r="B38" s="176"/>
      <c r="C38" s="145"/>
      <c r="D38" s="145"/>
      <c r="E38" s="145"/>
    </row>
    <row r="39" spans="2:5" ht="15.75">
      <c r="B39" s="176"/>
      <c r="C39" s="145"/>
      <c r="D39" s="145"/>
      <c r="E39" s="145"/>
    </row>
    <row r="40" spans="2:5" ht="15.75">
      <c r="B40" s="176"/>
      <c r="C40" s="145"/>
      <c r="D40" s="145"/>
      <c r="E40" s="145"/>
    </row>
    <row r="41" spans="2:5" ht="15.75">
      <c r="B41" s="176"/>
      <c r="C41" s="145"/>
      <c r="D41" s="145"/>
      <c r="E41" s="145"/>
    </row>
    <row r="42" spans="2:5" ht="15.75">
      <c r="B42" s="202" t="s">
        <v>129</v>
      </c>
      <c r="C42" s="145"/>
      <c r="D42" s="145"/>
      <c r="E42" s="145"/>
    </row>
    <row r="43" spans="2:5" ht="15.75">
      <c r="B43" s="178" t="s">
        <v>45</v>
      </c>
      <c r="C43" s="145"/>
      <c r="D43" s="172"/>
      <c r="E43" s="172"/>
    </row>
    <row r="44" spans="2:5" ht="15.75">
      <c r="B44" s="178" t="s">
        <v>46</v>
      </c>
      <c r="C44" s="341">
        <f>IF(C45*0.1&lt;C43,"Exceed 10% Rule","")</f>
      </c>
      <c r="D44" s="179">
        <f>IF(D45*0.1&lt;D43,"Exceed 10% Rule","")</f>
      </c>
      <c r="E44" s="179">
        <f>IF(E45*0.1&lt;E43,"Exceed 10% Rule","")</f>
      </c>
    </row>
    <row r="45" spans="2:5" ht="15.75">
      <c r="B45" s="59" t="s">
        <v>130</v>
      </c>
      <c r="C45" s="182">
        <f>SUM(C38:C43)</f>
        <v>0</v>
      </c>
      <c r="D45" s="181">
        <f>SUM(D38:D43)</f>
        <v>0</v>
      </c>
      <c r="E45" s="181">
        <f>SUM(E38:E43)</f>
        <v>0</v>
      </c>
    </row>
    <row r="46" spans="2:5" ht="15.75">
      <c r="B46" s="59" t="s">
        <v>131</v>
      </c>
      <c r="C46" s="182">
        <f>C36+C45</f>
        <v>0</v>
      </c>
      <c r="D46" s="182">
        <f>D36+D45</f>
        <v>0</v>
      </c>
      <c r="E46" s="182">
        <f>E36+E45</f>
        <v>0</v>
      </c>
    </row>
    <row r="47" spans="2:5" ht="15.75">
      <c r="B47" s="33" t="s">
        <v>132</v>
      </c>
      <c r="C47" s="125"/>
      <c r="D47" s="125"/>
      <c r="E47" s="125"/>
    </row>
    <row r="48" spans="2:5" ht="15.75">
      <c r="B48" s="176"/>
      <c r="C48" s="145"/>
      <c r="D48" s="145"/>
      <c r="E48" s="145"/>
    </row>
    <row r="49" spans="2:5" ht="15.75">
      <c r="B49" s="176"/>
      <c r="C49" s="145"/>
      <c r="D49" s="145"/>
      <c r="E49" s="145"/>
    </row>
    <row r="50" spans="2:5" ht="15.75">
      <c r="B50" s="176"/>
      <c r="C50" s="145"/>
      <c r="D50" s="145"/>
      <c r="E50" s="145"/>
    </row>
    <row r="51" spans="2:5" ht="15.75">
      <c r="B51" s="176"/>
      <c r="C51" s="145"/>
      <c r="D51" s="145"/>
      <c r="E51" s="145"/>
    </row>
    <row r="52" spans="2:5" ht="15.75">
      <c r="B52" s="176"/>
      <c r="C52" s="145"/>
      <c r="D52" s="145"/>
      <c r="E52" s="145"/>
    </row>
    <row r="53" spans="2:5" ht="15.75">
      <c r="B53" s="176"/>
      <c r="C53" s="145"/>
      <c r="D53" s="145"/>
      <c r="E53" s="145"/>
    </row>
    <row r="54" spans="2:5" ht="15.75">
      <c r="B54" s="41" t="str">
        <f>CONCATENATE("Cash Forward (",E1," column)")</f>
        <v>Cash Forward (0 column)</v>
      </c>
      <c r="C54" s="145"/>
      <c r="D54" s="145"/>
      <c r="E54" s="145"/>
    </row>
    <row r="55" spans="2:5" ht="15.75">
      <c r="B55" s="41" t="s">
        <v>45</v>
      </c>
      <c r="C55" s="145"/>
      <c r="D55" s="172"/>
      <c r="E55" s="172"/>
    </row>
    <row r="56" spans="2:5" ht="15.75">
      <c r="B56" s="41" t="s">
        <v>637</v>
      </c>
      <c r="C56" s="341">
        <f>IF(C57*0.1&lt;C55,"Exceed 10% Rule","")</f>
      </c>
      <c r="D56" s="179">
        <f>IF(D57*0.1&lt;D55,"Exceed 10% Rule","")</f>
      </c>
      <c r="E56" s="179">
        <f>IF(E57*0.1&lt;E55,"Exceed 10% Rule","")</f>
      </c>
    </row>
    <row r="57" spans="2:5" ht="15.75">
      <c r="B57" s="59" t="s">
        <v>133</v>
      </c>
      <c r="C57" s="182">
        <f>SUM(C48:C55)</f>
        <v>0</v>
      </c>
      <c r="D57" s="181">
        <f>SUM(D48:D55)</f>
        <v>0</v>
      </c>
      <c r="E57" s="181">
        <f>SUM(E48:E55)</f>
        <v>0</v>
      </c>
    </row>
    <row r="58" spans="2:5" ht="15.75">
      <c r="B58" s="33" t="s">
        <v>216</v>
      </c>
      <c r="C58" s="185">
        <f>C46-C57</f>
        <v>0</v>
      </c>
      <c r="D58" s="185">
        <f>D46-D57</f>
        <v>0</v>
      </c>
      <c r="E58" s="185">
        <f>E46-E57</f>
        <v>0</v>
      </c>
    </row>
    <row r="59" spans="2:5" ht="15.75">
      <c r="B59" s="73" t="str">
        <f>CONCATENATE("",E1-2,"/",E1-1,"/",E1," Budget Authority Amount:")</f>
        <v>-2/-1/0 Budget Authority Amount:</v>
      </c>
      <c r="C59" s="190">
        <f>inputOth!B87</f>
        <v>0</v>
      </c>
      <c r="D59" s="190">
        <f>inputPrYr!D40</f>
        <v>0</v>
      </c>
      <c r="E59" s="697">
        <f>E57</f>
        <v>0</v>
      </c>
    </row>
    <row r="60" spans="2:5" ht="15.75">
      <c r="B60" s="3"/>
      <c r="C60" s="187">
        <f>IF(C57&gt;C59,"See Tab A","")</f>
      </c>
      <c r="D60" s="187">
        <f>IF(D57&gt;D59,"See Tab C","")</f>
      </c>
      <c r="E60" s="698">
        <f>IF(E58&lt;0,"See Tab E","")</f>
      </c>
    </row>
    <row r="61" spans="2:5" ht="15.75">
      <c r="B61" s="849" t="s">
        <v>983</v>
      </c>
      <c r="C61" s="842"/>
      <c r="D61" s="842"/>
      <c r="E61" s="843"/>
    </row>
    <row r="62" spans="2:5" ht="15.75">
      <c r="B62" s="844"/>
      <c r="C62" s="845"/>
      <c r="D62" s="845"/>
      <c r="E62" s="846"/>
    </row>
    <row r="63" spans="2:5" ht="15.75">
      <c r="B63" s="847"/>
      <c r="C63" s="848">
        <f>IF(C58&lt;0,"See Tab B","")</f>
      </c>
      <c r="D63" s="848">
        <f>IF(D58&lt;0,"See Tab D","")</f>
      </c>
      <c r="E63" s="301"/>
    </row>
    <row r="64" spans="2:5" ht="15.75">
      <c r="B64" s="17"/>
      <c r="C64" s="17"/>
      <c r="D64" s="17"/>
      <c r="E64" s="17"/>
    </row>
    <row r="65" spans="2:5" ht="15.75">
      <c r="B65" s="91" t="s">
        <v>116</v>
      </c>
      <c r="C65" s="741"/>
      <c r="D65" s="17"/>
      <c r="E65" s="17"/>
    </row>
  </sheetData>
  <sheetProtection sheet="1"/>
  <conditionalFormatting sqref="C13">
    <cfRule type="cellIs" priority="3" dxfId="179" operator="greaterThan" stopIfTrue="1">
      <formula>$C$15*0.1</formula>
    </cfRule>
  </conditionalFormatting>
  <conditionalFormatting sqref="D13">
    <cfRule type="cellIs" priority="4" dxfId="179" operator="greaterThan" stopIfTrue="1">
      <formula>$D$15*0.1</formula>
    </cfRule>
  </conditionalFormatting>
  <conditionalFormatting sqref="E13">
    <cfRule type="cellIs" priority="5" dxfId="179" operator="greaterThan" stopIfTrue="1">
      <formula>$E$15*0.1</formula>
    </cfRule>
  </conditionalFormatting>
  <conditionalFormatting sqref="C25">
    <cfRule type="cellIs" priority="6" dxfId="179" operator="greaterThan" stopIfTrue="1">
      <formula>$C$27*0.1</formula>
    </cfRule>
  </conditionalFormatting>
  <conditionalFormatting sqref="D25">
    <cfRule type="cellIs" priority="7" dxfId="179" operator="greaterThan" stopIfTrue="1">
      <formula>$D$27*0.1</formula>
    </cfRule>
  </conditionalFormatting>
  <conditionalFormatting sqref="E25">
    <cfRule type="cellIs" priority="8" dxfId="179" operator="greaterThan" stopIfTrue="1">
      <formula>$E$27*0.1</formula>
    </cfRule>
  </conditionalFormatting>
  <conditionalFormatting sqref="C43">
    <cfRule type="cellIs" priority="9" dxfId="179" operator="greaterThan" stopIfTrue="1">
      <formula>$C$45*0.1</formula>
    </cfRule>
  </conditionalFormatting>
  <conditionalFormatting sqref="D43">
    <cfRule type="cellIs" priority="10" dxfId="179" operator="greaterThan" stopIfTrue="1">
      <formula>$D$45*0.1</formula>
    </cfRule>
  </conditionalFormatting>
  <conditionalFormatting sqref="E43">
    <cfRule type="cellIs" priority="11" dxfId="179" operator="greaterThan" stopIfTrue="1">
      <formula>$E$45*0.1</formula>
    </cfRule>
  </conditionalFormatting>
  <conditionalFormatting sqref="C55">
    <cfRule type="cellIs" priority="12" dxfId="179" operator="greaterThan" stopIfTrue="1">
      <formula>$C$57*0.1</formula>
    </cfRule>
  </conditionalFormatting>
  <conditionalFormatting sqref="D55">
    <cfRule type="cellIs" priority="13" dxfId="179" operator="greaterThan" stopIfTrue="1">
      <formula>$D$57*0.1</formula>
    </cfRule>
  </conditionalFormatting>
  <conditionalFormatting sqref="E55">
    <cfRule type="cellIs" priority="14" dxfId="179" operator="greaterThan" stopIfTrue="1">
      <formula>$E$57*0.1</formula>
    </cfRule>
  </conditionalFormatting>
  <conditionalFormatting sqref="C28 C58">
    <cfRule type="cellIs" priority="15" dxfId="179" operator="lessThan" stopIfTrue="1">
      <formula>0</formula>
    </cfRule>
  </conditionalFormatting>
  <conditionalFormatting sqref="C27">
    <cfRule type="cellIs" priority="16" dxfId="5" operator="greaterThan" stopIfTrue="1">
      <formula>$C$29</formula>
    </cfRule>
  </conditionalFormatting>
  <conditionalFormatting sqref="D27">
    <cfRule type="cellIs" priority="17" dxfId="5" operator="greaterThan" stopIfTrue="1">
      <formula>$D$29</formula>
    </cfRule>
  </conditionalFormatting>
  <conditionalFormatting sqref="E28 E58">
    <cfRule type="cellIs" priority="18" dxfId="5" operator="lessThan" stopIfTrue="1">
      <formula>0</formula>
    </cfRule>
  </conditionalFormatting>
  <conditionalFormatting sqref="C57">
    <cfRule type="cellIs" priority="19" dxfId="5" operator="greaterThan" stopIfTrue="1">
      <formula>$C$59</formula>
    </cfRule>
  </conditionalFormatting>
  <conditionalFormatting sqref="D57">
    <cfRule type="cellIs" priority="20" dxfId="5" operator="greaterThan" stopIfTrue="1">
      <formula>$D$59</formula>
    </cfRule>
  </conditionalFormatting>
  <conditionalFormatting sqref="D28">
    <cfRule type="cellIs" priority="2" dxfId="0" operator="lessThan" stopIfTrue="1">
      <formula>0</formula>
    </cfRule>
  </conditionalFormatting>
  <conditionalFormatting sqref="D5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L68" sqref="L68"/>
    </sheetView>
  </sheetViews>
  <sheetFormatPr defaultColWidth="8.796875" defaultRowHeight="15.75"/>
  <cols>
    <col min="1" max="1" width="2.3984375" style="5" customWidth="1"/>
    <col min="2" max="2" width="31" style="5" customWidth="1"/>
    <col min="3" max="5" width="14.19921875" style="5" customWidth="1"/>
    <col min="6" max="16384" width="8.796875" style="5" customWidth="1"/>
  </cols>
  <sheetData>
    <row r="1" spans="2:5" ht="15.75">
      <c r="B1" s="74">
        <f>inputPrYr!D3</f>
        <v>0</v>
      </c>
      <c r="C1" s="17"/>
      <c r="D1" s="17"/>
      <c r="E1" s="90">
        <f>inputPrYr!D7</f>
        <v>0</v>
      </c>
    </row>
    <row r="2" spans="2:5" ht="15.75">
      <c r="B2" s="17"/>
      <c r="C2" s="17"/>
      <c r="D2" s="17"/>
      <c r="E2" s="91"/>
    </row>
    <row r="3" spans="2:5" ht="15.75">
      <c r="B3" s="81" t="s">
        <v>228</v>
      </c>
      <c r="C3" s="23"/>
      <c r="D3" s="23"/>
      <c r="E3" s="23"/>
    </row>
    <row r="4" spans="2:5" ht="15.75">
      <c r="B4" s="25" t="s">
        <v>117</v>
      </c>
      <c r="C4" s="192" t="s">
        <v>118</v>
      </c>
      <c r="D4" s="27" t="s">
        <v>119</v>
      </c>
      <c r="E4" s="27" t="s">
        <v>120</v>
      </c>
    </row>
    <row r="5" spans="2:5" ht="15.75">
      <c r="B5" s="428">
        <f>inputPrYr!B41</f>
        <v>0</v>
      </c>
      <c r="C5" s="32" t="str">
        <f>gen!C5</f>
        <v>Actual for -2</v>
      </c>
      <c r="D5" s="32" t="str">
        <f>gen!D5</f>
        <v>Estimate for -1</v>
      </c>
      <c r="E5" s="32" t="str">
        <f>gen!E5</f>
        <v>Year for 0</v>
      </c>
    </row>
    <row r="6" spans="2:5" ht="15.75">
      <c r="B6" s="200" t="s">
        <v>229</v>
      </c>
      <c r="C6" s="145"/>
      <c r="D6" s="125">
        <f>C28</f>
        <v>0</v>
      </c>
      <c r="E6" s="125">
        <f>D28</f>
        <v>0</v>
      </c>
    </row>
    <row r="7" spans="2:5" s="108" customFormat="1" ht="15.75">
      <c r="B7" s="201" t="s">
        <v>217</v>
      </c>
      <c r="C7" s="53"/>
      <c r="D7" s="53"/>
      <c r="E7" s="53"/>
    </row>
    <row r="8" spans="2:5" ht="15.75">
      <c r="B8" s="176"/>
      <c r="C8" s="145"/>
      <c r="D8" s="145"/>
      <c r="E8" s="145"/>
    </row>
    <row r="9" spans="2:5" ht="15.75">
      <c r="B9" s="176"/>
      <c r="C9" s="145"/>
      <c r="D9" s="145"/>
      <c r="E9" s="145"/>
    </row>
    <row r="10" spans="2:5" ht="15.75">
      <c r="B10" s="176"/>
      <c r="C10" s="145"/>
      <c r="D10" s="145"/>
      <c r="E10" s="145"/>
    </row>
    <row r="11" spans="2:5" ht="15.75">
      <c r="B11" s="176"/>
      <c r="C11" s="145"/>
      <c r="D11" s="145"/>
      <c r="E11" s="145"/>
    </row>
    <row r="12" spans="2:5" ht="15.75">
      <c r="B12" s="202" t="s">
        <v>129</v>
      </c>
      <c r="C12" s="145"/>
      <c r="D12" s="145"/>
      <c r="E12" s="145"/>
    </row>
    <row r="13" spans="2:5" ht="15.75">
      <c r="B13" s="178" t="s">
        <v>45</v>
      </c>
      <c r="C13" s="145"/>
      <c r="D13" s="172"/>
      <c r="E13" s="172"/>
    </row>
    <row r="14" spans="2:5" ht="15.75">
      <c r="B14" s="178" t="s">
        <v>46</v>
      </c>
      <c r="C14" s="341">
        <f>IF(C15*0.1&lt;C13,"Exceed 10% Rule","")</f>
      </c>
      <c r="D14" s="179">
        <f>IF(D15*0.1&lt;D13,"Exceed 10% Rule","")</f>
      </c>
      <c r="E14" s="179">
        <f>IF(E15*0.1&lt;E13,"Exceed 10% Rule","")</f>
      </c>
    </row>
    <row r="15" spans="2:5" ht="15.75">
      <c r="B15" s="59" t="s">
        <v>130</v>
      </c>
      <c r="C15" s="182">
        <f>SUM(C8:C13)</f>
        <v>0</v>
      </c>
      <c r="D15" s="181">
        <f>SUM(D8:D13)</f>
        <v>0</v>
      </c>
      <c r="E15" s="181">
        <f>SUM(E8:E13)</f>
        <v>0</v>
      </c>
    </row>
    <row r="16" spans="2:5" ht="15.75">
      <c r="B16" s="59" t="s">
        <v>131</v>
      </c>
      <c r="C16" s="182">
        <f>C6+C15</f>
        <v>0</v>
      </c>
      <c r="D16" s="182">
        <f>D6+D15</f>
        <v>0</v>
      </c>
      <c r="E16" s="182">
        <f>E6+E15</f>
        <v>0</v>
      </c>
    </row>
    <row r="17" spans="2:5" ht="15.75">
      <c r="B17" s="33" t="s">
        <v>132</v>
      </c>
      <c r="C17" s="125"/>
      <c r="D17" s="125"/>
      <c r="E17" s="125"/>
    </row>
    <row r="18" spans="2:5" ht="15.75">
      <c r="B18" s="176"/>
      <c r="C18" s="145"/>
      <c r="D18" s="145"/>
      <c r="E18" s="145"/>
    </row>
    <row r="19" spans="2:5" ht="15.75">
      <c r="B19" s="176"/>
      <c r="C19" s="145"/>
      <c r="D19" s="145"/>
      <c r="E19" s="145"/>
    </row>
    <row r="20" spans="2:5" ht="15.75">
      <c r="B20" s="176"/>
      <c r="C20" s="145"/>
      <c r="D20" s="145"/>
      <c r="E20" s="145"/>
    </row>
    <row r="21" spans="2:5" ht="15.75">
      <c r="B21" s="176"/>
      <c r="C21" s="145"/>
      <c r="D21" s="145"/>
      <c r="E21" s="145"/>
    </row>
    <row r="22" spans="2:5" ht="15.75">
      <c r="B22" s="176"/>
      <c r="C22" s="145"/>
      <c r="D22" s="145"/>
      <c r="E22" s="145"/>
    </row>
    <row r="23" spans="2:5" ht="15.75">
      <c r="B23" s="176"/>
      <c r="C23" s="145"/>
      <c r="D23" s="145"/>
      <c r="E23" s="145"/>
    </row>
    <row r="24" spans="2:5" ht="15.75">
      <c r="B24" s="41" t="str">
        <f>CONCATENATE("Cash Forward (",E1," column)")</f>
        <v>Cash Forward (0 column)</v>
      </c>
      <c r="C24" s="145"/>
      <c r="D24" s="145"/>
      <c r="E24" s="145"/>
    </row>
    <row r="25" spans="2:5" ht="15.75">
      <c r="B25" s="41" t="s">
        <v>45</v>
      </c>
      <c r="C25" s="145"/>
      <c r="D25" s="172"/>
      <c r="E25" s="172"/>
    </row>
    <row r="26" spans="2:5" ht="15.75">
      <c r="B26" s="41" t="s">
        <v>637</v>
      </c>
      <c r="C26" s="341">
        <f>IF(C27*0.1&lt;C25,"Exceed 10% Rule","")</f>
      </c>
      <c r="D26" s="179">
        <f>IF(D27*0.1&lt;D25,"Exceed 10% Rule","")</f>
      </c>
      <c r="E26" s="179">
        <f>IF(E27*0.1&lt;E25,"Exceed 10% Rule","")</f>
      </c>
    </row>
    <row r="27" spans="2:5" ht="15.75">
      <c r="B27" s="59" t="s">
        <v>133</v>
      </c>
      <c r="C27" s="182">
        <f>SUM(C18:C25)</f>
        <v>0</v>
      </c>
      <c r="D27" s="181">
        <f>SUM(D18:D25)</f>
        <v>0</v>
      </c>
      <c r="E27" s="181">
        <f>SUM(E18:E25)</f>
        <v>0</v>
      </c>
    </row>
    <row r="28" spans="2:5" ht="15.75">
      <c r="B28" s="33" t="s">
        <v>216</v>
      </c>
      <c r="C28" s="185">
        <f>C16-C27</f>
        <v>0</v>
      </c>
      <c r="D28" s="185">
        <f>D16-D27</f>
        <v>0</v>
      </c>
      <c r="E28" s="185">
        <f>E16-E27</f>
        <v>0</v>
      </c>
    </row>
    <row r="29" spans="2:5" ht="15.75">
      <c r="B29" s="73" t="str">
        <f>CONCATENATE("",E1-2,"/",E1-1,"/",E1," Budget Authority Amount:")</f>
        <v>-2/-1/0 Budget Authority Amount:</v>
      </c>
      <c r="C29" s="190">
        <f>inputOth!B88</f>
        <v>0</v>
      </c>
      <c r="D29" s="190">
        <f>inputPrYr!D41</f>
        <v>0</v>
      </c>
      <c r="E29" s="697">
        <f>E27</f>
        <v>0</v>
      </c>
    </row>
    <row r="30" spans="2:5" ht="15.75">
      <c r="B30" s="3"/>
      <c r="C30" s="187">
        <f>IF(C27&gt;C29,"See Tab A","")</f>
      </c>
      <c r="D30" s="187">
        <f>IF(D27&gt;D29,"See Tab C","")</f>
      </c>
      <c r="E30" s="698">
        <f>IF(E28&lt;0,"See Tab E","")</f>
      </c>
    </row>
    <row r="31" spans="2:5" ht="15.75">
      <c r="B31" s="3"/>
      <c r="C31" s="187">
        <f>IF(C28&lt;0,"See Tab B","")</f>
      </c>
      <c r="D31" s="187">
        <f>IF(D28&lt;0,"See Tab D","")</f>
      </c>
      <c r="E31" s="77"/>
    </row>
    <row r="32" spans="2:5" ht="15.75">
      <c r="B32" s="17"/>
      <c r="C32" s="77"/>
      <c r="D32" s="77"/>
      <c r="E32" s="77"/>
    </row>
    <row r="33" spans="2:5" ht="15.75">
      <c r="B33" s="25" t="s">
        <v>117</v>
      </c>
      <c r="C33" s="23"/>
      <c r="D33" s="23"/>
      <c r="E33" s="23"/>
    </row>
    <row r="34" spans="2:5" ht="15.75">
      <c r="B34" s="17"/>
      <c r="C34" s="192" t="s">
        <v>118</v>
      </c>
      <c r="D34" s="27" t="s">
        <v>119</v>
      </c>
      <c r="E34" s="27" t="s">
        <v>120</v>
      </c>
    </row>
    <row r="35" spans="2:5" ht="15.75">
      <c r="B35" s="428">
        <f>inputPrYr!B42</f>
        <v>0</v>
      </c>
      <c r="C35" s="32" t="str">
        <f>C5</f>
        <v>Actual for -2</v>
      </c>
      <c r="D35" s="32" t="str">
        <f>D5</f>
        <v>Estimate for -1</v>
      </c>
      <c r="E35" s="32" t="str">
        <f>E5</f>
        <v>Year for 0</v>
      </c>
    </row>
    <row r="36" spans="2:5" ht="15.75">
      <c r="B36" s="200" t="s">
        <v>229</v>
      </c>
      <c r="C36" s="145"/>
      <c r="D36" s="125">
        <f>C58</f>
        <v>0</v>
      </c>
      <c r="E36" s="125">
        <f>D58</f>
        <v>0</v>
      </c>
    </row>
    <row r="37" spans="2:5" s="108" customFormat="1" ht="15.75">
      <c r="B37" s="201" t="s">
        <v>217</v>
      </c>
      <c r="C37" s="53"/>
      <c r="D37" s="53"/>
      <c r="E37" s="53"/>
    </row>
    <row r="38" spans="2:5" ht="15.75">
      <c r="B38" s="176"/>
      <c r="C38" s="145"/>
      <c r="D38" s="145"/>
      <c r="E38" s="145"/>
    </row>
    <row r="39" spans="2:5" ht="15.75">
      <c r="B39" s="176"/>
      <c r="C39" s="145"/>
      <c r="D39" s="145"/>
      <c r="E39" s="145"/>
    </row>
    <row r="40" spans="2:5" ht="15.75">
      <c r="B40" s="176"/>
      <c r="C40" s="145"/>
      <c r="D40" s="145"/>
      <c r="E40" s="145"/>
    </row>
    <row r="41" spans="2:5" ht="15.75">
      <c r="B41" s="176"/>
      <c r="C41" s="145"/>
      <c r="D41" s="145"/>
      <c r="E41" s="145"/>
    </row>
    <row r="42" spans="2:5" ht="15.75">
      <c r="B42" s="202" t="s">
        <v>129</v>
      </c>
      <c r="C42" s="145"/>
      <c r="D42" s="145"/>
      <c r="E42" s="145"/>
    </row>
    <row r="43" spans="2:5" ht="15.75">
      <c r="B43" s="178" t="s">
        <v>45</v>
      </c>
      <c r="C43" s="145"/>
      <c r="D43" s="172"/>
      <c r="E43" s="172"/>
    </row>
    <row r="44" spans="2:5" ht="15.75">
      <c r="B44" s="178" t="s">
        <v>46</v>
      </c>
      <c r="C44" s="341">
        <f>IF(C45*0.1&lt;C43,"Exceed 10% Rule","")</f>
      </c>
      <c r="D44" s="179">
        <f>IF(D45*0.1&lt;D43,"Exceed 10% Rule","")</f>
      </c>
      <c r="E44" s="179">
        <f>IF(E45*0.1&lt;E43,"Exceed 10% Rule","")</f>
      </c>
    </row>
    <row r="45" spans="2:5" ht="15.75">
      <c r="B45" s="59" t="s">
        <v>130</v>
      </c>
      <c r="C45" s="182">
        <f>SUM(C38:C43)</f>
        <v>0</v>
      </c>
      <c r="D45" s="181">
        <f>SUM(D38:D43)</f>
        <v>0</v>
      </c>
      <c r="E45" s="181">
        <f>SUM(E38:E43)</f>
        <v>0</v>
      </c>
    </row>
    <row r="46" spans="2:5" ht="15.75">
      <c r="B46" s="59" t="s">
        <v>131</v>
      </c>
      <c r="C46" s="182">
        <f>C36+C45</f>
        <v>0</v>
      </c>
      <c r="D46" s="182">
        <f>D36+D45</f>
        <v>0</v>
      </c>
      <c r="E46" s="182">
        <f>E36+E45</f>
        <v>0</v>
      </c>
    </row>
    <row r="47" spans="2:5" ht="15.75">
      <c r="B47" s="33" t="s">
        <v>132</v>
      </c>
      <c r="C47" s="125"/>
      <c r="D47" s="125"/>
      <c r="E47" s="125"/>
    </row>
    <row r="48" spans="2:5" ht="15.75">
      <c r="B48" s="176"/>
      <c r="C48" s="145"/>
      <c r="D48" s="145"/>
      <c r="E48" s="145"/>
    </row>
    <row r="49" spans="2:5" ht="15.75">
      <c r="B49" s="176"/>
      <c r="C49" s="145"/>
      <c r="D49" s="145"/>
      <c r="E49" s="145"/>
    </row>
    <row r="50" spans="2:5" ht="15.75">
      <c r="B50" s="176"/>
      <c r="C50" s="145"/>
      <c r="D50" s="145"/>
      <c r="E50" s="145"/>
    </row>
    <row r="51" spans="2:5" ht="15.75">
      <c r="B51" s="176"/>
      <c r="C51" s="145"/>
      <c r="D51" s="145"/>
      <c r="E51" s="145"/>
    </row>
    <row r="52" spans="2:5" ht="15.75">
      <c r="B52" s="176"/>
      <c r="C52" s="145"/>
      <c r="D52" s="145"/>
      <c r="E52" s="145"/>
    </row>
    <row r="53" spans="2:5" ht="15.75">
      <c r="B53" s="176"/>
      <c r="C53" s="145"/>
      <c r="D53" s="145"/>
      <c r="E53" s="145"/>
    </row>
    <row r="54" spans="2:5" ht="15.75">
      <c r="B54" s="41" t="str">
        <f>CONCATENATE("Cash Forward (",E1," column)")</f>
        <v>Cash Forward (0 column)</v>
      </c>
      <c r="C54" s="145"/>
      <c r="D54" s="145"/>
      <c r="E54" s="145"/>
    </row>
    <row r="55" spans="2:5" ht="15.75">
      <c r="B55" s="41" t="s">
        <v>45</v>
      </c>
      <c r="C55" s="145"/>
      <c r="D55" s="172"/>
      <c r="E55" s="172"/>
    </row>
    <row r="56" spans="2:5" ht="15.75">
      <c r="B56" s="41" t="s">
        <v>637</v>
      </c>
      <c r="C56" s="341">
        <f>IF(C57*0.1&lt;C55,"Exceed 10% Rule","")</f>
      </c>
      <c r="D56" s="179">
        <f>IF(D57*0.1&lt;D55,"Exceed 10% Rule","")</f>
      </c>
      <c r="E56" s="179">
        <f>IF(E57*0.1&lt;E55,"Exceed 10% Rule","")</f>
      </c>
    </row>
    <row r="57" spans="2:5" ht="15.75">
      <c r="B57" s="59" t="s">
        <v>133</v>
      </c>
      <c r="C57" s="182">
        <f>SUM(C48:C55)</f>
        <v>0</v>
      </c>
      <c r="D57" s="181">
        <f>SUM(D48:D55)</f>
        <v>0</v>
      </c>
      <c r="E57" s="181">
        <f>SUM(E48:E55)</f>
        <v>0</v>
      </c>
    </row>
    <row r="58" spans="2:5" ht="15.75">
      <c r="B58" s="33" t="s">
        <v>216</v>
      </c>
      <c r="C58" s="185">
        <f>C46-C57</f>
        <v>0</v>
      </c>
      <c r="D58" s="185">
        <f>D46-D57</f>
        <v>0</v>
      </c>
      <c r="E58" s="185">
        <f>E46-E57</f>
        <v>0</v>
      </c>
    </row>
    <row r="59" spans="2:5" ht="15.75">
      <c r="B59" s="73" t="str">
        <f>CONCATENATE("",E1-2,"/",E1-1,"/",E1," Budget Authority Amount:")</f>
        <v>-2/-1/0 Budget Authority Amount:</v>
      </c>
      <c r="C59" s="190">
        <f>inputOth!B89</f>
        <v>0</v>
      </c>
      <c r="D59" s="190">
        <f>inputPrYr!D42</f>
        <v>0</v>
      </c>
      <c r="E59" s="697">
        <f>E57</f>
        <v>0</v>
      </c>
    </row>
    <row r="60" spans="2:5" ht="15.75">
      <c r="B60" s="3"/>
      <c r="C60" s="187">
        <f>IF(C57&gt;C59,"See Tab A","")</f>
      </c>
      <c r="D60" s="187">
        <f>IF(D57&gt;D59,"See Tab C","")</f>
      </c>
      <c r="E60" s="698">
        <f>IF(E58&lt;0,"See Tab E","")</f>
      </c>
    </row>
    <row r="61" spans="2:5" ht="15.75">
      <c r="B61" s="849" t="s">
        <v>983</v>
      </c>
      <c r="C61" s="842"/>
      <c r="D61" s="842"/>
      <c r="E61" s="843"/>
    </row>
    <row r="62" spans="2:5" ht="15.75">
      <c r="B62" s="844"/>
      <c r="C62" s="845"/>
      <c r="D62" s="845"/>
      <c r="E62" s="846"/>
    </row>
    <row r="63" spans="2:5" ht="15.75">
      <c r="B63" s="847"/>
      <c r="C63" s="848">
        <f>IF(C58&lt;0,"See Tab B","")</f>
      </c>
      <c r="D63" s="848">
        <f>IF(D58&lt;0,"See Tab D","")</f>
      </c>
      <c r="E63" s="301"/>
    </row>
    <row r="64" spans="2:5" ht="15.75">
      <c r="B64" s="17"/>
      <c r="C64" s="17"/>
      <c r="D64" s="17"/>
      <c r="E64" s="17"/>
    </row>
    <row r="65" spans="2:5" ht="15.75">
      <c r="B65" s="91" t="s">
        <v>116</v>
      </c>
      <c r="C65" s="741"/>
      <c r="D65" s="17"/>
      <c r="E65" s="17"/>
    </row>
  </sheetData>
  <sheetProtection sheet="1"/>
  <conditionalFormatting sqref="C13 C43">
    <cfRule type="cellIs" priority="6" dxfId="179" operator="greaterThan" stopIfTrue="1">
      <formula>$C$15*0.1</formula>
    </cfRule>
  </conditionalFormatting>
  <conditionalFormatting sqref="D13 D43">
    <cfRule type="cellIs" priority="7" dxfId="179" operator="greaterThan" stopIfTrue="1">
      <formula>$D$15*0.1</formula>
    </cfRule>
  </conditionalFormatting>
  <conditionalFormatting sqref="E13 E43">
    <cfRule type="cellIs" priority="8" dxfId="179" operator="greaterThan" stopIfTrue="1">
      <formula>$E$15*0.1</formula>
    </cfRule>
  </conditionalFormatting>
  <conditionalFormatting sqref="C55">
    <cfRule type="cellIs" priority="9" dxfId="179" operator="greaterThan" stopIfTrue="1">
      <formula>$C$57*0.1</formula>
    </cfRule>
  </conditionalFormatting>
  <conditionalFormatting sqref="D55">
    <cfRule type="cellIs" priority="10" dxfId="179" operator="greaterThan" stopIfTrue="1">
      <formula>$D$57*0.1</formula>
    </cfRule>
  </conditionalFormatting>
  <conditionalFormatting sqref="E55">
    <cfRule type="cellIs" priority="11" dxfId="179" operator="greaterThan" stopIfTrue="1">
      <formula>$E$57*0.1</formula>
    </cfRule>
  </conditionalFormatting>
  <conditionalFormatting sqref="E28 E58">
    <cfRule type="cellIs" priority="12" dxfId="5" operator="lessThan" stopIfTrue="1">
      <formula>0</formula>
    </cfRule>
  </conditionalFormatting>
  <conditionalFormatting sqref="C28 C58">
    <cfRule type="cellIs" priority="13" dxfId="179" operator="lessThan" stopIfTrue="1">
      <formula>0</formula>
    </cfRule>
  </conditionalFormatting>
  <conditionalFormatting sqref="C27">
    <cfRule type="cellIs" priority="14" dxfId="5" operator="greaterThan" stopIfTrue="1">
      <formula>$C$29</formula>
    </cfRule>
  </conditionalFormatting>
  <conditionalFormatting sqref="D27">
    <cfRule type="cellIs" priority="15" dxfId="5" operator="greaterThan" stopIfTrue="1">
      <formula>$D$29</formula>
    </cfRule>
  </conditionalFormatting>
  <conditionalFormatting sqref="C57">
    <cfRule type="cellIs" priority="16" dxfId="5" operator="greaterThan" stopIfTrue="1">
      <formula>$C$59</formula>
    </cfRule>
  </conditionalFormatting>
  <conditionalFormatting sqref="D57">
    <cfRule type="cellIs" priority="17" dxfId="5" operator="greaterThan" stopIfTrue="1">
      <formula>$D$59</formula>
    </cfRule>
  </conditionalFormatting>
  <conditionalFormatting sqref="D28">
    <cfRule type="cellIs" priority="5" dxfId="0" operator="lessThan" stopIfTrue="1">
      <formula>0</formula>
    </cfRule>
  </conditionalFormatting>
  <conditionalFormatting sqref="D58">
    <cfRule type="cellIs" priority="4" dxfId="0" operator="lessThan" stopIfTrue="1">
      <formula>0</formula>
    </cfRule>
  </conditionalFormatting>
  <conditionalFormatting sqref="C25">
    <cfRule type="cellIs" priority="3" dxfId="0" operator="greaterThan" stopIfTrue="1">
      <formula>$C$27*0.1</formula>
    </cfRule>
  </conditionalFormatting>
  <conditionalFormatting sqref="D25">
    <cfRule type="cellIs" priority="2" dxfId="0" operator="greaterThan" stopIfTrue="1">
      <formula>$D$27*0.1</formula>
    </cfRule>
  </conditionalFormatting>
  <conditionalFormatting sqref="E25">
    <cfRule type="cellIs" priority="1" dxfId="0" operator="greaterThan" stopIfTrue="1">
      <formula>$E$27*0.1</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O40" sqref="O40"/>
    </sheetView>
  </sheetViews>
  <sheetFormatPr defaultColWidth="8.796875" defaultRowHeight="15.75"/>
  <cols>
    <col min="1" max="1" width="10.3984375" style="5" customWidth="1"/>
    <col min="2" max="2" width="6.69921875" style="5" customWidth="1"/>
    <col min="3" max="3" width="10.3984375" style="5" customWidth="1"/>
    <col min="4" max="4" width="6.69921875" style="5" customWidth="1"/>
    <col min="5" max="5" width="10.3984375" style="5" customWidth="1"/>
    <col min="6" max="6" width="6.69921875" style="5" customWidth="1"/>
    <col min="7" max="7" width="10.3984375" style="5" customWidth="1"/>
    <col min="8" max="8" width="6.69921875" style="5" customWidth="1"/>
    <col min="9" max="9" width="10.3984375" style="5" customWidth="1"/>
    <col min="10" max="16384" width="8.796875" style="5" customWidth="1"/>
  </cols>
  <sheetData>
    <row r="1" spans="1:11" ht="15.75">
      <c r="A1" s="109">
        <f>inputPrYr!$D$3</f>
        <v>0</v>
      </c>
      <c r="B1" s="233"/>
      <c r="C1" s="70"/>
      <c r="D1" s="70"/>
      <c r="E1" s="70"/>
      <c r="F1" s="234" t="s">
        <v>278</v>
      </c>
      <c r="G1" s="70"/>
      <c r="H1" s="70"/>
      <c r="I1" s="70"/>
      <c r="J1" s="70"/>
      <c r="K1" s="70">
        <f>inputPrYr!$D$7</f>
        <v>0</v>
      </c>
    </row>
    <row r="2" spans="1:11" ht="15.75">
      <c r="A2" s="70"/>
      <c r="B2" s="70"/>
      <c r="C2" s="70"/>
      <c r="D2" s="70"/>
      <c r="E2" s="70"/>
      <c r="F2" s="235" t="str">
        <f>CONCATENATE("(Only the actual budget year for ",K1-2," is to be shown)")</f>
        <v>(Only the actual budget year for -2 is to be shown)</v>
      </c>
      <c r="G2" s="70"/>
      <c r="H2" s="70"/>
      <c r="I2" s="70"/>
      <c r="J2" s="70"/>
      <c r="K2" s="70"/>
    </row>
    <row r="3" spans="1:11" ht="15.75">
      <c r="A3" s="70" t="s">
        <v>279</v>
      </c>
      <c r="B3" s="70"/>
      <c r="C3" s="70"/>
      <c r="D3" s="70"/>
      <c r="E3" s="70"/>
      <c r="F3" s="233"/>
      <c r="G3" s="70"/>
      <c r="H3" s="70"/>
      <c r="I3" s="70"/>
      <c r="J3" s="70"/>
      <c r="K3" s="70"/>
    </row>
    <row r="4" spans="1:11" ht="15.75">
      <c r="A4" s="70" t="s">
        <v>280</v>
      </c>
      <c r="B4" s="70"/>
      <c r="C4" s="70" t="s">
        <v>281</v>
      </c>
      <c r="D4" s="70"/>
      <c r="E4" s="70" t="s">
        <v>282</v>
      </c>
      <c r="F4" s="233"/>
      <c r="G4" s="70" t="s">
        <v>283</v>
      </c>
      <c r="H4" s="70"/>
      <c r="I4" s="70" t="s">
        <v>284</v>
      </c>
      <c r="J4" s="70"/>
      <c r="K4" s="70"/>
    </row>
    <row r="5" spans="1:11" ht="15.75">
      <c r="A5" s="951">
        <f>inputPrYr!B45</f>
        <v>0</v>
      </c>
      <c r="B5" s="952"/>
      <c r="C5" s="951">
        <f>inputPrYr!B46</f>
        <v>0</v>
      </c>
      <c r="D5" s="952"/>
      <c r="E5" s="951">
        <f>inputPrYr!B47</f>
        <v>0</v>
      </c>
      <c r="F5" s="952"/>
      <c r="G5" s="953">
        <f>inputPrYr!B48</f>
        <v>0</v>
      </c>
      <c r="H5" s="952"/>
      <c r="I5" s="953">
        <f>inputPrYr!B49</f>
        <v>0</v>
      </c>
      <c r="J5" s="952"/>
      <c r="K5" s="237"/>
    </row>
    <row r="6" spans="1:11" ht="15.75">
      <c r="A6" s="238" t="s">
        <v>285</v>
      </c>
      <c r="B6" s="239"/>
      <c r="C6" s="240" t="s">
        <v>285</v>
      </c>
      <c r="D6" s="241"/>
      <c r="E6" s="240" t="s">
        <v>285</v>
      </c>
      <c r="F6" s="242"/>
      <c r="G6" s="240" t="s">
        <v>285</v>
      </c>
      <c r="H6" s="236"/>
      <c r="I6" s="240" t="s">
        <v>285</v>
      </c>
      <c r="J6" s="70"/>
      <c r="K6" s="243" t="s">
        <v>92</v>
      </c>
    </row>
    <row r="7" spans="1:11" ht="15.75">
      <c r="A7" s="244" t="s">
        <v>286</v>
      </c>
      <c r="B7" s="245"/>
      <c r="C7" s="246" t="s">
        <v>286</v>
      </c>
      <c r="D7" s="245"/>
      <c r="E7" s="246" t="s">
        <v>286</v>
      </c>
      <c r="F7" s="245"/>
      <c r="G7" s="246" t="s">
        <v>286</v>
      </c>
      <c r="H7" s="245"/>
      <c r="I7" s="246" t="s">
        <v>286</v>
      </c>
      <c r="J7" s="245"/>
      <c r="K7" s="247">
        <f>SUM(B7+D7+F7+H7+J7)</f>
        <v>0</v>
      </c>
    </row>
    <row r="8" spans="1:11" ht="15.75">
      <c r="A8" s="248" t="s">
        <v>217</v>
      </c>
      <c r="B8" s="249"/>
      <c r="C8" s="248" t="s">
        <v>217</v>
      </c>
      <c r="D8" s="250"/>
      <c r="E8" s="248" t="s">
        <v>217</v>
      </c>
      <c r="F8" s="233"/>
      <c r="G8" s="248" t="s">
        <v>217</v>
      </c>
      <c r="H8" s="70"/>
      <c r="I8" s="248" t="s">
        <v>217</v>
      </c>
      <c r="J8" s="70"/>
      <c r="K8" s="233"/>
    </row>
    <row r="9" spans="1:11" ht="15.75">
      <c r="A9" s="251"/>
      <c r="B9" s="245"/>
      <c r="C9" s="251"/>
      <c r="D9" s="245"/>
      <c r="E9" s="251"/>
      <c r="F9" s="245"/>
      <c r="G9" s="251"/>
      <c r="H9" s="245"/>
      <c r="I9" s="251"/>
      <c r="J9" s="245"/>
      <c r="K9" s="233"/>
    </row>
    <row r="10" spans="1:11" ht="15.75">
      <c r="A10" s="251"/>
      <c r="B10" s="245"/>
      <c r="C10" s="251"/>
      <c r="D10" s="245"/>
      <c r="E10" s="251"/>
      <c r="F10" s="245"/>
      <c r="G10" s="251"/>
      <c r="H10" s="245"/>
      <c r="I10" s="251"/>
      <c r="J10" s="245"/>
      <c r="K10" s="233"/>
    </row>
    <row r="11" spans="1:11" ht="15.75">
      <c r="A11" s="251"/>
      <c r="B11" s="245"/>
      <c r="C11" s="252"/>
      <c r="D11" s="253"/>
      <c r="E11" s="252"/>
      <c r="F11" s="245"/>
      <c r="G11" s="252"/>
      <c r="H11" s="245"/>
      <c r="I11" s="254"/>
      <c r="J11" s="245"/>
      <c r="K11" s="233"/>
    </row>
    <row r="12" spans="1:11" ht="15.75">
      <c r="A12" s="251"/>
      <c r="B12" s="255"/>
      <c r="C12" s="251"/>
      <c r="D12" s="256"/>
      <c r="E12" s="257"/>
      <c r="F12" s="245"/>
      <c r="G12" s="257"/>
      <c r="H12" s="245"/>
      <c r="I12" s="257"/>
      <c r="J12" s="245"/>
      <c r="K12" s="233"/>
    </row>
    <row r="13" spans="1:11" ht="15.75">
      <c r="A13" s="258"/>
      <c r="B13" s="259"/>
      <c r="C13" s="260"/>
      <c r="D13" s="256"/>
      <c r="E13" s="260"/>
      <c r="F13" s="245"/>
      <c r="G13" s="260"/>
      <c r="H13" s="245"/>
      <c r="I13" s="254"/>
      <c r="J13" s="245"/>
      <c r="K13" s="233"/>
    </row>
    <row r="14" spans="1:11" ht="15.75">
      <c r="A14" s="251"/>
      <c r="B14" s="245"/>
      <c r="C14" s="257"/>
      <c r="D14" s="256"/>
      <c r="E14" s="257"/>
      <c r="F14" s="245"/>
      <c r="G14" s="257"/>
      <c r="H14" s="245"/>
      <c r="I14" s="257"/>
      <c r="J14" s="245"/>
      <c r="K14" s="233"/>
    </row>
    <row r="15" spans="1:11" ht="15.75">
      <c r="A15" s="251"/>
      <c r="B15" s="245"/>
      <c r="C15" s="257"/>
      <c r="D15" s="256"/>
      <c r="E15" s="257"/>
      <c r="F15" s="245"/>
      <c r="G15" s="257"/>
      <c r="H15" s="245"/>
      <c r="I15" s="257"/>
      <c r="J15" s="245"/>
      <c r="K15" s="233"/>
    </row>
    <row r="16" spans="1:11" ht="15.75">
      <c r="A16" s="251"/>
      <c r="B16" s="259"/>
      <c r="C16" s="251"/>
      <c r="D16" s="256"/>
      <c r="E16" s="251"/>
      <c r="F16" s="245"/>
      <c r="G16" s="257"/>
      <c r="H16" s="245"/>
      <c r="I16" s="251"/>
      <c r="J16" s="245"/>
      <c r="K16" s="233"/>
    </row>
    <row r="17" spans="1:11" ht="15.75">
      <c r="A17" s="248" t="s">
        <v>130</v>
      </c>
      <c r="B17" s="247">
        <f>SUM(B9:B16)</f>
        <v>0</v>
      </c>
      <c r="C17" s="248" t="s">
        <v>130</v>
      </c>
      <c r="D17" s="247">
        <f>SUM(D9:D16)</f>
        <v>0</v>
      </c>
      <c r="E17" s="248" t="s">
        <v>130</v>
      </c>
      <c r="F17" s="261">
        <f>SUM(F9:F16)</f>
        <v>0</v>
      </c>
      <c r="G17" s="248" t="s">
        <v>130</v>
      </c>
      <c r="H17" s="247">
        <f>SUM(H9:H16)</f>
        <v>0</v>
      </c>
      <c r="I17" s="248" t="s">
        <v>130</v>
      </c>
      <c r="J17" s="247">
        <f>SUM(J9:J16)</f>
        <v>0</v>
      </c>
      <c r="K17" s="247">
        <f>SUM(B17+D17+F17+H17+J17)</f>
        <v>0</v>
      </c>
    </row>
    <row r="18" spans="1:11" ht="15.75">
      <c r="A18" s="248" t="s">
        <v>131</v>
      </c>
      <c r="B18" s="247">
        <f>SUM(B7+B17)</f>
        <v>0</v>
      </c>
      <c r="C18" s="248" t="s">
        <v>131</v>
      </c>
      <c r="D18" s="247">
        <f>SUM(D7+D17)</f>
        <v>0</v>
      </c>
      <c r="E18" s="248" t="s">
        <v>131</v>
      </c>
      <c r="F18" s="247">
        <f>SUM(F7+F17)</f>
        <v>0</v>
      </c>
      <c r="G18" s="248" t="s">
        <v>131</v>
      </c>
      <c r="H18" s="247">
        <f>SUM(H7+H17)</f>
        <v>0</v>
      </c>
      <c r="I18" s="248" t="s">
        <v>131</v>
      </c>
      <c r="J18" s="247">
        <f>SUM(J7+J17)</f>
        <v>0</v>
      </c>
      <c r="K18" s="247">
        <f>SUM(B18+D18+F18+H18+J18)</f>
        <v>0</v>
      </c>
    </row>
    <row r="19" spans="1:11" ht="15.75">
      <c r="A19" s="248" t="s">
        <v>132</v>
      </c>
      <c r="B19" s="249"/>
      <c r="C19" s="248" t="s">
        <v>132</v>
      </c>
      <c r="D19" s="250"/>
      <c r="E19" s="248" t="s">
        <v>132</v>
      </c>
      <c r="F19" s="233"/>
      <c r="G19" s="248" t="s">
        <v>132</v>
      </c>
      <c r="H19" s="70"/>
      <c r="I19" s="248" t="s">
        <v>132</v>
      </c>
      <c r="J19" s="70"/>
      <c r="K19" s="233"/>
    </row>
    <row r="20" spans="1:11" ht="15.75">
      <c r="A20" s="251"/>
      <c r="B20" s="245"/>
      <c r="C20" s="257"/>
      <c r="D20" s="245"/>
      <c r="E20" s="257"/>
      <c r="F20" s="245"/>
      <c r="G20" s="257"/>
      <c r="H20" s="245"/>
      <c r="I20" s="257"/>
      <c r="J20" s="245"/>
      <c r="K20" s="233"/>
    </row>
    <row r="21" spans="1:11" ht="15.75">
      <c r="A21" s="251"/>
      <c r="B21" s="245"/>
      <c r="C21" s="257"/>
      <c r="D21" s="245"/>
      <c r="E21" s="257"/>
      <c r="F21" s="245"/>
      <c r="G21" s="257"/>
      <c r="H21" s="245"/>
      <c r="I21" s="257"/>
      <c r="J21" s="245"/>
      <c r="K21" s="233"/>
    </row>
    <row r="22" spans="1:11" ht="15.75">
      <c r="A22" s="251"/>
      <c r="B22" s="245"/>
      <c r="C22" s="260"/>
      <c r="D22" s="245"/>
      <c r="E22" s="260"/>
      <c r="F22" s="245"/>
      <c r="G22" s="260"/>
      <c r="H22" s="245"/>
      <c r="I22" s="254"/>
      <c r="J22" s="245"/>
      <c r="K22" s="233"/>
    </row>
    <row r="23" spans="1:11" ht="15.75">
      <c r="A23" s="251"/>
      <c r="B23" s="245"/>
      <c r="C23" s="257"/>
      <c r="D23" s="245"/>
      <c r="E23" s="257"/>
      <c r="F23" s="245"/>
      <c r="G23" s="257"/>
      <c r="H23" s="245"/>
      <c r="I23" s="257"/>
      <c r="J23" s="245"/>
      <c r="K23" s="233"/>
    </row>
    <row r="24" spans="1:11" ht="15.75">
      <c r="A24" s="251"/>
      <c r="B24" s="245"/>
      <c r="C24" s="260"/>
      <c r="D24" s="245"/>
      <c r="E24" s="260"/>
      <c r="F24" s="245"/>
      <c r="G24" s="260"/>
      <c r="H24" s="245"/>
      <c r="I24" s="254"/>
      <c r="J24" s="245"/>
      <c r="K24" s="233"/>
    </row>
    <row r="25" spans="1:11" ht="15.75">
      <c r="A25" s="251"/>
      <c r="B25" s="245"/>
      <c r="C25" s="257"/>
      <c r="D25" s="245"/>
      <c r="E25" s="257"/>
      <c r="F25" s="245"/>
      <c r="G25" s="257"/>
      <c r="H25" s="245"/>
      <c r="I25" s="257"/>
      <c r="J25" s="245"/>
      <c r="K25" s="233"/>
    </row>
    <row r="26" spans="1:11" ht="15.75">
      <c r="A26" s="251"/>
      <c r="B26" s="245"/>
      <c r="C26" s="257"/>
      <c r="D26" s="245"/>
      <c r="E26" s="257"/>
      <c r="F26" s="245"/>
      <c r="G26" s="257"/>
      <c r="H26" s="245"/>
      <c r="I26" s="257"/>
      <c r="J26" s="245"/>
      <c r="K26" s="233"/>
    </row>
    <row r="27" spans="1:11" ht="15.75">
      <c r="A27" s="251"/>
      <c r="B27" s="245"/>
      <c r="C27" s="251"/>
      <c r="D27" s="245"/>
      <c r="E27" s="251"/>
      <c r="F27" s="245"/>
      <c r="G27" s="257"/>
      <c r="H27" s="245"/>
      <c r="I27" s="257"/>
      <c r="J27" s="245"/>
      <c r="K27" s="233"/>
    </row>
    <row r="28" spans="1:11" ht="15.75">
      <c r="A28" s="248" t="s">
        <v>133</v>
      </c>
      <c r="B28" s="247">
        <f>SUM(B20:B27)</f>
        <v>0</v>
      </c>
      <c r="C28" s="248" t="s">
        <v>133</v>
      </c>
      <c r="D28" s="247">
        <f>SUM(D20:D27)</f>
        <v>0</v>
      </c>
      <c r="E28" s="248" t="s">
        <v>133</v>
      </c>
      <c r="F28" s="261">
        <f>SUM(F20:F27)</f>
        <v>0</v>
      </c>
      <c r="G28" s="248" t="s">
        <v>133</v>
      </c>
      <c r="H28" s="261">
        <f>SUM(H20:H27)</f>
        <v>0</v>
      </c>
      <c r="I28" s="248" t="s">
        <v>133</v>
      </c>
      <c r="J28" s="247">
        <f>SUM(J20:J27)</f>
        <v>0</v>
      </c>
      <c r="K28" s="247">
        <f>SUM(B28+D28+F28+H28+J28)</f>
        <v>0</v>
      </c>
    </row>
    <row r="29" spans="1:12" ht="15.75">
      <c r="A29" s="248" t="s">
        <v>287</v>
      </c>
      <c r="B29" s="247">
        <f>SUM(B18-B28)</f>
        <v>0</v>
      </c>
      <c r="C29" s="248" t="s">
        <v>287</v>
      </c>
      <c r="D29" s="247">
        <f>SUM(D18-D28)</f>
        <v>0</v>
      </c>
      <c r="E29" s="248" t="s">
        <v>287</v>
      </c>
      <c r="F29" s="247">
        <f>SUM(F18-F28)</f>
        <v>0</v>
      </c>
      <c r="G29" s="248" t="s">
        <v>287</v>
      </c>
      <c r="H29" s="247">
        <f>SUM(H18-H28)</f>
        <v>0</v>
      </c>
      <c r="I29" s="248" t="s">
        <v>287</v>
      </c>
      <c r="J29" s="247">
        <f>SUM(J18-J28)</f>
        <v>0</v>
      </c>
      <c r="K29" s="262">
        <f>SUM(B29+D29+F29+H29+J29)</f>
        <v>0</v>
      </c>
      <c r="L29" s="5" t="s">
        <v>288</v>
      </c>
    </row>
    <row r="30" spans="1:12" ht="15.75">
      <c r="A30" s="248"/>
      <c r="B30" s="309">
        <f>IF(B29&lt;0,"See Tab B","")</f>
      </c>
      <c r="C30" s="248"/>
      <c r="D30" s="309">
        <f>IF(D29&lt;0,"See Tab B","")</f>
      </c>
      <c r="E30" s="248"/>
      <c r="F30" s="309">
        <f>IF(F29&lt;0,"See Tab B","")</f>
      </c>
      <c r="G30" s="70"/>
      <c r="H30" s="309">
        <f>IF(H29&lt;0,"See Tab B","")</f>
      </c>
      <c r="I30" s="70"/>
      <c r="J30" s="309">
        <f>IF(J29&lt;0,"See Tab B","")</f>
      </c>
      <c r="K30" s="262">
        <f>SUM(K7+K17-K28)</f>
        <v>0</v>
      </c>
      <c r="L30" s="5" t="s">
        <v>288</v>
      </c>
    </row>
    <row r="31" spans="1:11" ht="15.75">
      <c r="A31" s="70"/>
      <c r="B31" s="263"/>
      <c r="C31" s="70"/>
      <c r="D31" s="233"/>
      <c r="E31" s="70"/>
      <c r="F31" s="70"/>
      <c r="G31" s="14" t="s">
        <v>289</v>
      </c>
      <c r="H31" s="14"/>
      <c r="I31" s="14"/>
      <c r="J31" s="14"/>
      <c r="K31" s="70"/>
    </row>
    <row r="32" spans="1:11" ht="15.75">
      <c r="A32" s="70"/>
      <c r="B32" s="263"/>
      <c r="C32" s="70"/>
      <c r="D32" s="70"/>
      <c r="E32" s="70"/>
      <c r="F32" s="70"/>
      <c r="G32" s="70"/>
      <c r="H32" s="70"/>
      <c r="I32" s="70"/>
      <c r="J32" s="70"/>
      <c r="K32" s="70"/>
    </row>
    <row r="33" spans="1:11" ht="15.75">
      <c r="A33" s="850" t="s">
        <v>983</v>
      </c>
      <c r="B33" s="851"/>
      <c r="C33" s="852"/>
      <c r="D33" s="852"/>
      <c r="E33" s="852"/>
      <c r="F33" s="852"/>
      <c r="G33" s="852"/>
      <c r="H33" s="852"/>
      <c r="I33" s="852"/>
      <c r="J33" s="853"/>
      <c r="K33" s="70"/>
    </row>
    <row r="34" spans="1:11" ht="15.75">
      <c r="A34" s="854"/>
      <c r="B34" s="855"/>
      <c r="C34" s="856"/>
      <c r="D34" s="856"/>
      <c r="E34" s="856"/>
      <c r="F34" s="856"/>
      <c r="G34" s="856"/>
      <c r="H34" s="856"/>
      <c r="I34" s="856"/>
      <c r="J34" s="857"/>
      <c r="K34" s="70"/>
    </row>
    <row r="35" spans="1:11" ht="15.75">
      <c r="A35" s="858"/>
      <c r="B35" s="859"/>
      <c r="C35" s="237"/>
      <c r="D35" s="237"/>
      <c r="E35" s="237"/>
      <c r="F35" s="237"/>
      <c r="G35" s="237"/>
      <c r="H35" s="237"/>
      <c r="I35" s="237"/>
      <c r="J35" s="860"/>
      <c r="K35" s="70"/>
    </row>
    <row r="36" spans="1:11" ht="15.75">
      <c r="A36" s="70"/>
      <c r="B36" s="263"/>
      <c r="C36" s="70"/>
      <c r="D36" s="70"/>
      <c r="E36" s="70"/>
      <c r="F36" s="70"/>
      <c r="G36" s="70"/>
      <c r="H36" s="70"/>
      <c r="I36" s="70"/>
      <c r="J36" s="70"/>
      <c r="K36" s="70"/>
    </row>
    <row r="37" spans="1:11" ht="15.75">
      <c r="A37" s="70"/>
      <c r="B37" s="263"/>
      <c r="C37" s="70"/>
      <c r="D37" s="70"/>
      <c r="E37" s="228" t="s">
        <v>116</v>
      </c>
      <c r="F37" s="741"/>
      <c r="G37" s="70"/>
      <c r="H37" s="70"/>
      <c r="I37" s="70"/>
      <c r="J37" s="70"/>
      <c r="K37" s="70"/>
    </row>
    <row r="38" ht="15.75">
      <c r="B38" s="264"/>
    </row>
    <row r="39" ht="15.75">
      <c r="B39" s="264"/>
    </row>
    <row r="40" ht="15.75">
      <c r="B40" s="264"/>
    </row>
    <row r="41" ht="15.75">
      <c r="B41" s="264"/>
    </row>
    <row r="42" ht="15.75">
      <c r="B42" s="264"/>
    </row>
    <row r="43" ht="15.75">
      <c r="B43" s="264"/>
    </row>
    <row r="44" ht="15.75">
      <c r="B44" s="264"/>
    </row>
    <row r="45" ht="15.75">
      <c r="B45" s="26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5.xml><?xml version="1.0" encoding="utf-8"?>
<worksheet xmlns="http://schemas.openxmlformats.org/spreadsheetml/2006/main" xmlns:r="http://schemas.openxmlformats.org/officeDocument/2006/relationships">
  <dimension ref="A1:A26"/>
  <sheetViews>
    <sheetView zoomScalePageLayoutView="0" workbookViewId="0" topLeftCell="A1">
      <selection activeCell="E22" sqref="E22"/>
    </sheetView>
  </sheetViews>
  <sheetFormatPr defaultColWidth="8.796875" defaultRowHeight="15.75"/>
  <cols>
    <col min="1" max="1" width="62.3984375" style="66" customWidth="1"/>
    <col min="2" max="16384" width="8.796875" style="66" customWidth="1"/>
  </cols>
  <sheetData>
    <row r="1" ht="18.75">
      <c r="A1" s="349" t="s">
        <v>291</v>
      </c>
    </row>
    <row r="2" ht="20.25">
      <c r="A2" s="359"/>
    </row>
    <row r="3" ht="54.75" customHeight="1">
      <c r="A3" s="344" t="s">
        <v>292</v>
      </c>
    </row>
    <row r="4" ht="15.75">
      <c r="A4" s="345"/>
    </row>
    <row r="5" ht="56.25" customHeight="1">
      <c r="A5" s="344" t="s">
        <v>293</v>
      </c>
    </row>
    <row r="6" ht="15.75">
      <c r="A6" s="5"/>
    </row>
    <row r="7" ht="50.25" customHeight="1">
      <c r="A7" s="344" t="s">
        <v>294</v>
      </c>
    </row>
    <row r="8" ht="16.5" customHeight="1">
      <c r="A8" s="344"/>
    </row>
    <row r="9" ht="50.25" customHeight="1">
      <c r="A9" s="358" t="s">
        <v>546</v>
      </c>
    </row>
    <row r="10" ht="15.75">
      <c r="A10" s="345"/>
    </row>
    <row r="11" ht="40.5" customHeight="1">
      <c r="A11" s="344" t="s">
        <v>295</v>
      </c>
    </row>
    <row r="12" ht="15.75">
      <c r="A12" s="5"/>
    </row>
    <row r="13" ht="40.5" customHeight="1">
      <c r="A13" s="344" t="s">
        <v>296</v>
      </c>
    </row>
    <row r="14" ht="15.75">
      <c r="A14" s="345"/>
    </row>
    <row r="15" ht="71.25" customHeight="1">
      <c r="A15" s="344" t="s">
        <v>297</v>
      </c>
    </row>
    <row r="16" ht="15.75">
      <c r="A16" s="345"/>
    </row>
    <row r="17" ht="40.5" customHeight="1">
      <c r="A17" s="344" t="s">
        <v>298</v>
      </c>
    </row>
    <row r="18" ht="15.75">
      <c r="A18" s="5"/>
    </row>
    <row r="19" ht="49.5" customHeight="1">
      <c r="A19" s="344" t="s">
        <v>299</v>
      </c>
    </row>
    <row r="20" ht="15.75">
      <c r="A20" s="345"/>
    </row>
    <row r="21" ht="52.5" customHeight="1">
      <c r="A21" s="344" t="s">
        <v>300</v>
      </c>
    </row>
    <row r="22" ht="15.75">
      <c r="A22" s="345"/>
    </row>
    <row r="23" ht="48.75" customHeight="1">
      <c r="A23" s="344" t="s">
        <v>301</v>
      </c>
    </row>
    <row r="24" ht="15.75">
      <c r="A24" s="345"/>
    </row>
    <row r="25" ht="15.75">
      <c r="A25" s="5"/>
    </row>
    <row r="26" ht="51.75" customHeight="1">
      <c r="A26" s="344" t="s">
        <v>302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1:N123"/>
  <sheetViews>
    <sheetView zoomScalePageLayoutView="0" workbookViewId="0" topLeftCell="A1">
      <selection activeCell="E22" sqref="E22"/>
    </sheetView>
  </sheetViews>
  <sheetFormatPr defaultColWidth="8.796875" defaultRowHeight="15.75"/>
  <cols>
    <col min="1" max="1" width="2.09765625" style="108" customWidth="1"/>
    <col min="2" max="2" width="19.3984375" style="108" customWidth="1"/>
    <col min="3" max="3" width="12.69921875" style="108" customWidth="1"/>
    <col min="4" max="4" width="9.69921875" style="108" customWidth="1"/>
    <col min="5" max="5" width="12.69921875" style="108" customWidth="1"/>
    <col min="6" max="6" width="9.69921875" style="108" customWidth="1"/>
    <col min="7" max="7" width="13.5" style="108" customWidth="1"/>
    <col min="8" max="8" width="10.69921875" style="108" customWidth="1"/>
    <col min="9" max="9" width="11" style="108" customWidth="1"/>
    <col min="10" max="10" width="8.796875" style="108" customWidth="1"/>
    <col min="11" max="11" width="12.3984375" style="108" customWidth="1"/>
    <col min="12" max="12" width="12.296875" style="108" customWidth="1"/>
    <col min="13" max="13" width="10.5" style="108" customWidth="1"/>
    <col min="14" max="14" width="12" style="108" customWidth="1"/>
    <col min="15" max="16384" width="8.796875" style="108" customWidth="1"/>
  </cols>
  <sheetData>
    <row r="1" spans="2:9" ht="15.75">
      <c r="B1" s="17"/>
      <c r="C1" s="17"/>
      <c r="D1" s="17"/>
      <c r="E1" s="17"/>
      <c r="F1" s="17"/>
      <c r="G1" s="17"/>
      <c r="H1" s="17"/>
      <c r="I1" s="18">
        <f>inputPrYr!D7</f>
        <v>0</v>
      </c>
    </row>
    <row r="2" spans="2:9" ht="15.75">
      <c r="B2" s="912" t="s">
        <v>179</v>
      </c>
      <c r="C2" s="888"/>
      <c r="D2" s="888"/>
      <c r="E2" s="888"/>
      <c r="F2" s="888"/>
      <c r="G2" s="888"/>
      <c r="H2" s="888"/>
      <c r="I2" s="888"/>
    </row>
    <row r="3" spans="2:9" ht="15.75">
      <c r="B3" s="17"/>
      <c r="C3" s="17"/>
      <c r="D3" s="17"/>
      <c r="E3" s="17"/>
      <c r="F3" s="17"/>
      <c r="G3" s="25" t="s">
        <v>144</v>
      </c>
      <c r="H3" s="25" t="s">
        <v>145</v>
      </c>
      <c r="I3" s="17"/>
    </row>
    <row r="4" spans="2:9" ht="15.75">
      <c r="B4" s="893" t="s">
        <v>146</v>
      </c>
      <c r="C4" s="893"/>
      <c r="D4" s="893"/>
      <c r="E4" s="893"/>
      <c r="F4" s="893"/>
      <c r="G4" s="893"/>
      <c r="H4" s="893"/>
      <c r="I4" s="893"/>
    </row>
    <row r="5" spans="2:9" ht="15.75">
      <c r="B5" s="866">
        <f>inputPrYr!D3</f>
        <v>0</v>
      </c>
      <c r="C5" s="866"/>
      <c r="D5" s="866"/>
      <c r="E5" s="866"/>
      <c r="F5" s="866"/>
      <c r="G5" s="866"/>
      <c r="H5" s="866"/>
      <c r="I5" s="866"/>
    </row>
    <row r="6" spans="2:9" ht="15.75">
      <c r="B6" s="866">
        <f>inputPrYr!D4</f>
        <v>0</v>
      </c>
      <c r="C6" s="866"/>
      <c r="D6" s="866"/>
      <c r="E6" s="866"/>
      <c r="F6" s="866"/>
      <c r="G6" s="866"/>
      <c r="H6" s="866"/>
      <c r="I6" s="866"/>
    </row>
    <row r="7" spans="2:9" ht="15.75">
      <c r="B7" s="893" t="str">
        <f>CONCATENATE("will meet on",inputBudSum!B8," at ",inputBudSum!B10," at ",inputBudSum!B12," for the purpose of hearing and")</f>
        <v>will meet on at  at  for the purpose of hearing and</v>
      </c>
      <c r="C7" s="893"/>
      <c r="D7" s="893"/>
      <c r="E7" s="893"/>
      <c r="F7" s="893"/>
      <c r="G7" s="893"/>
      <c r="H7" s="893"/>
      <c r="I7" s="893"/>
    </row>
    <row r="8" spans="2:9" ht="15.75">
      <c r="B8" s="893" t="s">
        <v>323</v>
      </c>
      <c r="C8" s="867"/>
      <c r="D8" s="867"/>
      <c r="E8" s="867"/>
      <c r="F8" s="867"/>
      <c r="G8" s="867"/>
      <c r="H8" s="867"/>
      <c r="I8" s="867"/>
    </row>
    <row r="9" spans="2:9" ht="15.75">
      <c r="B9" s="893" t="str">
        <f>CONCATENATE("Detailed budget information is available at ",inputBudSum!B15," and will be available at this hearing.")</f>
        <v>Detailed budget information is available at  and will be available at this hearing.</v>
      </c>
      <c r="C9" s="867"/>
      <c r="D9" s="867"/>
      <c r="E9" s="867"/>
      <c r="F9" s="867"/>
      <c r="G9" s="867"/>
      <c r="H9" s="867"/>
      <c r="I9" s="867"/>
    </row>
    <row r="10" spans="2:9" ht="15.75">
      <c r="B10" s="912" t="s">
        <v>180</v>
      </c>
      <c r="C10" s="867"/>
      <c r="D10" s="867"/>
      <c r="E10" s="867"/>
      <c r="F10" s="867"/>
      <c r="G10" s="867"/>
      <c r="H10" s="867"/>
      <c r="I10" s="867"/>
    </row>
    <row r="11" spans="2:9" ht="15.75">
      <c r="B11" s="893" t="str">
        <f>CONCATENATE("Proposed Budget ",I1," Expenditures and Amount of ",I1-1," Ad Valorem Tax establish the maximum limits")</f>
        <v>Proposed Budget 0 Expenditures and Amount of -1 Ad Valorem Tax establish the maximum limits</v>
      </c>
      <c r="C11" s="867"/>
      <c r="D11" s="867"/>
      <c r="E11" s="867"/>
      <c r="F11" s="867"/>
      <c r="G11" s="867"/>
      <c r="H11" s="867"/>
      <c r="I11" s="867"/>
    </row>
    <row r="12" spans="2:9" ht="15.75">
      <c r="B12" s="893" t="str">
        <f>CONCATENATE("of the ",I1," budget.  Estimated Tax Rate is subject to change depending on the final assessed valuation.")</f>
        <v>of the 0 budget.  Estimated Tax Rate is subject to change depending on the final assessed valuation.</v>
      </c>
      <c r="C12" s="867"/>
      <c r="D12" s="867"/>
      <c r="E12" s="867"/>
      <c r="F12" s="867"/>
      <c r="G12" s="867"/>
      <c r="H12" s="867"/>
      <c r="I12" s="867"/>
    </row>
    <row r="13" spans="2:10" ht="15.75">
      <c r="B13" s="25"/>
      <c r="C13" s="24"/>
      <c r="D13" s="24"/>
      <c r="E13" s="24"/>
      <c r="F13" s="24"/>
      <c r="G13" s="24"/>
      <c r="H13" s="24"/>
      <c r="I13" s="24"/>
      <c r="J13" s="203"/>
    </row>
    <row r="14" spans="2:10" ht="15.75">
      <c r="B14" s="96"/>
      <c r="C14" s="656" t="str">
        <f>CONCATENATE("Prior Year Actual ",I1-2,"")</f>
        <v>Prior Year Actual -2</v>
      </c>
      <c r="D14" s="657"/>
      <c r="E14" s="656" t="str">
        <f>CONCATENATE("Current Year Estimate ",I1-1,"")</f>
        <v>Current Year Estimate -1</v>
      </c>
      <c r="F14" s="658"/>
      <c r="G14" s="659" t="str">
        <f>CONCATENATE("Proposed Budget ",I1,"")</f>
        <v>Proposed Budget 0</v>
      </c>
      <c r="H14" s="660"/>
      <c r="I14" s="658"/>
      <c r="J14" s="203"/>
    </row>
    <row r="15" spans="2:10" ht="22.5" customHeight="1">
      <c r="B15" s="28"/>
      <c r="C15" s="192"/>
      <c r="D15" s="27" t="s">
        <v>139</v>
      </c>
      <c r="E15" s="27"/>
      <c r="F15" s="354" t="s">
        <v>139</v>
      </c>
      <c r="G15" s="96"/>
      <c r="H15" s="957" t="str">
        <f>CONCATENATE("Amount of ",I1-1," Ad Valorem Tax")</f>
        <v>Amount of -1 Ad Valorem Tax</v>
      </c>
      <c r="I15" s="27" t="s">
        <v>147</v>
      </c>
      <c r="J15" s="203"/>
    </row>
    <row r="16" spans="2:10" ht="15.75">
      <c r="B16" s="28"/>
      <c r="C16" s="29"/>
      <c r="D16" s="29" t="s">
        <v>148</v>
      </c>
      <c r="E16" s="29"/>
      <c r="F16" s="29" t="s">
        <v>148</v>
      </c>
      <c r="G16" s="483" t="s">
        <v>37</v>
      </c>
      <c r="H16" s="958"/>
      <c r="I16" s="29" t="s">
        <v>148</v>
      </c>
      <c r="J16" s="203"/>
    </row>
    <row r="17" spans="2:10" ht="15.75">
      <c r="B17" s="628" t="s">
        <v>102</v>
      </c>
      <c r="C17" s="32" t="s">
        <v>149</v>
      </c>
      <c r="D17" s="32" t="s">
        <v>150</v>
      </c>
      <c r="E17" s="32" t="s">
        <v>149</v>
      </c>
      <c r="F17" s="32" t="s">
        <v>150</v>
      </c>
      <c r="G17" s="482" t="s">
        <v>636</v>
      </c>
      <c r="H17" s="959"/>
      <c r="I17" s="32" t="s">
        <v>150</v>
      </c>
      <c r="J17" s="203"/>
    </row>
    <row r="18" spans="2:14" ht="15.75">
      <c r="B18" s="43">
        <f>inputPrYr!B20</f>
        <v>0</v>
      </c>
      <c r="C18" s="53" t="str">
        <f>IF(Special!$C$34&lt;&gt;0,Special!$C$34,"  ")</f>
        <v>  </v>
      </c>
      <c r="D18" s="46" t="str">
        <f>IF(inputPrYr!D53&gt;0,inputPrYr!D53,"  ")</f>
        <v>  </v>
      </c>
      <c r="E18" s="53" t="str">
        <f>IF(Special!$D$34&lt;&gt;0,Special!$D$34,"  ")</f>
        <v>  </v>
      </c>
      <c r="F18" s="46" t="str">
        <f>IF(inputOth!D27&gt;0,inputOth!D27,"  ")</f>
        <v>  </v>
      </c>
      <c r="G18" s="53" t="str">
        <f>IF(Special!$E$34&lt;&gt;0,Special!$E$34,"  ")</f>
        <v>  </v>
      </c>
      <c r="H18" s="53" t="str">
        <f>IF(Special!$E$41&gt;0,Special!$E$41," ")</f>
        <v> </v>
      </c>
      <c r="I18" s="204" t="str">
        <f>IF(Special!E41&gt;0,ROUND(H18/G24*1000,3)," ")</f>
        <v> </v>
      </c>
      <c r="J18" s="203"/>
      <c r="K18" s="954" t="str">
        <f>CONCATENATE("Estimated Value Of One Mill For ",I1,"")</f>
        <v>Estimated Value Of One Mill For 0</v>
      </c>
      <c r="L18" s="955"/>
      <c r="M18" s="955"/>
      <c r="N18" s="956"/>
    </row>
    <row r="19" spans="2:14" ht="15.75">
      <c r="B19" s="43"/>
      <c r="C19" s="32"/>
      <c r="D19" s="32"/>
      <c r="E19" s="32"/>
      <c r="F19" s="32"/>
      <c r="G19" s="32"/>
      <c r="H19" s="53"/>
      <c r="I19" s="32"/>
      <c r="J19" s="203"/>
      <c r="K19" s="458"/>
      <c r="L19" s="459"/>
      <c r="M19" s="459"/>
      <c r="N19" s="460"/>
    </row>
    <row r="20" spans="2:14" ht="16.5" thickBot="1">
      <c r="B20" s="43" t="s">
        <v>92</v>
      </c>
      <c r="C20" s="205">
        <f aca="true" t="shared" si="0" ref="C20:H20">SUM(C18:C19)</f>
        <v>0</v>
      </c>
      <c r="D20" s="206">
        <f t="shared" si="0"/>
        <v>0</v>
      </c>
      <c r="E20" s="205">
        <f t="shared" si="0"/>
        <v>0</v>
      </c>
      <c r="F20" s="206">
        <f t="shared" si="0"/>
        <v>0</v>
      </c>
      <c r="G20" s="205">
        <f t="shared" si="0"/>
        <v>0</v>
      </c>
      <c r="H20" s="207">
        <f t="shared" si="0"/>
        <v>0</v>
      </c>
      <c r="I20" s="206">
        <f>SUM(I18:I19)</f>
        <v>0</v>
      </c>
      <c r="J20" s="203"/>
      <c r="K20" s="461" t="s">
        <v>644</v>
      </c>
      <c r="L20" s="462"/>
      <c r="M20" s="462"/>
      <c r="N20" s="742">
        <f>ROUND(G24/1000,0)</f>
        <v>0</v>
      </c>
    </row>
    <row r="21" spans="2:10" ht="16.5" thickTop="1">
      <c r="B21" s="33" t="s">
        <v>18</v>
      </c>
      <c r="C21" s="208"/>
      <c r="D21" s="209"/>
      <c r="E21" s="208"/>
      <c r="F21" s="209"/>
      <c r="G21" s="208"/>
      <c r="H21" s="105"/>
      <c r="I21" s="209"/>
      <c r="J21" s="203"/>
    </row>
    <row r="22" spans="2:10" ht="15.75">
      <c r="B22" s="43">
        <f>inputPrYr!D5</f>
        <v>0</v>
      </c>
      <c r="C22" s="53">
        <f>inputPrYr!E71</f>
        <v>0</v>
      </c>
      <c r="D22" s="103"/>
      <c r="E22" s="53">
        <f>inputPrYr!E20</f>
        <v>0</v>
      </c>
      <c r="F22" s="17"/>
      <c r="G22" s="635" t="s">
        <v>106</v>
      </c>
      <c r="H22" s="105"/>
      <c r="I22" s="209"/>
      <c r="J22" s="203"/>
    </row>
    <row r="23" spans="2:10" ht="15.75">
      <c r="B23" s="33" t="s">
        <v>153</v>
      </c>
      <c r="C23" s="208"/>
      <c r="D23" s="209"/>
      <c r="E23" s="208"/>
      <c r="F23" s="209"/>
      <c r="G23" s="208"/>
      <c r="H23" s="105"/>
      <c r="I23" s="209"/>
      <c r="J23" s="203"/>
    </row>
    <row r="24" spans="2:10" ht="15.75">
      <c r="B24" s="43">
        <f>inputPrYr!D5</f>
        <v>0</v>
      </c>
      <c r="C24" s="53">
        <f>inputPrYr!E74</f>
        <v>0</v>
      </c>
      <c r="D24" s="17"/>
      <c r="E24" s="53">
        <f>inputOth!E45</f>
        <v>0</v>
      </c>
      <c r="F24" s="17"/>
      <c r="G24" s="53">
        <f>inputOth!E9</f>
        <v>0</v>
      </c>
      <c r="H24" s="105"/>
      <c r="I24" s="209"/>
      <c r="J24" s="203"/>
    </row>
    <row r="25" spans="2:10" ht="15.75">
      <c r="B25" s="33"/>
      <c r="C25" s="208"/>
      <c r="D25" s="209"/>
      <c r="E25" s="208"/>
      <c r="F25" s="209"/>
      <c r="G25" s="208"/>
      <c r="H25" s="105"/>
      <c r="I25" s="209"/>
      <c r="J25" s="203"/>
    </row>
    <row r="26" spans="2:10" ht="15.75">
      <c r="B26" s="210" t="s">
        <v>102</v>
      </c>
      <c r="C26" s="210" t="s">
        <v>149</v>
      </c>
      <c r="D26" s="210" t="s">
        <v>725</v>
      </c>
      <c r="E26" s="210" t="s">
        <v>149</v>
      </c>
      <c r="F26" s="210" t="s">
        <v>725</v>
      </c>
      <c r="G26" s="210" t="s">
        <v>724</v>
      </c>
      <c r="H26" s="655" t="s">
        <v>723</v>
      </c>
      <c r="I26" s="210" t="s">
        <v>726</v>
      </c>
      <c r="J26" s="203"/>
    </row>
    <row r="27" spans="2:10" ht="15.75">
      <c r="B27" s="53" t="str">
        <f>inputPrYr!B24</f>
        <v>General</v>
      </c>
      <c r="C27" s="98" t="str">
        <f>IF(gen!$C$49&lt;&gt;0,gen!$C$49,"  ")</f>
        <v>  </v>
      </c>
      <c r="D27" s="211" t="str">
        <f>IF(inputPrYr!D55&gt;0,inputPrYr!D55,"  ")</f>
        <v>  </v>
      </c>
      <c r="E27" s="98" t="str">
        <f>IF(gen!$D$49&lt;&gt;0,gen!$D$49,"  ")</f>
        <v>  </v>
      </c>
      <c r="F27" s="211" t="str">
        <f>IF(inputOth!D29&gt;0,inputOth!D29,"  ")</f>
        <v>  </v>
      </c>
      <c r="G27" s="98" t="str">
        <f>IF(gen!$E$49&lt;&gt;0,gen!$E$49,"  ")</f>
        <v>  </v>
      </c>
      <c r="H27" s="98" t="str">
        <f>IF(gen!$E$56&lt;&gt;0,gen!$E$56," ")</f>
        <v> </v>
      </c>
      <c r="I27" s="212" t="str">
        <f>IF(gen!E56&gt;0,ROUND(H27/$G$51*1000,3)," ")</f>
        <v> </v>
      </c>
      <c r="J27" s="203"/>
    </row>
    <row r="28" spans="2:10" ht="15.75">
      <c r="B28" s="53" t="s">
        <v>268</v>
      </c>
      <c r="C28" s="53" t="str">
        <f>IF('DebtSvs-Library'!C34&lt;&gt;0,'DebtSvs-Library'!C34,"  ")</f>
        <v>  </v>
      </c>
      <c r="D28" s="46" t="str">
        <f>IF(inputPrYr!D56&gt;0,inputPrYr!D56,"  ")</f>
        <v>  </v>
      </c>
      <c r="E28" s="53" t="str">
        <f>IF('DebtSvs-Library'!D34&lt;&gt;0,'DebtSvs-Library'!D34,"  ")</f>
        <v>  </v>
      </c>
      <c r="F28" s="46" t="str">
        <f>IF(inputOth!D30&gt;0,inputOth!D30,"  ")</f>
        <v>  </v>
      </c>
      <c r="G28" s="53" t="str">
        <f>IF('DebtSvs-Library'!E34&lt;&gt;0,'DebtSvs-Library'!E34,"  ")</f>
        <v>  </v>
      </c>
      <c r="H28" s="53" t="str">
        <f>IF('DebtSvs-Library'!E41&lt;&gt;0,'DebtSvs-Library'!E41," ")</f>
        <v> </v>
      </c>
      <c r="I28" s="204" t="str">
        <f>IF('DebtSvs-Library'!E41&gt;0,ROUND(H28/$G$51*1000,3)," ")</f>
        <v> </v>
      </c>
      <c r="J28" s="203"/>
    </row>
    <row r="29" spans="2:10" ht="15.75">
      <c r="B29" s="53" t="str">
        <f>IF(inputPrYr!$B26&gt;"  ",inputPrYr!$B26,"  ")</f>
        <v>Library</v>
      </c>
      <c r="C29" s="53" t="str">
        <f>IF('DebtSvs-Library'!C75&lt;&gt;0,'DebtSvs-Library'!C75,"  ")</f>
        <v>  </v>
      </c>
      <c r="D29" s="46" t="str">
        <f>IF(inputPrYr!D57&gt;0,inputPrYr!D57,"  ")</f>
        <v>  </v>
      </c>
      <c r="E29" s="53" t="str">
        <f>IF('DebtSvs-Library'!D75&lt;&gt;0,'DebtSvs-Library'!D75,"  ")</f>
        <v>  </v>
      </c>
      <c r="F29" s="46" t="str">
        <f>IF(inputOth!D31&gt;0,inputOth!D31,"  ")</f>
        <v>  </v>
      </c>
      <c r="G29" s="53" t="str">
        <f>IF('DebtSvs-Library'!E75&lt;&gt;0,'DebtSvs-Library'!E75,"  ")</f>
        <v>  </v>
      </c>
      <c r="H29" s="53" t="str">
        <f>IF('DebtSvs-Library'!E82&lt;&gt;0,'DebtSvs-Library'!E82," ")</f>
        <v> </v>
      </c>
      <c r="I29" s="204" t="str">
        <f>IF('DebtSvs-Library'!E82&gt;0,ROUND(H29/$G$51*1000,3)," ")</f>
        <v> </v>
      </c>
      <c r="J29" s="203"/>
    </row>
    <row r="30" spans="2:9" ht="15.75">
      <c r="B30" s="53" t="str">
        <f>IF(inputPrYr!$B27&gt;"  ",inputPrYr!$B27,"  ")</f>
        <v>Road</v>
      </c>
      <c r="C30" s="53" t="str">
        <f>IF(road!$C$43&lt;&gt;0,road!$C$43,"  ")</f>
        <v>  </v>
      </c>
      <c r="D30" s="46" t="str">
        <f>IF(inputPrYr!D58&gt;0,inputPrYr!D58,"  ")</f>
        <v>  </v>
      </c>
      <c r="E30" s="53" t="str">
        <f>IF(road!$D$43&lt;&gt;0,road!$D$43,"  ")</f>
        <v>  </v>
      </c>
      <c r="F30" s="46" t="str">
        <f>IF(inputOth!D32&gt;0,inputOth!D32,"  ")</f>
        <v>  </v>
      </c>
      <c r="G30" s="53" t="str">
        <f>IF(road!$E$43&lt;&gt;0,road!$E$43,"  ")</f>
        <v>  </v>
      </c>
      <c r="H30" s="53" t="str">
        <f>IF(road!$E$50&lt;&gt;0,road!$E$50,"  ")</f>
        <v>  </v>
      </c>
      <c r="I30" s="204" t="str">
        <f>IF(road!E50&gt;0,ROUND(H30/$G$51*1000,3)," ")</f>
        <v> </v>
      </c>
    </row>
    <row r="31" spans="2:9" ht="15.75">
      <c r="B31" s="53" t="str">
        <f>IF(inputPrYr!$B28&gt;"  ",inputPrYr!$B28,"  ")</f>
        <v>Special Road</v>
      </c>
      <c r="C31" s="53" t="str">
        <f>IF(levypage11!$C$34&lt;&gt;0,levypage11!$C$34,"  ")</f>
        <v>  </v>
      </c>
      <c r="D31" s="46" t="str">
        <f>IF(inputPrYr!D59&gt;0,inputPrYr!D59,"  ")</f>
        <v>  </v>
      </c>
      <c r="E31" s="53" t="str">
        <f>IF(levypage11!$D$34&lt;&gt;0,levypage11!$D$34,"  ")</f>
        <v>  </v>
      </c>
      <c r="F31" s="46" t="str">
        <f>IF(inputOth!D33&gt;0,inputOth!D33,"  ")</f>
        <v>  </v>
      </c>
      <c r="G31" s="53" t="str">
        <f>IF(levypage11!$E$34&lt;&gt;0,levypage11!$E$34,"  ")</f>
        <v>  </v>
      </c>
      <c r="H31" s="53" t="str">
        <f>IF(levypage11!$E$41&lt;&gt;0,levypage11!$E$41,"  ")</f>
        <v>  </v>
      </c>
      <c r="I31" s="204" t="str">
        <f>IF(levypage11!E41&gt;0,ROUND(H31/$G$51*1000,3)," ")</f>
        <v> </v>
      </c>
    </row>
    <row r="32" spans="2:9" ht="15.75">
      <c r="B32" s="53" t="str">
        <f>IF(inputPrYr!$B29&gt;"  ",inputPrYr!$B29,"  ")</f>
        <v>Noxious Weed</v>
      </c>
      <c r="C32" s="53" t="str">
        <f>IF(levypage11!$C$75&lt;&gt;0,levypage11!$C$75,"  ")</f>
        <v>  </v>
      </c>
      <c r="D32" s="46" t="str">
        <f>IF(inputPrYr!D60&gt;0,inputPrYr!D60,"  ")</f>
        <v>  </v>
      </c>
      <c r="E32" s="53" t="str">
        <f>IF(levypage11!$D$75&lt;&gt;0,levypage11!$D$75,"  ")</f>
        <v>  </v>
      </c>
      <c r="F32" s="46" t="str">
        <f>IF(inputOth!D34&gt;0,inputOth!D34,"  ")</f>
        <v>  </v>
      </c>
      <c r="G32" s="53" t="str">
        <f>IF(levypage11!$E$75&lt;&gt;0,levypage11!$E$75,"  ")</f>
        <v>  </v>
      </c>
      <c r="H32" s="53" t="str">
        <f>IF(levypage11!$E$82&lt;&gt;0,levypage11!$E$82,"  ")</f>
        <v>  </v>
      </c>
      <c r="I32" s="204" t="str">
        <f>IF(levypage11!E82&gt;0,ROUND(H32/$G$51*1000,3)," ")</f>
        <v> </v>
      </c>
    </row>
    <row r="33" spans="2:9" ht="15.75">
      <c r="B33" s="53" t="str">
        <f>IF(inputPrYr!$B30&gt;"  ",inputPrYr!$B30,"  ")</f>
        <v>  </v>
      </c>
      <c r="C33" s="53" t="str">
        <f>IF(levypage12!$C$34&lt;&gt;0,levypage12!$C$34,"  ")</f>
        <v>  </v>
      </c>
      <c r="D33" s="46" t="str">
        <f>IF(inputPrYr!D61&gt;0,inputPrYr!D61,"  ")</f>
        <v>  </v>
      </c>
      <c r="E33" s="53" t="str">
        <f>IF(levypage12!$D$34&lt;&gt;0,levypage12!$D$34,"  ")</f>
        <v>  </v>
      </c>
      <c r="F33" s="46" t="str">
        <f>IF(inputOth!D35&gt;0,inputOth!D35,"  ")</f>
        <v>  </v>
      </c>
      <c r="G33" s="53" t="str">
        <f>IF(levypage12!$E$34&lt;&gt;0,levypage12!$E$34,"  ")</f>
        <v>  </v>
      </c>
      <c r="H33" s="53" t="str">
        <f>IF(levypage12!$E$41&lt;&gt;0,levypage12!$E$41,"  ")</f>
        <v>  </v>
      </c>
      <c r="I33" s="204" t="str">
        <f>IF(levypage12!E41&gt;0,ROUND(H33/$G$51*1000,3)," ")</f>
        <v> </v>
      </c>
    </row>
    <row r="34" spans="2:14" ht="15.75">
      <c r="B34" s="53" t="str">
        <f>IF(inputPrYr!$B31&gt;"  ",inputPrYr!$B31,"  ")</f>
        <v>  </v>
      </c>
      <c r="C34" s="53" t="str">
        <f>IF(levypage12!$C$75&lt;&gt;0,levypage12!$C$75,"  ")</f>
        <v>  </v>
      </c>
      <c r="D34" s="46" t="str">
        <f>IF(inputPrYr!D62&gt;0,inputPrYr!D62,"  ")</f>
        <v>  </v>
      </c>
      <c r="E34" s="53" t="str">
        <f>IF(levypage12!$D$75&lt;&gt;0,levypage12!$D$75,"  ")</f>
        <v>  </v>
      </c>
      <c r="F34" s="46" t="str">
        <f>IF(inputOth!D36&gt;0,inputOth!D36,"  ")</f>
        <v>  </v>
      </c>
      <c r="G34" s="53" t="str">
        <f>IF(levypage12!$E$75&lt;&gt;0,levypage12!$E$75,"  ")</f>
        <v>  </v>
      </c>
      <c r="H34" s="53" t="str">
        <f>IF(levypage12!$E$82&lt;&gt;0,levypage12!$E$82,"  ")</f>
        <v>  </v>
      </c>
      <c r="I34" s="204" t="str">
        <f>IF(levypage12!E82&gt;0,ROUND(H34/$G$51*1000,3)," ")</f>
        <v> </v>
      </c>
      <c r="K34" s="954" t="str">
        <f>CONCATENATE("Estimated Value Of One Mill For ",I1,"")</f>
        <v>Estimated Value Of One Mill For 0</v>
      </c>
      <c r="L34" s="955"/>
      <c r="M34" s="955"/>
      <c r="N34" s="956"/>
    </row>
    <row r="35" spans="2:14" ht="15.75">
      <c r="B35" s="53" t="str">
        <f>IF(inputPrYr!$B32&gt;"  ",inputPrYr!$B32,"  ")</f>
        <v>  </v>
      </c>
      <c r="C35" s="53" t="str">
        <f>IF(levypage13!$C$34&lt;&gt;0,levypage13!$C$34,"  ")</f>
        <v>  </v>
      </c>
      <c r="D35" s="46" t="str">
        <f>IF(inputPrYr!D63&gt;0,inputPrYr!D63,"  ")</f>
        <v>  </v>
      </c>
      <c r="E35" s="53" t="str">
        <f>IF(levypage13!$D$34&lt;&gt;0,levypage13!$D$34,"  ")</f>
        <v>  </v>
      </c>
      <c r="F35" s="46" t="str">
        <f>IF(inputOth!D37&gt;0,inputOth!D37,"  ")</f>
        <v>  </v>
      </c>
      <c r="G35" s="53" t="str">
        <f>IF(levypage13!$E$34&lt;&gt;0,levypage13!$E$34,"  ")</f>
        <v>  </v>
      </c>
      <c r="H35" s="53" t="str">
        <f>IF(levypage13!$E$41&lt;&gt;0,levypage13!$E$41,"  ")</f>
        <v>  </v>
      </c>
      <c r="I35" s="204" t="str">
        <f>IF(levypage13!E41&gt;0,ROUND(H35/$G$51*1000,3)," ")</f>
        <v> </v>
      </c>
      <c r="K35" s="458"/>
      <c r="L35" s="459"/>
      <c r="M35" s="459"/>
      <c r="N35" s="460"/>
    </row>
    <row r="36" spans="2:14" ht="15.75">
      <c r="B36" s="53" t="str">
        <f>IF(inputPrYr!$B33&gt;"  ",inputPrYr!$B33,"  ")</f>
        <v>  </v>
      </c>
      <c r="C36" s="53" t="str">
        <f>IF(levypage13!$C$75&lt;&gt;0,levypage13!$C$75,"  ")</f>
        <v>  </v>
      </c>
      <c r="D36" s="46" t="str">
        <f>IF(inputPrYr!D64&gt;0,inputPrYr!D64,"  ")</f>
        <v>  </v>
      </c>
      <c r="E36" s="53" t="str">
        <f>IF(levypage13!$D$75&lt;&gt;0,levypage13!$D$75,"  ")</f>
        <v>  </v>
      </c>
      <c r="F36" s="46" t="str">
        <f>IF(inputOth!D38&gt;0,inputOth!D38,"  ")</f>
        <v>  </v>
      </c>
      <c r="G36" s="53" t="str">
        <f>IF(levypage13!$E$75&lt;&gt;0,levypage13!$E$75,"  ")</f>
        <v>  </v>
      </c>
      <c r="H36" s="53" t="str">
        <f>IF(levypage13!$E$82&lt;&gt;0,levypage13!$E$82,"  ")</f>
        <v>  </v>
      </c>
      <c r="I36" s="204" t="str">
        <f>IF(levypage13!E82&gt;0,ROUND(H36/$G$51*1000,3)," ")</f>
        <v> </v>
      </c>
      <c r="K36" s="461" t="s">
        <v>644</v>
      </c>
      <c r="L36" s="462"/>
      <c r="M36" s="462"/>
      <c r="N36" s="742">
        <f>ROUND(G51/1000,0)</f>
        <v>0</v>
      </c>
    </row>
    <row r="37" spans="2:14" ht="15.75">
      <c r="B37" s="53" t="str">
        <f>IF(inputPrYr!$B34&gt;"  ",inputPrYr!$B34,"  ")</f>
        <v>  </v>
      </c>
      <c r="C37" s="53" t="str">
        <f>IF(levypage14!$C$34&lt;&gt;0,levypage14!$C$34,"  ")</f>
        <v>  </v>
      </c>
      <c r="D37" s="46" t="str">
        <f>IF(inputPrYr!D65&gt;0,inputPrYr!D65,"  ")</f>
        <v>  </v>
      </c>
      <c r="E37" s="53" t="str">
        <f>IF(levypage14!$D$34&lt;&gt;0,levypage14!$D$34,"  ")</f>
        <v>  </v>
      </c>
      <c r="F37" s="46" t="str">
        <f>IF(inputOth!D39&gt;0,inputOth!D39,"  ")</f>
        <v>  </v>
      </c>
      <c r="G37" s="53" t="str">
        <f>IF(levypage14!$E$34&lt;&gt;0,levypage14!$E$34,"  ")</f>
        <v>  </v>
      </c>
      <c r="H37" s="53" t="str">
        <f>IF(levypage14!$E$41&lt;&gt;0,levypage14!$E$41,"  ")</f>
        <v>  </v>
      </c>
      <c r="I37" s="204" t="str">
        <f>IF(levypage14!E41&gt;0,ROUND(H37/$G$51*1000,3)," ")</f>
        <v> </v>
      </c>
      <c r="K37" s="481"/>
      <c r="L37" s="481"/>
      <c r="M37" s="481"/>
      <c r="N37" s="481"/>
    </row>
    <row r="38" spans="2:14" ht="15.75">
      <c r="B38" s="53" t="str">
        <f>IF(inputPrYr!$B35&gt;"  ",inputPrYr!$B35,"  ")</f>
        <v>  </v>
      </c>
      <c r="C38" s="53" t="str">
        <f>IF(levypage14!$C$75&lt;&gt;0,levypage14!$C$75,"  ")</f>
        <v>  </v>
      </c>
      <c r="D38" s="46" t="str">
        <f>IF(inputPrYr!D66&gt;0,inputPrYr!D66,"  ")</f>
        <v>  </v>
      </c>
      <c r="E38" s="53" t="str">
        <f>IF(levypage14!$D$75&lt;&gt;0,levypage14!$D$75,"  ")</f>
        <v>  </v>
      </c>
      <c r="F38" s="46" t="str">
        <f>IF(inputOth!D40&gt;0,inputOth!D40,"  ")</f>
        <v>  </v>
      </c>
      <c r="G38" s="53" t="str">
        <f>IF(levypage14!$E$75&lt;&gt;0,levypage14!$E$75,"  ")</f>
        <v>  </v>
      </c>
      <c r="H38" s="53" t="str">
        <f>IF(levypage14!$E$82&lt;&gt;0,levypage14!$E$82,"  ")</f>
        <v>  </v>
      </c>
      <c r="I38" s="204" t="str">
        <f>IF(levypage14!E82&gt;0,ROUND(H38/$G$51*1000,3)," ")</f>
        <v> </v>
      </c>
      <c r="K38" s="954" t="str">
        <f>CONCATENATE("Want The Mill Rate The Same As For ",I1-1,"?")</f>
        <v>Want The Mill Rate The Same As For -1?</v>
      </c>
      <c r="L38" s="955"/>
      <c r="M38" s="955"/>
      <c r="N38" s="956"/>
    </row>
    <row r="39" spans="2:14" ht="15.75">
      <c r="B39" s="53" t="str">
        <f>IF(inputPrYr!$B39&gt;"  ",inputPrYr!$B39,"  ")</f>
        <v>  </v>
      </c>
      <c r="C39" s="53" t="str">
        <f>IF(nolevypage15!$C$27&lt;&gt;0,nolevypage15!$C$27,"  ")</f>
        <v>  </v>
      </c>
      <c r="D39" s="46"/>
      <c r="E39" s="53" t="str">
        <f>IF(nolevypage15!$D$27&lt;&gt;0,nolevypage15!$D$27,"  ")</f>
        <v>  </v>
      </c>
      <c r="F39" s="46"/>
      <c r="G39" s="53" t="str">
        <f>IF(nolevypage15!$E$27&lt;&gt;0,nolevypage15!$E$27,"  ")</f>
        <v>  </v>
      </c>
      <c r="H39" s="53"/>
      <c r="I39" s="46"/>
      <c r="K39" s="464"/>
      <c r="L39" s="459"/>
      <c r="M39" s="459"/>
      <c r="N39" s="465"/>
    </row>
    <row r="40" spans="2:14" ht="15.75">
      <c r="B40" s="53" t="str">
        <f>IF(inputPrYr!$B40&gt;"  ",inputPrYr!$B40,"  ")</f>
        <v>  </v>
      </c>
      <c r="C40" s="53" t="str">
        <f>IF(nolevypage15!$C$57&lt;&gt;0,nolevypage15!$C$57,"  ")</f>
        <v>  </v>
      </c>
      <c r="D40" s="46"/>
      <c r="E40" s="53" t="str">
        <f>IF(nolevypage15!$D$57&lt;&gt;0,nolevypage15!$D$57,"  ")</f>
        <v>  </v>
      </c>
      <c r="F40" s="46"/>
      <c r="G40" s="53" t="str">
        <f>IF(nolevypage15!$E$57&lt;&gt;0,nolevypage15!$E$57,"  ")</f>
        <v>  </v>
      </c>
      <c r="H40" s="53"/>
      <c r="I40" s="46"/>
      <c r="K40" s="464" t="str">
        <f>CONCATENATE("",I1-1," Mill Rate Was:")</f>
        <v>-1 Mill Rate Was:</v>
      </c>
      <c r="L40" s="459"/>
      <c r="M40" s="459"/>
      <c r="N40" s="466">
        <f>F45</f>
        <v>0</v>
      </c>
    </row>
    <row r="41" spans="2:14" ht="15.75">
      <c r="B41" s="53" t="str">
        <f>IF(inputPrYr!$B41&gt;"  ",inputPrYr!$B41,"  ")</f>
        <v>  </v>
      </c>
      <c r="C41" s="53" t="str">
        <f>IF(nolevypage16!$C$27&lt;&gt;0,nolevypage16!$C$27,"  ")</f>
        <v>  </v>
      </c>
      <c r="D41" s="46"/>
      <c r="E41" s="53" t="str">
        <f>IF(nolevypage16!$D$27&lt;&gt;0,nolevypage16!$D$27,"  ")</f>
        <v>  </v>
      </c>
      <c r="F41" s="46"/>
      <c r="G41" s="53" t="str">
        <f>IF(nolevypage16!$E$27&lt;&gt;0,nolevypage16!$E$27,"  ")</f>
        <v>  </v>
      </c>
      <c r="H41" s="53"/>
      <c r="I41" s="46"/>
      <c r="K41" s="467" t="str">
        <f>CONCATENATE("",I1," Tax Levy Fund Expenditures Must Be")</f>
        <v>0 Tax Levy Fund Expenditures Must Be</v>
      </c>
      <c r="L41" s="468"/>
      <c r="M41" s="468"/>
      <c r="N41" s="465"/>
    </row>
    <row r="42" spans="2:14" ht="15.75">
      <c r="B42" s="53" t="str">
        <f>IF(inputPrYr!$B42&gt;"  ",inputPrYr!$B42,"  ")</f>
        <v>  </v>
      </c>
      <c r="C42" s="53" t="str">
        <f>IF(nolevypage16!$C$57&lt;&gt;0,nolevypage16!$C$57,"  ")</f>
        <v>  </v>
      </c>
      <c r="D42" s="46"/>
      <c r="E42" s="53" t="str">
        <f>IF(nolevypage16!$D$57&lt;&gt;0,nolevypage16!$D$57,"  ")</f>
        <v>  </v>
      </c>
      <c r="F42" s="46"/>
      <c r="G42" s="53" t="str">
        <f>IF(nolevypage16!$E$57&lt;&gt;0,nolevypage16!$E$57,"  ")</f>
        <v>  </v>
      </c>
      <c r="H42" s="53"/>
      <c r="I42" s="46"/>
      <c r="K42" s="467">
        <f>IF(N42&gt;0,"Increased By:","")</f>
      </c>
      <c r="L42" s="468"/>
      <c r="M42" s="468"/>
      <c r="N42" s="469">
        <f>IF(N49&lt;0,N49*-1,0)</f>
        <v>0</v>
      </c>
    </row>
    <row r="43" spans="2:14" ht="15.75">
      <c r="B43" s="53" t="str">
        <f>IF((inputPrYr!$B45&gt;"  "),(nonbud!$A3),"  ")</f>
        <v>  </v>
      </c>
      <c r="C43" s="666" t="str">
        <f>IF((nonbud!$K$28)&lt;&gt;0,(nonbud!$K$28),"  ")</f>
        <v>  </v>
      </c>
      <c r="D43" s="46"/>
      <c r="E43" s="53"/>
      <c r="F43" s="46"/>
      <c r="G43" s="53"/>
      <c r="H43" s="53"/>
      <c r="I43" s="46"/>
      <c r="K43" s="470">
        <f>IF($N$43&lt;0,"Reduced By:","")</f>
      </c>
      <c r="L43" s="456"/>
      <c r="M43" s="456"/>
      <c r="N43" s="471">
        <f>IF(N49&gt;0,N49*-1,0)</f>
        <v>0</v>
      </c>
    </row>
    <row r="44" spans="2:14" ht="16.5" thickBot="1">
      <c r="B44" s="43" t="s">
        <v>104</v>
      </c>
      <c r="C44" s="637" t="str">
        <f>IF(road!C63&lt;&gt;0,road!C63,"  ")</f>
        <v>  </v>
      </c>
      <c r="D44" s="638"/>
      <c r="E44" s="638"/>
      <c r="F44" s="638"/>
      <c r="G44" s="638"/>
      <c r="H44" s="638"/>
      <c r="I44" s="638"/>
      <c r="K44" s="472"/>
      <c r="L44" s="472"/>
      <c r="M44" s="472"/>
      <c r="N44" s="472"/>
    </row>
    <row r="45" spans="2:14" ht="15.75">
      <c r="B45" s="43" t="s">
        <v>105</v>
      </c>
      <c r="C45" s="636">
        <f aca="true" t="shared" si="1" ref="C45:I45">SUM(C27:C44)</f>
        <v>0</v>
      </c>
      <c r="D45" s="212">
        <f t="shared" si="1"/>
        <v>0</v>
      </c>
      <c r="E45" s="636">
        <f t="shared" si="1"/>
        <v>0</v>
      </c>
      <c r="F45" s="212">
        <f t="shared" si="1"/>
        <v>0</v>
      </c>
      <c r="G45" s="636">
        <f t="shared" si="1"/>
        <v>0</v>
      </c>
      <c r="H45" s="636">
        <f t="shared" si="1"/>
        <v>0</v>
      </c>
      <c r="I45" s="212">
        <f t="shared" si="1"/>
        <v>0</v>
      </c>
      <c r="K45" s="954" t="str">
        <f>CONCATENATE("Impact On Keeping The Same Mill Rate As For ",I1-1,"")</f>
        <v>Impact On Keeping The Same Mill Rate As For -1</v>
      </c>
      <c r="L45" s="960"/>
      <c r="M45" s="960"/>
      <c r="N45" s="961"/>
    </row>
    <row r="46" spans="2:14" ht="15.75">
      <c r="B46" s="43" t="s">
        <v>151</v>
      </c>
      <c r="C46" s="53">
        <f>transfers!C29</f>
        <v>0</v>
      </c>
      <c r="D46" s="17"/>
      <c r="E46" s="53">
        <f>transfers!D29</f>
        <v>0</v>
      </c>
      <c r="F46" s="103"/>
      <c r="G46" s="53">
        <f>transfers!E29</f>
        <v>0</v>
      </c>
      <c r="H46" s="17"/>
      <c r="I46" s="17"/>
      <c r="K46" s="464"/>
      <c r="L46" s="459"/>
      <c r="M46" s="459"/>
      <c r="N46" s="465"/>
    </row>
    <row r="47" spans="2:14" ht="16.5" thickBot="1">
      <c r="B47" s="43" t="s">
        <v>152</v>
      </c>
      <c r="C47" s="207">
        <f>C45-C46</f>
        <v>0</v>
      </c>
      <c r="D47" s="17"/>
      <c r="E47" s="207">
        <f>E45-E46</f>
        <v>0</v>
      </c>
      <c r="F47" s="17"/>
      <c r="G47" s="207">
        <f>G45-G46</f>
        <v>0</v>
      </c>
      <c r="H47" s="17"/>
      <c r="I47" s="17"/>
      <c r="K47" s="464" t="str">
        <f>CONCATENATE("",I1," Ad Valorem Tax Revenue:")</f>
        <v>0 Ad Valorem Tax Revenue:</v>
      </c>
      <c r="L47" s="459"/>
      <c r="M47" s="459"/>
      <c r="N47" s="460">
        <f>H45</f>
        <v>0</v>
      </c>
    </row>
    <row r="48" spans="2:14" ht="16.5" thickTop="1">
      <c r="B48" s="33" t="s">
        <v>18</v>
      </c>
      <c r="C48" s="105"/>
      <c r="D48" s="103"/>
      <c r="E48" s="105"/>
      <c r="F48" s="17"/>
      <c r="G48" s="105"/>
      <c r="H48" s="17"/>
      <c r="I48" s="17"/>
      <c r="K48" s="464" t="str">
        <f>CONCATENATE("",I1-1," Ad Valorem Tax Revenue:")</f>
        <v>-1 Ad Valorem Tax Revenue:</v>
      </c>
      <c r="L48" s="459"/>
      <c r="M48" s="459"/>
      <c r="N48" s="473">
        <f>ROUND(G51*N40/1000,0)</f>
        <v>0</v>
      </c>
    </row>
    <row r="49" spans="2:14" ht="15.75">
      <c r="B49" s="43" t="s">
        <v>15</v>
      </c>
      <c r="C49" s="53">
        <f>inputPrYr!E70</f>
        <v>0</v>
      </c>
      <c r="D49" s="103"/>
      <c r="E49" s="53">
        <f>inputPrYr!E36</f>
        <v>0</v>
      </c>
      <c r="F49" s="17"/>
      <c r="G49" s="439" t="s">
        <v>106</v>
      </c>
      <c r="H49" s="17"/>
      <c r="I49" s="17"/>
      <c r="K49" s="474" t="s">
        <v>645</v>
      </c>
      <c r="L49" s="475"/>
      <c r="M49" s="475"/>
      <c r="N49" s="463">
        <f>N47-N48</f>
        <v>0</v>
      </c>
    </row>
    <row r="50" spans="2:14" ht="15.75">
      <c r="B50" s="33" t="s">
        <v>153</v>
      </c>
      <c r="C50" s="17"/>
      <c r="D50" s="103"/>
      <c r="E50" s="17"/>
      <c r="F50" s="103"/>
      <c r="G50" s="17"/>
      <c r="H50" s="17"/>
      <c r="I50" s="17"/>
      <c r="K50" s="476"/>
      <c r="L50" s="476"/>
      <c r="M50" s="476"/>
      <c r="N50" s="472"/>
    </row>
    <row r="51" spans="2:14" ht="15.75">
      <c r="B51" s="43" t="s">
        <v>15</v>
      </c>
      <c r="C51" s="53">
        <f>inputPrYr!E73</f>
        <v>0</v>
      </c>
      <c r="D51" s="17"/>
      <c r="E51" s="53">
        <f>inputOth!E44</f>
        <v>0</v>
      </c>
      <c r="F51" s="17"/>
      <c r="G51" s="53">
        <f>inputOth!E8</f>
        <v>0</v>
      </c>
      <c r="H51" s="17"/>
      <c r="I51" s="17"/>
      <c r="K51" s="954" t="s">
        <v>646</v>
      </c>
      <c r="L51" s="955"/>
      <c r="M51" s="955"/>
      <c r="N51" s="956"/>
    </row>
    <row r="52" spans="2:14" ht="15.75">
      <c r="B52" s="65"/>
      <c r="C52" s="105"/>
      <c r="D52" s="17"/>
      <c r="E52" s="105"/>
      <c r="F52" s="17"/>
      <c r="G52" s="105"/>
      <c r="H52" s="17"/>
      <c r="I52" s="17"/>
      <c r="K52" s="464"/>
      <c r="L52" s="459"/>
      <c r="M52" s="459"/>
      <c r="N52" s="465"/>
    </row>
    <row r="53" spans="2:14" ht="15.75">
      <c r="B53" s="25" t="s">
        <v>154</v>
      </c>
      <c r="C53" s="17"/>
      <c r="D53" s="17"/>
      <c r="E53" s="17"/>
      <c r="F53" s="17"/>
      <c r="G53" s="17"/>
      <c r="H53" s="17"/>
      <c r="I53" s="17"/>
      <c r="K53" s="464" t="str">
        <f>CONCATENATE("Current ",I1," Estimated Mill Rate:")</f>
        <v>Current 0 Estimated Mill Rate:</v>
      </c>
      <c r="L53" s="459"/>
      <c r="M53" s="459"/>
      <c r="N53" s="466">
        <f>I45</f>
        <v>0</v>
      </c>
    </row>
    <row r="54" spans="2:14" ht="15.75">
      <c r="B54" s="25" t="s">
        <v>155</v>
      </c>
      <c r="C54" s="213">
        <f>I1-3</f>
        <v>-3</v>
      </c>
      <c r="D54" s="17"/>
      <c r="E54" s="213">
        <f>I1-2</f>
        <v>-2</v>
      </c>
      <c r="F54" s="17"/>
      <c r="G54" s="213">
        <f>I1-1</f>
        <v>-1</v>
      </c>
      <c r="H54" s="17"/>
      <c r="I54" s="17"/>
      <c r="K54" s="464" t="str">
        <f>CONCATENATE("Desired ",I1," Mill Rate:")</f>
        <v>Desired 0 Mill Rate:</v>
      </c>
      <c r="L54" s="459"/>
      <c r="M54" s="459"/>
      <c r="N54" s="477">
        <v>0</v>
      </c>
    </row>
    <row r="55" spans="2:14" ht="15.75">
      <c r="B55" s="25" t="s">
        <v>156</v>
      </c>
      <c r="C55" s="214">
        <f>inputPrYr!D78</f>
        <v>0</v>
      </c>
      <c r="D55" s="3"/>
      <c r="E55" s="214">
        <f>inputPrYr!E78</f>
        <v>0</v>
      </c>
      <c r="F55" s="3"/>
      <c r="G55" s="214">
        <f>debt!F11</f>
        <v>0</v>
      </c>
      <c r="H55" s="17"/>
      <c r="I55" s="17"/>
      <c r="K55" s="464" t="str">
        <f>CONCATENATE("",I1," Ad Valorem Tax:")</f>
        <v>0 Ad Valorem Tax:</v>
      </c>
      <c r="L55" s="459"/>
      <c r="M55" s="459"/>
      <c r="N55" s="473">
        <f>ROUND(G51*N54/1000,0)</f>
        <v>0</v>
      </c>
    </row>
    <row r="56" spans="2:14" ht="15.75">
      <c r="B56" s="25" t="s">
        <v>128</v>
      </c>
      <c r="C56" s="214">
        <f>inputPrYr!D79</f>
        <v>0</v>
      </c>
      <c r="D56" s="3"/>
      <c r="E56" s="214">
        <f>inputPrYr!E79</f>
        <v>0</v>
      </c>
      <c r="F56" s="3"/>
      <c r="G56" s="214">
        <f>debt!F15</f>
        <v>0</v>
      </c>
      <c r="H56" s="17"/>
      <c r="I56" s="17"/>
      <c r="K56" s="474" t="str">
        <f>CONCATENATE("",I1," Tax Levy Fund Exp. Changed By:")</f>
        <v>0 Tax Levy Fund Exp. Changed By:</v>
      </c>
      <c r="L56" s="475"/>
      <c r="M56" s="475"/>
      <c r="N56" s="463">
        <f>IF(N54=0,0,(N55-H45))</f>
        <v>0</v>
      </c>
    </row>
    <row r="57" spans="2:9" ht="15.75">
      <c r="B57" s="25" t="s">
        <v>157</v>
      </c>
      <c r="C57" s="214">
        <f>inputPrYr!D80</f>
        <v>0</v>
      </c>
      <c r="D57" s="3"/>
      <c r="E57" s="214">
        <f>inputPrYr!E80</f>
        <v>0</v>
      </c>
      <c r="F57" s="3"/>
      <c r="G57" s="214">
        <f>debt!G36</f>
        <v>0</v>
      </c>
      <c r="H57" s="17"/>
      <c r="I57" s="17"/>
    </row>
    <row r="58" spans="2:9" ht="16.5" thickBot="1">
      <c r="B58" s="25" t="s">
        <v>158</v>
      </c>
      <c r="C58" s="215">
        <f>SUM(C55:C57)</f>
        <v>0</v>
      </c>
      <c r="D58" s="3"/>
      <c r="E58" s="215">
        <f>SUM(E55:E57)</f>
        <v>0</v>
      </c>
      <c r="F58" s="3"/>
      <c r="G58" s="215">
        <f>SUM(G55:G57)</f>
        <v>0</v>
      </c>
      <c r="H58" s="17"/>
      <c r="I58" s="17"/>
    </row>
    <row r="59" spans="2:9" ht="16.5" thickTop="1">
      <c r="B59" s="25" t="s">
        <v>159</v>
      </c>
      <c r="C59" s="17"/>
      <c r="D59" s="17"/>
      <c r="E59" s="17"/>
      <c r="F59" s="17"/>
      <c r="G59" s="17"/>
      <c r="H59" s="17"/>
      <c r="I59" s="17"/>
    </row>
    <row r="60" spans="2:9" ht="15.75">
      <c r="B60" s="17"/>
      <c r="C60" s="17"/>
      <c r="D60" s="17"/>
      <c r="E60" s="17"/>
      <c r="F60" s="17"/>
      <c r="G60" s="17"/>
      <c r="H60" s="17"/>
      <c r="I60" s="17"/>
    </row>
    <row r="61" spans="2:9" ht="15.75">
      <c r="B61" s="964">
        <f>inputBudSum!B4</f>
        <v>0</v>
      </c>
      <c r="C61" s="964"/>
      <c r="D61" s="17"/>
      <c r="E61" s="17"/>
      <c r="F61" s="17"/>
      <c r="G61" s="17"/>
      <c r="H61" s="17"/>
      <c r="I61" s="17"/>
    </row>
    <row r="62" spans="2:9" ht="15.75">
      <c r="B62" s="962">
        <f>inputBudSum!B6</f>
        <v>0</v>
      </c>
      <c r="C62" s="963"/>
      <c r="D62" s="17"/>
      <c r="E62" s="17"/>
      <c r="F62" s="17"/>
      <c r="G62" s="17"/>
      <c r="H62" s="17"/>
      <c r="I62" s="17"/>
    </row>
    <row r="63" spans="2:9" ht="15.75">
      <c r="B63" s="17"/>
      <c r="C63" s="17"/>
      <c r="D63" s="17"/>
      <c r="E63" s="17"/>
      <c r="F63" s="17"/>
      <c r="G63" s="17"/>
      <c r="H63" s="17"/>
      <c r="I63" s="17"/>
    </row>
    <row r="64" spans="2:9" ht="15.75">
      <c r="B64" s="17"/>
      <c r="C64" s="91" t="s">
        <v>116</v>
      </c>
      <c r="D64" s="740"/>
      <c r="E64" s="17"/>
      <c r="F64" s="17"/>
      <c r="G64" s="17"/>
      <c r="H64" s="17"/>
      <c r="I64" s="17"/>
    </row>
    <row r="65" spans="2:4" ht="15.75">
      <c r="B65" s="5"/>
      <c r="C65" s="5"/>
      <c r="D65" s="5"/>
    </row>
    <row r="67" spans="2:8" ht="15.75">
      <c r="B67" s="5"/>
      <c r="C67" s="5"/>
      <c r="D67" s="5"/>
      <c r="E67" s="5"/>
      <c r="F67" s="5"/>
      <c r="G67" s="5"/>
      <c r="H67" s="5"/>
    </row>
    <row r="68" ht="15.75">
      <c r="I68" s="5"/>
    </row>
    <row r="89" spans="2:7" ht="15.75">
      <c r="B89" s="5"/>
      <c r="C89" s="5"/>
      <c r="D89" s="5"/>
      <c r="E89" s="5"/>
      <c r="F89" s="5"/>
      <c r="G89" s="5"/>
    </row>
    <row r="96" spans="2:8" ht="15.75">
      <c r="B96" s="5"/>
      <c r="C96" s="5"/>
      <c r="D96" s="5"/>
      <c r="E96" s="5"/>
      <c r="F96" s="5"/>
      <c r="G96" s="5"/>
      <c r="H96" s="5"/>
    </row>
    <row r="97" ht="15.75">
      <c r="I97" s="5"/>
    </row>
    <row r="102" spans="2:8" ht="15.75">
      <c r="B102" s="5"/>
      <c r="C102" s="5"/>
      <c r="D102" s="5"/>
      <c r="E102" s="5"/>
      <c r="F102" s="5"/>
      <c r="G102" s="5"/>
      <c r="H102" s="5"/>
    </row>
    <row r="103" ht="15.75">
      <c r="I103" s="5"/>
    </row>
    <row r="123" spans="2:8" ht="15.75">
      <c r="B123" s="5"/>
      <c r="C123" s="5"/>
      <c r="D123" s="5"/>
      <c r="E123" s="5"/>
      <c r="F123" s="5"/>
      <c r="G123" s="5"/>
      <c r="H123" s="5"/>
    </row>
  </sheetData>
  <sheetProtection sheet="1"/>
  <mergeCells count="18">
    <mergeCell ref="K45:N45"/>
    <mergeCell ref="B62:C62"/>
    <mergeCell ref="B2:I2"/>
    <mergeCell ref="B8:I8"/>
    <mergeCell ref="B9:I9"/>
    <mergeCell ref="B10:I10"/>
    <mergeCell ref="B11:I11"/>
    <mergeCell ref="B12:I12"/>
    <mergeCell ref="K51:N51"/>
    <mergeCell ref="B61:C61"/>
    <mergeCell ref="K38:N38"/>
    <mergeCell ref="B4:I4"/>
    <mergeCell ref="H15:H17"/>
    <mergeCell ref="B7:I7"/>
    <mergeCell ref="B6:I6"/>
    <mergeCell ref="B5:I5"/>
    <mergeCell ref="K34:N34"/>
    <mergeCell ref="K18:N18"/>
  </mergeCells>
  <printOptions/>
  <pageMargins left="0.84"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P80" sqref="P80"/>
    </sheetView>
  </sheetViews>
  <sheetFormatPr defaultColWidth="8.796875" defaultRowHeight="15.75"/>
  <cols>
    <col min="1" max="1" width="9.69921875" style="66" customWidth="1"/>
    <col min="2" max="2" width="18.296875" style="66" customWidth="1"/>
    <col min="3" max="5" width="12.69921875" style="66" customWidth="1"/>
    <col min="6" max="16384" width="8.796875" style="66" customWidth="1"/>
  </cols>
  <sheetData>
    <row r="1" spans="1:6" ht="15.75">
      <c r="A1" s="74">
        <f>inputPrYr!D3</f>
        <v>0</v>
      </c>
      <c r="B1" s="17"/>
      <c r="C1" s="17"/>
      <c r="D1" s="17"/>
      <c r="E1" s="17"/>
      <c r="F1" s="17">
        <f>inputPrYr!D7</f>
        <v>0</v>
      </c>
    </row>
    <row r="2" spans="1:6" ht="15.75">
      <c r="A2" s="17"/>
      <c r="B2" s="17"/>
      <c r="C2" s="17"/>
      <c r="D2" s="17"/>
      <c r="E2" s="17"/>
      <c r="F2" s="17"/>
    </row>
    <row r="3" spans="1:6" ht="15.75">
      <c r="A3" s="17"/>
      <c r="B3" s="889" t="str">
        <f>CONCATENATE("",F1," Neighborhood Revitalization Rebate")</f>
        <v>0 Neighborhood Revitalization Rebate</v>
      </c>
      <c r="C3" s="894"/>
      <c r="D3" s="894"/>
      <c r="E3" s="894"/>
      <c r="F3" s="17"/>
    </row>
    <row r="4" spans="1:6" ht="15.75">
      <c r="A4" s="17"/>
      <c r="B4" s="17"/>
      <c r="C4" s="17"/>
      <c r="D4" s="17"/>
      <c r="E4" s="17"/>
      <c r="F4" s="17"/>
    </row>
    <row r="5" spans="1:6" ht="51" customHeight="1">
      <c r="A5" s="17"/>
      <c r="B5" s="216" t="str">
        <f>CONCATENATE("Budgeted Funds                                     for ",F1,"")</f>
        <v>Budgeted Funds                                     for 0</v>
      </c>
      <c r="C5" s="216" t="str">
        <f>CONCATENATE("",F1-1," Ad Valorem before Rebate**")</f>
        <v>-1 Ad Valorem before Rebate**</v>
      </c>
      <c r="D5" s="217" t="str">
        <f>CONCATENATE("",F1-1," Mil Rate before Rebate")</f>
        <v>-1 Mil Rate before Rebate</v>
      </c>
      <c r="E5" s="218" t="str">
        <f>CONCATENATE("Estimate ",F1," NR Rebate")</f>
        <v>Estimate 0 NR Rebate</v>
      </c>
      <c r="F5" s="124"/>
    </row>
    <row r="6" spans="1:6" ht="15.75">
      <c r="A6" s="17"/>
      <c r="B6" s="43" t="str">
        <f>IF(inputPrYr!B24&gt;0,inputPrYr!B24,"")</f>
        <v>General</v>
      </c>
      <c r="C6" s="219"/>
      <c r="D6" s="220">
        <f aca="true" t="shared" si="0" ref="D6:D17">IF(C6&gt;0,C6/$D$23,"")</f>
      </c>
      <c r="E6" s="221">
        <f>IF(C6&gt;0,ROUND(D6*$D$27,0),0)</f>
        <v>0</v>
      </c>
      <c r="F6" s="124"/>
    </row>
    <row r="7" spans="1:6" ht="15.75">
      <c r="A7" s="17"/>
      <c r="B7" s="43" t="str">
        <f>IF(inputPrYr!B25&gt;0,inputPrYr!B25,"")</f>
        <v>Debt Service</v>
      </c>
      <c r="C7" s="219"/>
      <c r="D7" s="220">
        <f t="shared" si="0"/>
      </c>
      <c r="E7" s="221">
        <f aca="true" t="shared" si="1" ref="E7:E17">IF(C7&gt;0,ROUND(D7*$D$27,0),0)</f>
        <v>0</v>
      </c>
      <c r="F7" s="124"/>
    </row>
    <row r="8" spans="1:6" ht="15.75">
      <c r="A8" s="17"/>
      <c r="B8" s="43" t="str">
        <f>IF(inputPrYr!B26&gt;0,inputPrYr!B26,"")</f>
        <v>Library</v>
      </c>
      <c r="C8" s="219"/>
      <c r="D8" s="220">
        <f>IF(C8&gt;0,C8/$D$23,"")</f>
      </c>
      <c r="E8" s="221">
        <f t="shared" si="1"/>
        <v>0</v>
      </c>
      <c r="F8" s="124"/>
    </row>
    <row r="9" spans="1:6" ht="15.75">
      <c r="A9" s="17"/>
      <c r="B9" s="43" t="str">
        <f>IF(inputPrYr!B27&gt;0,inputPrYr!B27,"")</f>
        <v>Road</v>
      </c>
      <c r="C9" s="219"/>
      <c r="D9" s="220">
        <f t="shared" si="0"/>
      </c>
      <c r="E9" s="221">
        <f t="shared" si="1"/>
        <v>0</v>
      </c>
      <c r="F9" s="124"/>
    </row>
    <row r="10" spans="1:6" ht="15.75">
      <c r="A10" s="17"/>
      <c r="B10" s="43" t="str">
        <f>IF(inputPrYr!B28&gt;0,inputPrYr!B28,"")</f>
        <v>Special Road</v>
      </c>
      <c r="C10" s="219"/>
      <c r="D10" s="220">
        <f t="shared" si="0"/>
      </c>
      <c r="E10" s="221">
        <f t="shared" si="1"/>
        <v>0</v>
      </c>
      <c r="F10" s="124"/>
    </row>
    <row r="11" spans="1:6" ht="15.75">
      <c r="A11" s="17"/>
      <c r="B11" s="43" t="str">
        <f>IF(inputPrYr!B29&gt;0,inputPrYr!B29,"")</f>
        <v>Noxious Weed</v>
      </c>
      <c r="C11" s="219"/>
      <c r="D11" s="220">
        <f t="shared" si="0"/>
      </c>
      <c r="E11" s="221">
        <f t="shared" si="1"/>
        <v>0</v>
      </c>
      <c r="F11" s="124"/>
    </row>
    <row r="12" spans="1:6" ht="15.75">
      <c r="A12" s="17"/>
      <c r="B12" s="43">
        <f>IF(inputPrYr!B30&gt;0,inputPrYr!B30,"")</f>
      </c>
      <c r="C12" s="219"/>
      <c r="D12" s="220">
        <f t="shared" si="0"/>
      </c>
      <c r="E12" s="221">
        <f t="shared" si="1"/>
        <v>0</v>
      </c>
      <c r="F12" s="124"/>
    </row>
    <row r="13" spans="1:6" ht="15.75">
      <c r="A13" s="17"/>
      <c r="B13" s="43">
        <f>IF(inputPrYr!B31&gt;0,inputPrYr!B31,"")</f>
      </c>
      <c r="C13" s="222"/>
      <c r="D13" s="220">
        <f t="shared" si="0"/>
      </c>
      <c r="E13" s="221">
        <f t="shared" si="1"/>
        <v>0</v>
      </c>
      <c r="F13" s="124"/>
    </row>
    <row r="14" spans="1:6" ht="15.75">
      <c r="A14" s="17"/>
      <c r="B14" s="43">
        <f>IF(inputPrYr!B32&gt;0,inputPrYr!B32,"")</f>
      </c>
      <c r="C14" s="222"/>
      <c r="D14" s="220">
        <f t="shared" si="0"/>
      </c>
      <c r="E14" s="221">
        <f t="shared" si="1"/>
        <v>0</v>
      </c>
      <c r="F14" s="124"/>
    </row>
    <row r="15" spans="1:6" ht="15.75">
      <c r="A15" s="17"/>
      <c r="B15" s="43">
        <f>IF(inputPrYr!B33&gt;0,inputPrYr!B33,"")</f>
      </c>
      <c r="C15" s="222"/>
      <c r="D15" s="220">
        <f t="shared" si="0"/>
      </c>
      <c r="E15" s="221">
        <f t="shared" si="1"/>
        <v>0</v>
      </c>
      <c r="F15" s="124"/>
    </row>
    <row r="16" spans="1:6" ht="15.75">
      <c r="A16" s="17"/>
      <c r="B16" s="43">
        <f>IF(inputPrYr!B34&gt;0,inputPrYr!B34,"")</f>
      </c>
      <c r="C16" s="222"/>
      <c r="D16" s="220">
        <f t="shared" si="0"/>
      </c>
      <c r="E16" s="221">
        <f t="shared" si="1"/>
        <v>0</v>
      </c>
      <c r="F16" s="124"/>
    </row>
    <row r="17" spans="1:6" ht="15.75">
      <c r="A17" s="17"/>
      <c r="B17" s="43">
        <f>IF(inputPrYr!B35&gt;0,inputPrYr!B35,"")</f>
      </c>
      <c r="C17" s="222"/>
      <c r="D17" s="220">
        <f t="shared" si="0"/>
      </c>
      <c r="E17" s="221">
        <f t="shared" si="1"/>
        <v>0</v>
      </c>
      <c r="F17" s="124"/>
    </row>
    <row r="18" spans="1:6" ht="16.5" thickBot="1">
      <c r="A18" s="17"/>
      <c r="B18" s="48" t="s">
        <v>48</v>
      </c>
      <c r="C18" s="223">
        <f>SUM(C6:C17)</f>
        <v>0</v>
      </c>
      <c r="D18" s="224">
        <f>SUM(D6:D17)</f>
        <v>0</v>
      </c>
      <c r="E18" s="223">
        <f>SUM(E6:E17)</f>
        <v>0</v>
      </c>
      <c r="F18" s="124"/>
    </row>
    <row r="19" spans="1:6" ht="16.5" thickTop="1">
      <c r="A19" s="17"/>
      <c r="B19" s="17"/>
      <c r="C19" s="17"/>
      <c r="D19" s="17"/>
      <c r="E19" s="17"/>
      <c r="F19" s="124"/>
    </row>
    <row r="20" spans="1:6" ht="15.75">
      <c r="A20" s="17"/>
      <c r="B20" s="17"/>
      <c r="C20" s="17"/>
      <c r="D20" s="17"/>
      <c r="E20" s="17"/>
      <c r="F20" s="124"/>
    </row>
    <row r="21" spans="1:6" ht="15.75">
      <c r="A21" s="967" t="str">
        <f>CONCATENATE("",F1-1," July 1 Valuation:")</f>
        <v>-1 July 1 Valuation:</v>
      </c>
      <c r="B21" s="966"/>
      <c r="C21" s="967"/>
      <c r="D21" s="225">
        <f>inputOth!E8</f>
        <v>0</v>
      </c>
      <c r="E21" s="17"/>
      <c r="F21" s="124"/>
    </row>
    <row r="22" spans="1:6" ht="15.75">
      <c r="A22" s="17"/>
      <c r="B22" s="17"/>
      <c r="C22" s="17"/>
      <c r="D22" s="17"/>
      <c r="E22" s="17"/>
      <c r="F22" s="124"/>
    </row>
    <row r="23" spans="1:6" ht="15.75">
      <c r="A23" s="17"/>
      <c r="B23" s="967" t="s">
        <v>310</v>
      </c>
      <c r="C23" s="967"/>
      <c r="D23" s="226">
        <f>IF(D21&gt;0,(D21*0.001),"")</f>
      </c>
      <c r="E23" s="17"/>
      <c r="F23" s="124"/>
    </row>
    <row r="24" spans="1:6" ht="15.75">
      <c r="A24" s="17"/>
      <c r="B24" s="3"/>
      <c r="C24" s="3"/>
      <c r="D24" s="227"/>
      <c r="E24" s="17"/>
      <c r="F24" s="124"/>
    </row>
    <row r="25" spans="1:6" ht="15.75">
      <c r="A25" s="965" t="s">
        <v>311</v>
      </c>
      <c r="B25" s="888"/>
      <c r="C25" s="888"/>
      <c r="D25" s="229">
        <f>inputOth!E23</f>
        <v>0</v>
      </c>
      <c r="E25" s="93"/>
      <c r="F25" s="93"/>
    </row>
    <row r="26" spans="1:6" ht="15.75">
      <c r="A26" s="93"/>
      <c r="B26" s="93"/>
      <c r="C26" s="93"/>
      <c r="D26" s="230"/>
      <c r="E26" s="93"/>
      <c r="F26" s="93"/>
    </row>
    <row r="27" spans="1:6" ht="15.75">
      <c r="A27" s="93"/>
      <c r="B27" s="965" t="s">
        <v>312</v>
      </c>
      <c r="C27" s="966"/>
      <c r="D27" s="231">
        <f>IF(D25&gt;0,(D25*0.001),"")</f>
      </c>
      <c r="E27" s="93"/>
      <c r="F27" s="93"/>
    </row>
    <row r="28" spans="1:6" ht="15.75">
      <c r="A28" s="93"/>
      <c r="B28" s="93"/>
      <c r="C28" s="93"/>
      <c r="D28" s="93"/>
      <c r="E28" s="93"/>
      <c r="F28" s="93"/>
    </row>
    <row r="29" spans="1:6" ht="15.75">
      <c r="A29" s="93"/>
      <c r="B29" s="93"/>
      <c r="C29" s="93"/>
      <c r="D29" s="93"/>
      <c r="E29" s="93"/>
      <c r="F29" s="93"/>
    </row>
    <row r="30" spans="1:6" ht="15.75">
      <c r="A30" s="93"/>
      <c r="B30" s="93"/>
      <c r="C30" s="93"/>
      <c r="D30" s="93"/>
      <c r="E30" s="93"/>
      <c r="F30" s="93"/>
    </row>
    <row r="31" spans="1:6" ht="15.75">
      <c r="A31" s="334" t="str">
        <f>CONCATENATE("**This information comes from the ",F1," Budget Summary page.  See instructions tab #12 for completing")</f>
        <v>**This information comes from the 0 Budget Summary page.  See instructions tab #12 for completing</v>
      </c>
      <c r="B31" s="93"/>
      <c r="C31" s="93"/>
      <c r="D31" s="93"/>
      <c r="E31" s="93"/>
      <c r="F31" s="93"/>
    </row>
    <row r="32" spans="1:6" ht="15.75">
      <c r="A32" s="334" t="s">
        <v>536</v>
      </c>
      <c r="B32" s="93"/>
      <c r="C32" s="93"/>
      <c r="D32" s="93"/>
      <c r="E32" s="93"/>
      <c r="F32" s="93"/>
    </row>
    <row r="33" spans="1:6" ht="15.75">
      <c r="A33" s="334"/>
      <c r="B33" s="93"/>
      <c r="C33" s="93"/>
      <c r="D33" s="93"/>
      <c r="E33" s="93"/>
      <c r="F33" s="93"/>
    </row>
    <row r="34" spans="1:6" ht="15.75">
      <c r="A34" s="334"/>
      <c r="B34" s="93"/>
      <c r="C34" s="93"/>
      <c r="D34" s="93"/>
      <c r="E34" s="93"/>
      <c r="F34" s="93"/>
    </row>
    <row r="35" spans="1:6" ht="15.75">
      <c r="A35" s="334"/>
      <c r="B35" s="93"/>
      <c r="C35" s="93"/>
      <c r="D35" s="93"/>
      <c r="E35" s="93"/>
      <c r="F35" s="93"/>
    </row>
    <row r="36" spans="1:6" ht="15.75">
      <c r="A36" s="334"/>
      <c r="B36" s="93"/>
      <c r="C36" s="93"/>
      <c r="D36" s="93"/>
      <c r="E36" s="93"/>
      <c r="F36" s="93"/>
    </row>
    <row r="37" spans="1:6" ht="15.75">
      <c r="A37" s="334"/>
      <c r="B37" s="93"/>
      <c r="C37" s="93"/>
      <c r="D37" s="93"/>
      <c r="E37" s="93"/>
      <c r="F37" s="93"/>
    </row>
    <row r="38" spans="1:6" ht="15.75">
      <c r="A38" s="334"/>
      <c r="B38" s="93"/>
      <c r="C38" s="93"/>
      <c r="D38" s="93"/>
      <c r="E38" s="93"/>
      <c r="F38" s="93"/>
    </row>
    <row r="39" spans="1:6" ht="15.75">
      <c r="A39" s="334"/>
      <c r="B39" s="93"/>
      <c r="C39" s="93"/>
      <c r="D39" s="93"/>
      <c r="E39" s="93"/>
      <c r="F39" s="93"/>
    </row>
    <row r="40" spans="1:6" ht="15.75">
      <c r="A40" s="93"/>
      <c r="B40" s="93"/>
      <c r="C40" s="93"/>
      <c r="D40" s="93"/>
      <c r="E40" s="93"/>
      <c r="F40" s="93"/>
    </row>
    <row r="41" spans="1:6" ht="15.75">
      <c r="A41" s="93"/>
      <c r="B41" s="228" t="s">
        <v>116</v>
      </c>
      <c r="C41" s="741"/>
      <c r="D41" s="93"/>
      <c r="E41" s="93"/>
      <c r="F41" s="93"/>
    </row>
    <row r="42" spans="1:6" ht="15.75">
      <c r="A42" s="124"/>
      <c r="B42" s="17"/>
      <c r="C42" s="17"/>
      <c r="D42" s="232"/>
      <c r="E42" s="124"/>
      <c r="F42" s="124"/>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3"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N12" sqref="N12"/>
    </sheetView>
  </sheetViews>
  <sheetFormatPr defaultColWidth="8.796875" defaultRowHeight="15.75"/>
  <sheetData>
    <row r="2" spans="2:8" ht="15.75">
      <c r="B2" s="554"/>
      <c r="C2" s="554"/>
      <c r="D2" s="554"/>
      <c r="E2" s="554"/>
      <c r="F2" s="554"/>
      <c r="G2" s="554"/>
      <c r="H2" s="717">
        <f>inputPrYr!D7</f>
        <v>0</v>
      </c>
    </row>
    <row r="3" spans="2:8" ht="16.5" thickBot="1">
      <c r="B3" s="554"/>
      <c r="C3" s="554"/>
      <c r="D3" s="554"/>
      <c r="E3" s="554"/>
      <c r="F3" s="554"/>
      <c r="G3" s="554"/>
      <c r="H3" s="554"/>
    </row>
    <row r="4" spans="2:8" ht="19.5" thickBot="1">
      <c r="B4" s="971" t="s">
        <v>801</v>
      </c>
      <c r="C4" s="972"/>
      <c r="D4" s="972"/>
      <c r="E4" s="972"/>
      <c r="F4" s="972"/>
      <c r="G4" s="972"/>
      <c r="H4" s="973"/>
    </row>
    <row r="5" spans="2:8" ht="16.5" thickBot="1">
      <c r="B5" s="714"/>
      <c r="C5" s="714"/>
      <c r="D5" s="715"/>
      <c r="E5" s="716"/>
      <c r="F5" s="714"/>
      <c r="G5" s="714"/>
      <c r="H5" s="714"/>
    </row>
    <row r="6" spans="2:8" ht="15.75">
      <c r="B6" s="974" t="str">
        <f>CONCATENATE("Notice of Vote - ",inputPrYr!D3)</f>
        <v>Notice of Vote - </v>
      </c>
      <c r="C6" s="975"/>
      <c r="D6" s="975"/>
      <c r="E6" s="975"/>
      <c r="F6" s="975"/>
      <c r="G6" s="975"/>
      <c r="H6" s="976"/>
    </row>
    <row r="7" spans="2:8" ht="63.75" customHeight="1" thickBot="1">
      <c r="B7" s="968"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69"/>
      <c r="D7" s="969"/>
      <c r="E7" s="969"/>
      <c r="F7" s="969"/>
      <c r="G7" s="969"/>
      <c r="H7" s="970"/>
    </row>
  </sheetData>
  <sheetProtection sheet="1"/>
  <mergeCells count="3">
    <mergeCell ref="B7:H7"/>
    <mergeCell ref="B4:H4"/>
    <mergeCell ref="B6:H6"/>
  </mergeCells>
  <printOptions/>
  <pageMargins left="0.7" right="0.7" top="0.75" bottom="0.75" header="0.3" footer="0.3"/>
  <pageSetup fitToHeight="1" fitToWidth="1"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I78" sqref="I78"/>
    </sheetView>
  </sheetViews>
  <sheetFormatPr defaultColWidth="8.796875" defaultRowHeight="15.75"/>
  <cols>
    <col min="2" max="2" width="100.69921875" style="792" customWidth="1"/>
  </cols>
  <sheetData>
    <row r="1" ht="15.75">
      <c r="C1" s="790">
        <f>inputPrYr!D3</f>
        <v>0</v>
      </c>
    </row>
    <row r="2" ht="15.75">
      <c r="C2" s="790">
        <f>inputPrYr!D4</f>
        <v>0</v>
      </c>
    </row>
    <row r="3" ht="15.75">
      <c r="C3" s="791">
        <f>inputPrYr!D7</f>
        <v>0</v>
      </c>
    </row>
    <row r="5" ht="49.5" customHeight="1">
      <c r="B5" s="810" t="s">
        <v>840</v>
      </c>
    </row>
    <row r="6" ht="49.5" customHeight="1">
      <c r="B6" s="809"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08"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08" t="s">
        <v>841</v>
      </c>
    </row>
    <row r="9" ht="49.5" customHeight="1">
      <c r="B9" s="808" t="str">
        <f>CONCATENATE("Whereas, ",C1," provides essential services to its citizens; and")</f>
        <v>Whereas, 0 provides essential services to its citizens; and</v>
      </c>
    </row>
    <row r="10" ht="49.5" customHeight="1">
      <c r="B10" s="808" t="s">
        <v>842</v>
      </c>
    </row>
    <row r="11" ht="49.5" customHeight="1">
      <c r="B11" s="808"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08" t="str">
        <f>CONCATENATE("Adopted this _____day of____________, ",C3-1," by the ",C1," governing body, ",C2,", Kansas.")</f>
        <v>Adopted this _____day of____________, -1 by the 0 governing body, 0, Kansas.</v>
      </c>
    </row>
    <row r="13" ht="49.5" customHeight="1">
      <c r="B13" s="807" t="str">
        <f>CONCATENATE(C1," Governing Body")</f>
        <v>0 Governing Body</v>
      </c>
    </row>
    <row r="14" ht="49.5" customHeight="1">
      <c r="B14" s="811" t="s">
        <v>843</v>
      </c>
    </row>
    <row r="15" ht="49.5" customHeight="1">
      <c r="B15" s="811" t="s">
        <v>843</v>
      </c>
    </row>
    <row r="16" ht="49.5" customHeight="1">
      <c r="B16" s="811" t="s">
        <v>843</v>
      </c>
    </row>
  </sheetData>
  <sheetProtection sheet="1"/>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1">
      <selection activeCell="AD27" sqref="AD27"/>
    </sheetView>
  </sheetViews>
  <sheetFormatPr defaultColWidth="8.796875" defaultRowHeight="15.75"/>
  <cols>
    <col min="1" max="1" width="14.19921875" style="5" customWidth="1"/>
    <col min="2" max="2" width="18.69921875" style="5" customWidth="1"/>
    <col min="3" max="3" width="9.69921875" style="5" customWidth="1"/>
    <col min="4" max="4" width="14.09765625" style="5" customWidth="1"/>
    <col min="5" max="5" width="12.796875" style="5" customWidth="1"/>
    <col min="6" max="16384" width="8.796875" style="5" customWidth="1"/>
  </cols>
  <sheetData>
    <row r="1" spans="1:5" ht="15.75">
      <c r="A1" s="74">
        <f>inputPrYr!D3</f>
        <v>0</v>
      </c>
      <c r="B1" s="17"/>
      <c r="C1" s="17"/>
      <c r="D1" s="17"/>
      <c r="E1" s="17">
        <f>inputPrYr!D7</f>
        <v>0</v>
      </c>
    </row>
    <row r="2" spans="1:5" ht="15.75">
      <c r="A2" s="74">
        <f>inputPrYr!D4</f>
        <v>0</v>
      </c>
      <c r="B2" s="17"/>
      <c r="C2" s="17"/>
      <c r="D2" s="17"/>
      <c r="E2" s="17"/>
    </row>
    <row r="3" spans="1:5" ht="15.75">
      <c r="A3" s="17"/>
      <c r="B3" s="17"/>
      <c r="C3" s="17"/>
      <c r="D3" s="17"/>
      <c r="E3" s="17"/>
    </row>
    <row r="4" spans="1:5" ht="15.75">
      <c r="A4" s="864" t="s">
        <v>811</v>
      </c>
      <c r="B4" s="875"/>
      <c r="C4" s="875"/>
      <c r="D4" s="875"/>
      <c r="E4" s="875"/>
    </row>
    <row r="5" spans="1:5" ht="15.75">
      <c r="A5" s="17"/>
      <c r="B5" s="17"/>
      <c r="C5" s="17"/>
      <c r="D5" s="17"/>
      <c r="E5" s="17"/>
    </row>
    <row r="6" spans="1:5" ht="15.75">
      <c r="A6" s="734" t="str">
        <f>CONCATENATE("From the County Clerk's Budget Information for ",E1,"")</f>
        <v>From the County Clerk's Budget Information for 0</v>
      </c>
      <c r="B6" s="735"/>
      <c r="C6" s="736"/>
      <c r="D6" s="17"/>
      <c r="E6" s="77"/>
    </row>
    <row r="7" spans="1:5" ht="15.75">
      <c r="A7" s="293" t="str">
        <f>CONCATENATE("Total Assessed Valuation for ",E1-1,":")</f>
        <v>Total Assessed Valuation for -1:</v>
      </c>
      <c r="B7" s="24"/>
      <c r="C7" s="24"/>
      <c r="D7" s="24"/>
      <c r="E7" s="83"/>
    </row>
    <row r="8" spans="1:5" ht="15.75">
      <c r="A8" s="30" t="s">
        <v>15</v>
      </c>
      <c r="B8" s="31"/>
      <c r="C8" s="31"/>
      <c r="D8" s="31"/>
      <c r="E8" s="145"/>
    </row>
    <row r="9" spans="1:5" ht="15.75">
      <c r="A9" s="286">
        <f>inputPrYr!D5</f>
        <v>0</v>
      </c>
      <c r="B9" s="42"/>
      <c r="C9" s="42"/>
      <c r="D9" s="42"/>
      <c r="E9" s="688"/>
    </row>
    <row r="10" spans="1:5" ht="15.75">
      <c r="A10" s="293" t="str">
        <f>CONCATENATE("New Improvements for ",E1-1,":")</f>
        <v>New Improvements for -1:</v>
      </c>
      <c r="B10" s="24"/>
      <c r="C10" s="24"/>
      <c r="D10" s="24"/>
      <c r="E10" s="285"/>
    </row>
    <row r="11" spans="1:5" ht="15.75">
      <c r="A11" s="30" t="s">
        <v>15</v>
      </c>
      <c r="B11" s="31"/>
      <c r="C11" s="31"/>
      <c r="D11" s="31"/>
      <c r="E11" s="687"/>
    </row>
    <row r="12" spans="1:5" ht="15.75">
      <c r="A12" s="286">
        <f>A9</f>
        <v>0</v>
      </c>
      <c r="B12" s="42"/>
      <c r="C12" s="42"/>
      <c r="D12" s="42"/>
      <c r="E12" s="687"/>
    </row>
    <row r="13" spans="1:5" ht="15.75">
      <c r="A13" s="293" t="str">
        <f>CONCATENATE("Personal Property - ",E1-1,":")</f>
        <v>Personal Property - -1:</v>
      </c>
      <c r="B13" s="24"/>
      <c r="C13" s="24"/>
      <c r="D13" s="24"/>
      <c r="E13" s="285"/>
    </row>
    <row r="14" spans="1:5" ht="15.75">
      <c r="A14" s="30" t="s">
        <v>15</v>
      </c>
      <c r="B14" s="31"/>
      <c r="C14" s="31"/>
      <c r="D14" s="31"/>
      <c r="E14" s="687"/>
    </row>
    <row r="15" spans="1:5" ht="15.75">
      <c r="A15" s="286">
        <f>A9</f>
        <v>0</v>
      </c>
      <c r="B15" s="42"/>
      <c r="C15" s="42"/>
      <c r="D15" s="42"/>
      <c r="E15" s="687"/>
    </row>
    <row r="16" spans="1:5" ht="15.75">
      <c r="A16" s="293" t="str">
        <f>CONCATENATE("Property that has changed in use for ",E1-1,":")</f>
        <v>Property that has changed in use for -1:</v>
      </c>
      <c r="B16" s="24"/>
      <c r="C16" s="24"/>
      <c r="D16" s="24"/>
      <c r="E16" s="285"/>
    </row>
    <row r="17" spans="1:5" ht="15.75">
      <c r="A17" s="30" t="s">
        <v>15</v>
      </c>
      <c r="B17" s="31"/>
      <c r="C17" s="31"/>
      <c r="D17" s="31"/>
      <c r="E17" s="687"/>
    </row>
    <row r="18" spans="1:5" ht="15.75">
      <c r="A18" s="286">
        <f>A9</f>
        <v>0</v>
      </c>
      <c r="B18" s="42"/>
      <c r="C18" s="42"/>
      <c r="D18" s="42"/>
      <c r="E18" s="687"/>
    </row>
    <row r="19" spans="1:5" ht="15.75">
      <c r="A19" s="293" t="str">
        <f>CONCATENATE("Personal Property - ",E1-2,":")</f>
        <v>Personal Property - -2:</v>
      </c>
      <c r="B19" s="24"/>
      <c r="C19" s="24"/>
      <c r="D19" s="24"/>
      <c r="E19" s="285"/>
    </row>
    <row r="20" spans="1:5" ht="15.75">
      <c r="A20" s="30" t="s">
        <v>15</v>
      </c>
      <c r="B20" s="31"/>
      <c r="C20" s="31"/>
      <c r="D20" s="31"/>
      <c r="E20" s="687"/>
    </row>
    <row r="21" spans="1:5" ht="15.75">
      <c r="A21" s="286">
        <f>A9</f>
        <v>0</v>
      </c>
      <c r="B21" s="42"/>
      <c r="C21" s="42"/>
      <c r="D21" s="42"/>
      <c r="E21" s="687"/>
    </row>
    <row r="22" spans="1:5" ht="15.75">
      <c r="A22" s="286" t="str">
        <f>CONCATENATE("Gross earnings (intangible) tax estimate for ",E1,"")</f>
        <v>Gross earnings (intangible) tax estimate for 0</v>
      </c>
      <c r="B22" s="42"/>
      <c r="C22" s="42"/>
      <c r="D22" s="42"/>
      <c r="E22" s="687"/>
    </row>
    <row r="23" spans="1:5" ht="15.75">
      <c r="A23" s="286" t="str">
        <f>CONCATENATE("Neighborhood Revitalization for ",E1,"")</f>
        <v>Neighborhood Revitalization for 0</v>
      </c>
      <c r="B23" s="42"/>
      <c r="C23" s="42"/>
      <c r="D23" s="42"/>
      <c r="E23" s="687"/>
    </row>
    <row r="24" spans="1:5" ht="15.75">
      <c r="A24" s="25"/>
      <c r="B24" s="24"/>
      <c r="C24" s="24"/>
      <c r="D24" s="24"/>
      <c r="E24" s="285"/>
    </row>
    <row r="25" spans="1:5" ht="15.75">
      <c r="A25" s="51" t="str">
        <f>CONCATENATE("Actual Tax Rates for the ",E1-1," Budget:")</f>
        <v>Actual Tax Rates for the -1 Budget:</v>
      </c>
      <c r="B25" s="24"/>
      <c r="C25" s="24"/>
      <c r="D25" s="24"/>
      <c r="E25" s="294"/>
    </row>
    <row r="26" spans="1:5" ht="15.75">
      <c r="A26" s="876" t="s">
        <v>102</v>
      </c>
      <c r="B26" s="877"/>
      <c r="C26" s="70"/>
      <c r="D26" s="295" t="s">
        <v>114</v>
      </c>
      <c r="E26" s="294"/>
    </row>
    <row r="27" spans="1:5" ht="15.75">
      <c r="A27" s="30">
        <f>inputPrYr!B20</f>
        <v>0</v>
      </c>
      <c r="B27" s="296"/>
      <c r="C27" s="237"/>
      <c r="D27" s="689"/>
      <c r="E27" s="294"/>
    </row>
    <row r="28" spans="1:5" ht="15.75">
      <c r="A28" s="297" t="s">
        <v>49</v>
      </c>
      <c r="B28" s="296"/>
      <c r="C28" s="237"/>
      <c r="D28" s="298"/>
      <c r="E28" s="294"/>
    </row>
    <row r="29" spans="1:5" ht="15.75">
      <c r="A29" s="30" t="str">
        <f>inputPrYr!B24</f>
        <v>General</v>
      </c>
      <c r="B29" s="31"/>
      <c r="C29" s="31"/>
      <c r="D29" s="280"/>
      <c r="E29" s="294"/>
    </row>
    <row r="30" spans="1:5" ht="15.75">
      <c r="A30" s="30" t="str">
        <f>inputPrYr!B25</f>
        <v>Debt Service</v>
      </c>
      <c r="B30" s="42"/>
      <c r="C30" s="42"/>
      <c r="D30" s="280"/>
      <c r="E30" s="294"/>
    </row>
    <row r="31" spans="1:5" ht="15.75">
      <c r="A31" s="30" t="str">
        <f>inputPrYr!B26</f>
        <v>Library</v>
      </c>
      <c r="B31" s="42"/>
      <c r="C31" s="42"/>
      <c r="D31" s="280"/>
      <c r="E31" s="294"/>
    </row>
    <row r="32" spans="1:5" ht="15.75">
      <c r="A32" s="30" t="str">
        <f>inputPrYr!B27</f>
        <v>Road</v>
      </c>
      <c r="B32" s="42"/>
      <c r="C32" s="42"/>
      <c r="D32" s="280"/>
      <c r="E32" s="294"/>
    </row>
    <row r="33" spans="1:5" ht="15.75">
      <c r="A33" s="30" t="str">
        <f>inputPrYr!B28</f>
        <v>Special Road</v>
      </c>
      <c r="B33" s="42"/>
      <c r="C33" s="42"/>
      <c r="D33" s="280"/>
      <c r="E33" s="294"/>
    </row>
    <row r="34" spans="1:5" ht="15.75">
      <c r="A34" s="30" t="str">
        <f>inputPrYr!B29</f>
        <v>Noxious Weed</v>
      </c>
      <c r="B34" s="42"/>
      <c r="C34" s="42"/>
      <c r="D34" s="280"/>
      <c r="E34" s="294"/>
    </row>
    <row r="35" spans="1:5" ht="15.75">
      <c r="A35" s="30">
        <f>inputPrYr!B30</f>
        <v>0</v>
      </c>
      <c r="B35" s="42"/>
      <c r="C35" s="42"/>
      <c r="D35" s="280"/>
      <c r="E35" s="294"/>
    </row>
    <row r="36" spans="1:5" ht="15.75">
      <c r="A36" s="30">
        <f>inputPrYr!B31</f>
        <v>0</v>
      </c>
      <c r="B36" s="42"/>
      <c r="C36" s="42"/>
      <c r="D36" s="280"/>
      <c r="E36" s="294"/>
    </row>
    <row r="37" spans="1:5" ht="15.75">
      <c r="A37" s="30">
        <f>inputPrYr!B32</f>
        <v>0</v>
      </c>
      <c r="B37" s="42"/>
      <c r="C37" s="42"/>
      <c r="D37" s="280"/>
      <c r="E37" s="294"/>
    </row>
    <row r="38" spans="1:5" ht="15.75">
      <c r="A38" s="30">
        <f>inputPrYr!B33</f>
        <v>0</v>
      </c>
      <c r="B38" s="42"/>
      <c r="C38" s="42"/>
      <c r="D38" s="280"/>
      <c r="E38" s="294"/>
    </row>
    <row r="39" spans="1:5" ht="15.75">
      <c r="A39" s="30">
        <f>inputPrYr!B34</f>
        <v>0</v>
      </c>
      <c r="B39" s="42"/>
      <c r="C39" s="42"/>
      <c r="D39" s="280"/>
      <c r="E39" s="294"/>
    </row>
    <row r="40" spans="1:5" ht="15.75">
      <c r="A40" s="30">
        <f>inputPrYr!B35</f>
        <v>0</v>
      </c>
      <c r="B40" s="42"/>
      <c r="C40" s="31"/>
      <c r="D40" s="280"/>
      <c r="E40" s="294"/>
    </row>
    <row r="41" spans="1:5" ht="15.75">
      <c r="A41" s="17"/>
      <c r="B41" s="882" t="s">
        <v>51</v>
      </c>
      <c r="C41" s="883"/>
      <c r="D41" s="299">
        <f>SUM(D29:D40)</f>
        <v>0</v>
      </c>
      <c r="E41" s="17"/>
    </row>
    <row r="42" spans="1:5" ht="15.75">
      <c r="A42" s="17"/>
      <c r="B42" s="17"/>
      <c r="C42" s="17"/>
      <c r="D42" s="17"/>
      <c r="E42" s="17"/>
    </row>
    <row r="43" spans="1:5" ht="15.75">
      <c r="A43" s="300" t="str">
        <f>CONCATENATE("Final Assessed Valuation from the November 1, ",E1-2," Abstract:")</f>
        <v>Final Assessed Valuation from the November 1, -2 Abstract:</v>
      </c>
      <c r="B43" s="24"/>
      <c r="C43" s="24"/>
      <c r="D43" s="24"/>
      <c r="E43" s="83"/>
    </row>
    <row r="44" spans="1:5" ht="15.75">
      <c r="A44" s="31" t="s">
        <v>15</v>
      </c>
      <c r="B44" s="31"/>
      <c r="C44" s="31"/>
      <c r="D44" s="31"/>
      <c r="E44" s="175"/>
    </row>
    <row r="45" spans="1:5" ht="15.75">
      <c r="A45" s="42">
        <f>inputPrYr!B20</f>
        <v>0</v>
      </c>
      <c r="B45" s="42"/>
      <c r="C45" s="42"/>
      <c r="D45" s="42"/>
      <c r="E45" s="175"/>
    </row>
    <row r="46" spans="1:5" ht="15.75">
      <c r="A46" s="17"/>
      <c r="B46" s="17"/>
      <c r="C46" s="17"/>
      <c r="D46" s="17"/>
      <c r="E46" s="17"/>
    </row>
    <row r="47" spans="1:5" ht="15.75">
      <c r="A47" s="737" t="str">
        <f>CONCATENATE("From the County Treasurer's Budget Information - ",E1," Budget Year Estimates")</f>
        <v>From the County Treasurer's Budget Information - 0 Budget Year Estimates</v>
      </c>
      <c r="B47" s="289"/>
      <c r="C47" s="289"/>
      <c r="D47" s="738"/>
      <c r="E47" s="77"/>
    </row>
    <row r="48" spans="1:5" ht="15.75">
      <c r="A48" s="77" t="s">
        <v>269</v>
      </c>
      <c r="B48" s="77"/>
      <c r="C48" s="77"/>
      <c r="D48" s="77"/>
      <c r="E48" s="77"/>
    </row>
    <row r="49" spans="1:5" ht="15.75">
      <c r="A49" s="30" t="s">
        <v>239</v>
      </c>
      <c r="B49" s="31"/>
      <c r="C49" s="31"/>
      <c r="D49" s="301"/>
      <c r="E49" s="145"/>
    </row>
    <row r="50" spans="1:5" ht="15.75">
      <c r="A50" s="286" t="s">
        <v>93</v>
      </c>
      <c r="B50" s="42"/>
      <c r="C50" s="42"/>
      <c r="D50" s="173"/>
      <c r="E50" s="145"/>
    </row>
    <row r="51" spans="1:5" ht="15.75">
      <c r="A51" s="286" t="s">
        <v>240</v>
      </c>
      <c r="B51" s="42"/>
      <c r="C51" s="42"/>
      <c r="D51" s="173"/>
      <c r="E51" s="145"/>
    </row>
    <row r="52" spans="1:5" ht="15.75">
      <c r="A52" s="752" t="s">
        <v>816</v>
      </c>
      <c r="B52" s="42"/>
      <c r="C52" s="42"/>
      <c r="D52" s="173"/>
      <c r="E52" s="145"/>
    </row>
    <row r="53" spans="1:5" ht="15.75">
      <c r="A53" s="752" t="s">
        <v>817</v>
      </c>
      <c r="B53" s="42"/>
      <c r="C53" s="42"/>
      <c r="D53" s="173"/>
      <c r="E53" s="145"/>
    </row>
    <row r="54" spans="1:5" ht="15.75">
      <c r="A54" s="286" t="s">
        <v>241</v>
      </c>
      <c r="B54" s="42"/>
      <c r="C54" s="42"/>
      <c r="D54" s="173"/>
      <c r="E54" s="145"/>
    </row>
    <row r="55" spans="1:5" ht="15.75">
      <c r="A55" s="286" t="s">
        <v>206</v>
      </c>
      <c r="B55" s="31"/>
      <c r="C55" s="31"/>
      <c r="D55" s="301"/>
      <c r="E55" s="145"/>
    </row>
    <row r="56" spans="1:5" ht="15.75">
      <c r="A56" s="65"/>
      <c r="B56" s="24"/>
      <c r="C56" s="24"/>
      <c r="D56" s="83"/>
      <c r="E56" s="83"/>
    </row>
    <row r="57" spans="1:5" ht="15.75">
      <c r="A57" s="24" t="str">
        <f>CONCATENATE("",inputPrYr!B20," Estimates:")</f>
        <v>0 Estimates:</v>
      </c>
      <c r="B57" s="24"/>
      <c r="C57" s="24"/>
      <c r="D57" s="83"/>
      <c r="E57" s="83"/>
    </row>
    <row r="58" spans="1:5" ht="15.75">
      <c r="A58" s="30" t="s">
        <v>239</v>
      </c>
      <c r="B58" s="31"/>
      <c r="C58" s="31"/>
      <c r="D58" s="301"/>
      <c r="E58" s="145"/>
    </row>
    <row r="59" spans="1:5" ht="15.75">
      <c r="A59" s="286" t="s">
        <v>93</v>
      </c>
      <c r="B59" s="42"/>
      <c r="C59" s="42"/>
      <c r="D59" s="173"/>
      <c r="E59" s="145"/>
    </row>
    <row r="60" spans="1:5" ht="15.75">
      <c r="A60" s="286" t="s">
        <v>240</v>
      </c>
      <c r="B60" s="42"/>
      <c r="C60" s="42"/>
      <c r="D60" s="173"/>
      <c r="E60" s="145"/>
    </row>
    <row r="61" spans="1:5" ht="15.75">
      <c r="A61" s="752" t="s">
        <v>816</v>
      </c>
      <c r="B61" s="42"/>
      <c r="C61" s="42"/>
      <c r="D61" s="173"/>
      <c r="E61" s="145"/>
    </row>
    <row r="62" spans="1:5" ht="15.75">
      <c r="A62" s="752" t="s">
        <v>817</v>
      </c>
      <c r="B62" s="42"/>
      <c r="C62" s="42"/>
      <c r="D62" s="173"/>
      <c r="E62" s="145"/>
    </row>
    <row r="63" spans="1:5" ht="15.75">
      <c r="A63" s="286" t="s">
        <v>241</v>
      </c>
      <c r="B63" s="42"/>
      <c r="C63" s="42"/>
      <c r="D63" s="173"/>
      <c r="E63" s="145"/>
    </row>
    <row r="64" spans="1:5" ht="15.75">
      <c r="A64" s="17" t="s">
        <v>242</v>
      </c>
      <c r="B64" s="17"/>
      <c r="C64" s="17"/>
      <c r="D64" s="17"/>
      <c r="E64" s="17"/>
    </row>
    <row r="65" spans="1:5" ht="15.75">
      <c r="A65" s="191" t="s">
        <v>243</v>
      </c>
      <c r="B65" s="718"/>
      <c r="C65" s="718"/>
      <c r="D65" s="17"/>
      <c r="E65" s="17"/>
    </row>
    <row r="66" spans="1:5" ht="15.75">
      <c r="A66" s="65" t="str">
        <f>CONCATENATE("Actual Delinquency for ",E1-3," Tax - (e.g. rate .01213 = 1.213%;  key in 1.2)")</f>
        <v>Actual Delinquency for -3 Tax - (e.g. rate .01213 = 1.213%;  key in 1.2)</v>
      </c>
      <c r="B66" s="24"/>
      <c r="C66" s="24"/>
      <c r="D66" s="24"/>
      <c r="E66" s="746"/>
    </row>
    <row r="67" spans="1:5" ht="15.75">
      <c r="A67" s="30" t="s">
        <v>652</v>
      </c>
      <c r="B67" s="65"/>
      <c r="C67" s="24"/>
      <c r="D67" s="24"/>
      <c r="E67" s="496">
        <v>0</v>
      </c>
    </row>
    <row r="68" spans="1:5" ht="15.75">
      <c r="A68" s="302" t="s">
        <v>244</v>
      </c>
      <c r="B68" s="302"/>
      <c r="C68" s="303"/>
      <c r="D68" s="303"/>
      <c r="E68" s="304"/>
    </row>
    <row r="69" spans="1:5" ht="15.75">
      <c r="A69" s="93"/>
      <c r="B69" s="93"/>
      <c r="C69" s="93"/>
      <c r="D69" s="93"/>
      <c r="E69" s="93"/>
    </row>
    <row r="70" spans="1:5" ht="15.75">
      <c r="A70" s="878" t="str">
        <f>CONCATENATE("From the ",E1-2," Budget Certificate Page")</f>
        <v>From the -2 Budget Certificate Page</v>
      </c>
      <c r="B70" s="879"/>
      <c r="C70" s="93"/>
      <c r="D70" s="93"/>
      <c r="E70" s="93"/>
    </row>
    <row r="71" spans="1:5" ht="15.75">
      <c r="A71" s="305"/>
      <c r="B71" s="305" t="str">
        <f>CONCATENATE("",E1-2," Expenditure Amounts")</f>
        <v>-2 Expenditure Amounts</v>
      </c>
      <c r="C71" s="880" t="str">
        <f>CONCATENATE("Note: If the ",E1-2," budget was amended, then the")</f>
        <v>Note: If the -2 budget was amended, then the</v>
      </c>
      <c r="D71" s="881"/>
      <c r="E71" s="881"/>
    </row>
    <row r="72" spans="1:5" ht="15.75">
      <c r="A72" s="272" t="s">
        <v>36</v>
      </c>
      <c r="B72" s="272" t="s">
        <v>37</v>
      </c>
      <c r="C72" s="306" t="s">
        <v>38</v>
      </c>
      <c r="D72" s="307"/>
      <c r="E72" s="307"/>
    </row>
    <row r="73" spans="1:5" ht="15.75">
      <c r="A73" s="308">
        <f>inputPrYr!B20</f>
        <v>0</v>
      </c>
      <c r="B73" s="175"/>
      <c r="C73" s="306" t="s">
        <v>39</v>
      </c>
      <c r="D73" s="307"/>
      <c r="E73" s="307"/>
    </row>
    <row r="74" spans="1:5" ht="15.75">
      <c r="A74" s="308" t="str">
        <f>inputPrYr!B24</f>
        <v>General</v>
      </c>
      <c r="B74" s="175"/>
      <c r="C74" s="306"/>
      <c r="D74" s="307"/>
      <c r="E74" s="307"/>
    </row>
    <row r="75" spans="1:5" ht="15.75">
      <c r="A75" s="308" t="str">
        <f>inputPrYr!B25</f>
        <v>Debt Service</v>
      </c>
      <c r="B75" s="175"/>
      <c r="C75" s="93"/>
      <c r="D75" s="93"/>
      <c r="E75" s="93"/>
    </row>
    <row r="76" spans="1:5" ht="15.75">
      <c r="A76" s="308" t="str">
        <f>inputPrYr!B26</f>
        <v>Library</v>
      </c>
      <c r="B76" s="175"/>
      <c r="C76" s="93"/>
      <c r="D76" s="93"/>
      <c r="E76" s="93"/>
    </row>
    <row r="77" spans="1:5" ht="15.75">
      <c r="A77" s="308" t="str">
        <f>inputPrYr!B27</f>
        <v>Road</v>
      </c>
      <c r="B77" s="175"/>
      <c r="C77" s="93"/>
      <c r="D77" s="93"/>
      <c r="E77" s="93"/>
    </row>
    <row r="78" spans="1:5" ht="15.75">
      <c r="A78" s="308" t="str">
        <f>inputPrYr!B28</f>
        <v>Special Road</v>
      </c>
      <c r="B78" s="175"/>
      <c r="C78" s="93"/>
      <c r="D78" s="93"/>
      <c r="E78" s="93"/>
    </row>
    <row r="79" spans="1:5" ht="15.75">
      <c r="A79" s="308" t="str">
        <f>inputPrYr!B29</f>
        <v>Noxious Weed</v>
      </c>
      <c r="B79" s="175"/>
      <c r="C79" s="93"/>
      <c r="D79" s="93"/>
      <c r="E79" s="93"/>
    </row>
    <row r="80" spans="1:5" ht="15.75">
      <c r="A80" s="308">
        <f>inputPrYr!B30</f>
        <v>0</v>
      </c>
      <c r="B80" s="175"/>
      <c r="C80" s="93"/>
      <c r="D80" s="93"/>
      <c r="E80" s="93"/>
    </row>
    <row r="81" spans="1:5" ht="15.75">
      <c r="A81" s="308">
        <f>inputPrYr!B31</f>
        <v>0</v>
      </c>
      <c r="B81" s="175"/>
      <c r="C81" s="93"/>
      <c r="D81" s="93"/>
      <c r="E81" s="93"/>
    </row>
    <row r="82" spans="1:5" ht="15.75">
      <c r="A82" s="308">
        <f>inputPrYr!B32</f>
        <v>0</v>
      </c>
      <c r="B82" s="175"/>
      <c r="C82" s="93"/>
      <c r="D82" s="93"/>
      <c r="E82" s="93"/>
    </row>
    <row r="83" spans="1:5" ht="15.75">
      <c r="A83" s="308">
        <f>inputPrYr!B33</f>
        <v>0</v>
      </c>
      <c r="B83" s="175"/>
      <c r="C83" s="93"/>
      <c r="D83" s="93"/>
      <c r="E83" s="93"/>
    </row>
    <row r="84" spans="1:5" ht="15.75">
      <c r="A84" s="308">
        <f>inputPrYr!B34</f>
        <v>0</v>
      </c>
      <c r="B84" s="175"/>
      <c r="C84" s="93"/>
      <c r="D84" s="93"/>
      <c r="E84" s="93"/>
    </row>
    <row r="85" spans="1:5" ht="15.75">
      <c r="A85" s="308">
        <f>inputPrYr!B35</f>
        <v>0</v>
      </c>
      <c r="B85" s="175"/>
      <c r="C85" s="93"/>
      <c r="D85" s="93"/>
      <c r="E85" s="93"/>
    </row>
    <row r="86" spans="1:5" ht="15.75">
      <c r="A86" s="308">
        <f>inputPrYr!B39</f>
        <v>0</v>
      </c>
      <c r="B86" s="175"/>
      <c r="C86" s="93"/>
      <c r="D86" s="93"/>
      <c r="E86" s="93"/>
    </row>
    <row r="87" spans="1:5" ht="15.75">
      <c r="A87" s="308">
        <f>inputPrYr!B40</f>
        <v>0</v>
      </c>
      <c r="B87" s="175"/>
      <c r="C87" s="93"/>
      <c r="D87" s="93"/>
      <c r="E87" s="93"/>
    </row>
    <row r="88" spans="1:5" ht="15.75">
      <c r="A88" s="308">
        <f>inputPrYr!B41</f>
        <v>0</v>
      </c>
      <c r="B88" s="175"/>
      <c r="C88" s="93"/>
      <c r="D88" s="93"/>
      <c r="E88" s="93"/>
    </row>
    <row r="89" spans="1:5" ht="15.75">
      <c r="A89" s="308">
        <f>inputPrYr!B42</f>
        <v>0</v>
      </c>
      <c r="B89" s="175"/>
      <c r="C89" s="93"/>
      <c r="D89" s="93"/>
      <c r="E89" s="93"/>
    </row>
  </sheetData>
  <sheetProtection sheet="1"/>
  <mergeCells count="5">
    <mergeCell ref="A4:E4"/>
    <mergeCell ref="A26:B26"/>
    <mergeCell ref="A70:B70"/>
    <mergeCell ref="C71:E71"/>
    <mergeCell ref="B41:C41"/>
  </mergeCells>
  <printOptions/>
  <pageMargins left="0.75" right="0.75" top="1" bottom="1" header="0.5" footer="0.5"/>
  <pageSetup blackAndWhite="1" fitToHeight="1" fitToWidth="1" horizontalDpi="600" verticalDpi="600" orientation="portrait" scale="56"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M135" sqref="M135"/>
    </sheetView>
  </sheetViews>
  <sheetFormatPr defaultColWidth="8.796875" defaultRowHeight="15.75"/>
  <cols>
    <col min="1" max="1" width="64.19921875" style="0" customWidth="1"/>
  </cols>
  <sheetData>
    <row r="3" spans="1:12" ht="15.75">
      <c r="A3" s="322" t="s">
        <v>324</v>
      </c>
      <c r="B3" s="322"/>
      <c r="C3" s="322"/>
      <c r="D3" s="322"/>
      <c r="E3" s="322"/>
      <c r="F3" s="322"/>
      <c r="G3" s="322"/>
      <c r="H3" s="322"/>
      <c r="I3" s="322"/>
      <c r="J3" s="322"/>
      <c r="K3" s="322"/>
      <c r="L3" s="322"/>
    </row>
    <row r="5" ht="15.75">
      <c r="A5" s="323" t="s">
        <v>325</v>
      </c>
    </row>
    <row r="6" ht="15.75">
      <c r="A6" s="323" t="str">
        <f>CONCATENATE(inputPrYr!D7-2," 'total expenditures' exceed your ",inputPrYr!D7-2," 'budget authority.'")</f>
        <v>-2 'total expenditures' exceed your -2 'budget authority.'</v>
      </c>
    </row>
    <row r="7" ht="15.75">
      <c r="A7" s="323"/>
    </row>
    <row r="8" ht="15.75">
      <c r="A8" s="323" t="s">
        <v>326</v>
      </c>
    </row>
    <row r="9" ht="15.75">
      <c r="A9" s="323" t="s">
        <v>327</v>
      </c>
    </row>
    <row r="10" ht="15.75">
      <c r="A10" s="323" t="s">
        <v>328</v>
      </c>
    </row>
    <row r="11" ht="15.75">
      <c r="A11" s="323"/>
    </row>
    <row r="12" ht="15.75">
      <c r="A12" s="323"/>
    </row>
    <row r="13" ht="15.75">
      <c r="A13" s="324" t="s">
        <v>329</v>
      </c>
    </row>
    <row r="15" ht="15.75">
      <c r="A15" s="323" t="s">
        <v>330</v>
      </c>
    </row>
    <row r="16" ht="15.75">
      <c r="A16" s="323" t="str">
        <f>CONCATENATE("(i.e. an audit has not been completed, or the ",inputPrYr!D7," adopted")</f>
        <v>(i.e. an audit has not been completed, or the  adopted</v>
      </c>
    </row>
    <row r="17" ht="15.75">
      <c r="A17" s="323" t="s">
        <v>331</v>
      </c>
    </row>
    <row r="18" ht="15.75">
      <c r="A18" s="323" t="s">
        <v>332</v>
      </c>
    </row>
    <row r="19" ht="15.75">
      <c r="A19" s="323" t="s">
        <v>333</v>
      </c>
    </row>
    <row r="21" ht="15.75">
      <c r="A21" s="324" t="s">
        <v>334</v>
      </c>
    </row>
    <row r="22" ht="15.75">
      <c r="A22" s="324"/>
    </row>
    <row r="23" ht="15.75">
      <c r="A23" s="323" t="s">
        <v>335</v>
      </c>
    </row>
    <row r="24" ht="15.75">
      <c r="A24" s="323" t="s">
        <v>336</v>
      </c>
    </row>
    <row r="25" ht="15.75">
      <c r="A25" s="323" t="str">
        <f>CONCATENATE("particular fund.  If your ",inputPrYr!D7-2," budget was amended, did you")</f>
        <v>particular fund.  If your -2 budget was amended, did you</v>
      </c>
    </row>
    <row r="26" ht="15.75">
      <c r="A26" s="323" t="s">
        <v>337</v>
      </c>
    </row>
    <row r="27" ht="15.75">
      <c r="A27" s="323"/>
    </row>
    <row r="28" ht="15.75">
      <c r="A28" s="323" t="str">
        <f>CONCATENATE("Next, look to see if any of your ",inputPrYr!D7-2," expenditures can be")</f>
        <v>Next, look to see if any of your -2 expenditures can be</v>
      </c>
    </row>
    <row r="29" ht="15.75">
      <c r="A29" s="323" t="s">
        <v>338</v>
      </c>
    </row>
    <row r="30" ht="15.75">
      <c r="A30" s="323" t="s">
        <v>339</v>
      </c>
    </row>
    <row r="31" ht="15.75">
      <c r="A31" s="323" t="s">
        <v>340</v>
      </c>
    </row>
    <row r="32" ht="15.75">
      <c r="A32" s="323"/>
    </row>
    <row r="33" ht="15.75">
      <c r="A33" s="323" t="str">
        <f>CONCATENATE("Additionally, do your ",inputPrYr!D7-2," receipts contain a reimbursement")</f>
        <v>Additionally, do your -2 receipts contain a reimbursement</v>
      </c>
    </row>
    <row r="34" ht="15.75">
      <c r="A34" s="323" t="s">
        <v>341</v>
      </c>
    </row>
    <row r="35" ht="15.75">
      <c r="A35" s="323" t="s">
        <v>342</v>
      </c>
    </row>
    <row r="36" ht="15.75">
      <c r="A36" s="323"/>
    </row>
    <row r="37" ht="15.75">
      <c r="A37" s="323" t="s">
        <v>343</v>
      </c>
    </row>
    <row r="38" ht="15.75">
      <c r="A38" s="323" t="s">
        <v>344</v>
      </c>
    </row>
    <row r="39" ht="15.75">
      <c r="A39" s="323" t="s">
        <v>345</v>
      </c>
    </row>
    <row r="40" ht="15.75">
      <c r="A40" s="323" t="s">
        <v>346</v>
      </c>
    </row>
    <row r="41" ht="15.75">
      <c r="A41" s="323" t="s">
        <v>347</v>
      </c>
    </row>
    <row r="42" ht="15.75">
      <c r="A42" s="323" t="s">
        <v>348</v>
      </c>
    </row>
    <row r="43" ht="15.75">
      <c r="A43" s="323" t="s">
        <v>349</v>
      </c>
    </row>
    <row r="44" ht="15.75">
      <c r="A44" s="323" t="s">
        <v>350</v>
      </c>
    </row>
    <row r="45" ht="15.75">
      <c r="A45" s="323"/>
    </row>
    <row r="46" ht="15.75">
      <c r="A46" s="323" t="s">
        <v>351</v>
      </c>
    </row>
    <row r="47" ht="15.75">
      <c r="A47" s="323" t="s">
        <v>352</v>
      </c>
    </row>
    <row r="48" ht="15.75">
      <c r="A48" s="323" t="s">
        <v>353</v>
      </c>
    </row>
    <row r="49" ht="15.75">
      <c r="A49" s="323"/>
    </row>
    <row r="50" ht="15.75">
      <c r="A50" s="323" t="s">
        <v>354</v>
      </c>
    </row>
    <row r="51" ht="15.75">
      <c r="A51" s="323" t="s">
        <v>355</v>
      </c>
    </row>
    <row r="52" ht="15.75">
      <c r="A52" s="323" t="s">
        <v>356</v>
      </c>
    </row>
    <row r="53" ht="15.75">
      <c r="A53" s="323"/>
    </row>
    <row r="54" ht="15.75">
      <c r="A54" s="324" t="s">
        <v>357</v>
      </c>
    </row>
    <row r="55" ht="15.75">
      <c r="A55" s="323"/>
    </row>
    <row r="56" ht="15.75">
      <c r="A56" s="323" t="s">
        <v>358</v>
      </c>
    </row>
    <row r="57" ht="15.75">
      <c r="A57" s="323" t="s">
        <v>359</v>
      </c>
    </row>
    <row r="58" ht="15.75">
      <c r="A58" s="323" t="s">
        <v>360</v>
      </c>
    </row>
    <row r="59" ht="15.75">
      <c r="A59" s="323" t="s">
        <v>361</v>
      </c>
    </row>
    <row r="60" ht="15.75">
      <c r="A60" s="323" t="s">
        <v>362</v>
      </c>
    </row>
    <row r="61" ht="15.75">
      <c r="A61" s="323" t="s">
        <v>363</v>
      </c>
    </row>
    <row r="62" ht="15.75">
      <c r="A62" s="323" t="s">
        <v>364</v>
      </c>
    </row>
    <row r="63" ht="15.75">
      <c r="A63" s="323" t="s">
        <v>365</v>
      </c>
    </row>
    <row r="64" ht="15.75">
      <c r="A64" s="323" t="s">
        <v>366</v>
      </c>
    </row>
    <row r="65" ht="15.75">
      <c r="A65" s="323" t="s">
        <v>367</v>
      </c>
    </row>
    <row r="66" ht="15.75">
      <c r="A66" s="323" t="s">
        <v>368</v>
      </c>
    </row>
    <row r="67" ht="15.75">
      <c r="A67" s="323" t="s">
        <v>369</v>
      </c>
    </row>
    <row r="68" ht="15.75">
      <c r="A68" s="323" t="s">
        <v>370</v>
      </c>
    </row>
    <row r="69" ht="15.75">
      <c r="A69" s="323"/>
    </row>
    <row r="70" ht="15.75">
      <c r="A70" s="323" t="s">
        <v>371</v>
      </c>
    </row>
    <row r="71" ht="15.75">
      <c r="A71" s="323" t="s">
        <v>372</v>
      </c>
    </row>
    <row r="72" ht="15.75">
      <c r="A72" s="323" t="s">
        <v>373</v>
      </c>
    </row>
    <row r="73" ht="15.75">
      <c r="A73" s="323"/>
    </row>
    <row r="74" ht="15.75">
      <c r="A74" s="324" t="str">
        <f>CONCATENATE("What if the ",inputPrYr!D7-2," financial records have been closed?")</f>
        <v>What if the -2 financial records have been closed?</v>
      </c>
    </row>
    <row r="76" ht="15.75">
      <c r="A76" s="323" t="s">
        <v>374</v>
      </c>
    </row>
    <row r="77" ht="15.75">
      <c r="A77" s="323" t="str">
        <f>CONCATENATE("(i.e. an audit for ",inputPrYr!D7-2," has been completed, or the ",inputPrYr!D7)</f>
        <v>(i.e. an audit for -2 has been completed, or the </v>
      </c>
    </row>
    <row r="78" ht="15.75">
      <c r="A78" s="323" t="s">
        <v>375</v>
      </c>
    </row>
    <row r="79" ht="15.75">
      <c r="A79" s="323" t="s">
        <v>376</v>
      </c>
    </row>
    <row r="80" ht="15.75">
      <c r="A80" s="323"/>
    </row>
    <row r="81" ht="15.75">
      <c r="A81" s="323" t="s">
        <v>377</v>
      </c>
    </row>
    <row r="82" ht="15.75">
      <c r="A82" s="323" t="s">
        <v>378</v>
      </c>
    </row>
    <row r="83" ht="15.75">
      <c r="A83" s="323" t="s">
        <v>379</v>
      </c>
    </row>
    <row r="84" ht="15.75">
      <c r="A84" s="323"/>
    </row>
    <row r="85" ht="15.75">
      <c r="A85" s="323" t="s">
        <v>380</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M141" sqref="M141"/>
    </sheetView>
  </sheetViews>
  <sheetFormatPr defaultColWidth="8.796875" defaultRowHeight="15.75"/>
  <cols>
    <col min="1" max="1" width="64.19921875" style="0" customWidth="1"/>
  </cols>
  <sheetData>
    <row r="3" spans="1:10" ht="15.75">
      <c r="A3" s="322" t="s">
        <v>381</v>
      </c>
      <c r="B3" s="322"/>
      <c r="C3" s="322"/>
      <c r="D3" s="322"/>
      <c r="E3" s="322"/>
      <c r="F3" s="322"/>
      <c r="G3" s="322"/>
      <c r="H3" s="325"/>
      <c r="I3" s="325"/>
      <c r="J3" s="325"/>
    </row>
    <row r="5" ht="15.75">
      <c r="A5" s="323" t="s">
        <v>382</v>
      </c>
    </row>
    <row r="6" ht="15.75">
      <c r="A6" t="str">
        <f>CONCATENATE(inputPrYr!D7-2," expenditures show that you finished the year with a ")</f>
        <v>-2 expenditures show that you finished the year with a </v>
      </c>
    </row>
    <row r="7" ht="15.75">
      <c r="A7" t="s">
        <v>383</v>
      </c>
    </row>
    <row r="9" ht="15.75">
      <c r="A9" t="s">
        <v>384</v>
      </c>
    </row>
    <row r="10" ht="15.75">
      <c r="A10" t="s">
        <v>385</v>
      </c>
    </row>
    <row r="11" ht="15.75">
      <c r="A11" t="s">
        <v>386</v>
      </c>
    </row>
    <row r="13" ht="15.75">
      <c r="A13" s="324" t="s">
        <v>387</v>
      </c>
    </row>
    <row r="14" ht="15.75">
      <c r="A14" s="324"/>
    </row>
    <row r="15" ht="15.75">
      <c r="A15" s="323" t="s">
        <v>388</v>
      </c>
    </row>
    <row r="16" ht="15.75">
      <c r="A16" s="323" t="s">
        <v>389</v>
      </c>
    </row>
    <row r="17" ht="15.75">
      <c r="A17" s="323" t="s">
        <v>390</v>
      </c>
    </row>
    <row r="18" ht="15.75">
      <c r="A18" s="323"/>
    </row>
    <row r="19" ht="15.75">
      <c r="A19" s="324" t="s">
        <v>391</v>
      </c>
    </row>
    <row r="20" ht="15.75">
      <c r="A20" s="324"/>
    </row>
    <row r="21" ht="15.75">
      <c r="A21" s="323" t="s">
        <v>392</v>
      </c>
    </row>
    <row r="22" ht="15.75">
      <c r="A22" s="323" t="s">
        <v>393</v>
      </c>
    </row>
    <row r="23" ht="15.75">
      <c r="A23" s="323" t="s">
        <v>394</v>
      </c>
    </row>
    <row r="24" ht="15.75">
      <c r="A24" s="323"/>
    </row>
    <row r="25" ht="15.75">
      <c r="A25" s="324" t="s">
        <v>395</v>
      </c>
    </row>
    <row r="26" ht="15.75">
      <c r="A26" s="324"/>
    </row>
    <row r="27" ht="15.75">
      <c r="A27" s="323" t="s">
        <v>396</v>
      </c>
    </row>
    <row r="28" ht="15.75">
      <c r="A28" s="323" t="s">
        <v>397</v>
      </c>
    </row>
    <row r="29" ht="15.75">
      <c r="A29" s="323" t="s">
        <v>398</v>
      </c>
    </row>
    <row r="30" ht="15.75">
      <c r="A30" s="323"/>
    </row>
    <row r="31" ht="15.75">
      <c r="A31" s="324" t="s">
        <v>399</v>
      </c>
    </row>
    <row r="32" ht="15.75">
      <c r="A32" s="324"/>
    </row>
    <row r="33" spans="1:8" ht="15.75">
      <c r="A33" s="323" t="str">
        <f>CONCATENATE("If your financial records for ",inputPrYr!D7-2," are not closed")</f>
        <v>If your financial records for -2 are not closed</v>
      </c>
      <c r="B33" s="323"/>
      <c r="C33" s="323"/>
      <c r="D33" s="323"/>
      <c r="E33" s="323"/>
      <c r="F33" s="323"/>
      <c r="G33" s="323"/>
      <c r="H33" s="323"/>
    </row>
    <row r="34" spans="1:8" ht="15.75">
      <c r="A34" s="323" t="str">
        <f>CONCATENATE("(i.e. an audit has not been completed, or the ",inputPrYr!D7," adopted ")</f>
        <v>(i.e. an audit has not been completed, or the  adopted </v>
      </c>
      <c r="B34" s="323"/>
      <c r="C34" s="323"/>
      <c r="D34" s="323"/>
      <c r="E34" s="323"/>
      <c r="F34" s="323"/>
      <c r="G34" s="323"/>
      <c r="H34" s="323"/>
    </row>
    <row r="35" spans="1:8" ht="15.75">
      <c r="A35" s="323" t="s">
        <v>400</v>
      </c>
      <c r="B35" s="323"/>
      <c r="C35" s="323"/>
      <c r="D35" s="323"/>
      <c r="E35" s="323"/>
      <c r="F35" s="323"/>
      <c r="G35" s="323"/>
      <c r="H35" s="323"/>
    </row>
    <row r="36" spans="1:8" ht="15.75">
      <c r="A36" s="323" t="s">
        <v>401</v>
      </c>
      <c r="B36" s="323"/>
      <c r="C36" s="323"/>
      <c r="D36" s="323"/>
      <c r="E36" s="323"/>
      <c r="F36" s="323"/>
      <c r="G36" s="323"/>
      <c r="H36" s="323"/>
    </row>
    <row r="37" spans="1:8" ht="15.75">
      <c r="A37" s="323" t="s">
        <v>402</v>
      </c>
      <c r="B37" s="323"/>
      <c r="C37" s="323"/>
      <c r="D37" s="323"/>
      <c r="E37" s="323"/>
      <c r="F37" s="323"/>
      <c r="G37" s="323"/>
      <c r="H37" s="323"/>
    </row>
    <row r="38" spans="1:8" ht="15.75">
      <c r="A38" s="323" t="s">
        <v>403</v>
      </c>
      <c r="B38" s="323"/>
      <c r="C38" s="323"/>
      <c r="D38" s="323"/>
      <c r="E38" s="323"/>
      <c r="F38" s="323"/>
      <c r="G38" s="323"/>
      <c r="H38" s="323"/>
    </row>
    <row r="39" spans="1:8" ht="15.75">
      <c r="A39" s="323" t="s">
        <v>404</v>
      </c>
      <c r="B39" s="323"/>
      <c r="C39" s="323"/>
      <c r="D39" s="323"/>
      <c r="E39" s="323"/>
      <c r="F39" s="323"/>
      <c r="G39" s="323"/>
      <c r="H39" s="323"/>
    </row>
    <row r="40" spans="1:8" ht="15.75">
      <c r="A40" s="323"/>
      <c r="B40" s="323"/>
      <c r="C40" s="323"/>
      <c r="D40" s="323"/>
      <c r="E40" s="323"/>
      <c r="F40" s="323"/>
      <c r="G40" s="323"/>
      <c r="H40" s="323"/>
    </row>
    <row r="41" spans="1:8" ht="15.75">
      <c r="A41" s="323" t="s">
        <v>405</v>
      </c>
      <c r="B41" s="323"/>
      <c r="C41" s="323"/>
      <c r="D41" s="323"/>
      <c r="E41" s="323"/>
      <c r="F41" s="323"/>
      <c r="G41" s="323"/>
      <c r="H41" s="323"/>
    </row>
    <row r="42" spans="1:8" ht="15.75">
      <c r="A42" s="323" t="s">
        <v>406</v>
      </c>
      <c r="B42" s="323"/>
      <c r="C42" s="323"/>
      <c r="D42" s="323"/>
      <c r="E42" s="323"/>
      <c r="F42" s="323"/>
      <c r="G42" s="323"/>
      <c r="H42" s="323"/>
    </row>
    <row r="43" spans="1:8" ht="15.75">
      <c r="A43" s="323" t="s">
        <v>407</v>
      </c>
      <c r="B43" s="323"/>
      <c r="C43" s="323"/>
      <c r="D43" s="323"/>
      <c r="E43" s="323"/>
      <c r="F43" s="323"/>
      <c r="G43" s="323"/>
      <c r="H43" s="323"/>
    </row>
    <row r="44" spans="1:8" ht="15.75">
      <c r="A44" s="323" t="s">
        <v>408</v>
      </c>
      <c r="B44" s="323"/>
      <c r="C44" s="323"/>
      <c r="D44" s="323"/>
      <c r="E44" s="323"/>
      <c r="F44" s="323"/>
      <c r="G44" s="323"/>
      <c r="H44" s="323"/>
    </row>
    <row r="45" spans="1:8" ht="15.75">
      <c r="A45" s="323"/>
      <c r="B45" s="323"/>
      <c r="C45" s="323"/>
      <c r="D45" s="323"/>
      <c r="E45" s="323"/>
      <c r="F45" s="323"/>
      <c r="G45" s="323"/>
      <c r="H45" s="323"/>
    </row>
    <row r="46" spans="1:8" ht="15.75">
      <c r="A46" s="323" t="s">
        <v>409</v>
      </c>
      <c r="B46" s="323"/>
      <c r="C46" s="323"/>
      <c r="D46" s="323"/>
      <c r="E46" s="323"/>
      <c r="F46" s="323"/>
      <c r="G46" s="323"/>
      <c r="H46" s="323"/>
    </row>
    <row r="47" spans="1:8" ht="15.75">
      <c r="A47" s="323" t="s">
        <v>410</v>
      </c>
      <c r="B47" s="323"/>
      <c r="C47" s="323"/>
      <c r="D47" s="323"/>
      <c r="E47" s="323"/>
      <c r="F47" s="323"/>
      <c r="G47" s="323"/>
      <c r="H47" s="323"/>
    </row>
    <row r="48" spans="1:8" ht="15.75">
      <c r="A48" s="323" t="s">
        <v>411</v>
      </c>
      <c r="B48" s="323"/>
      <c r="C48" s="323"/>
      <c r="D48" s="323"/>
      <c r="E48" s="323"/>
      <c r="F48" s="323"/>
      <c r="G48" s="323"/>
      <c r="H48" s="323"/>
    </row>
    <row r="49" spans="1:8" ht="15.75">
      <c r="A49" s="323" t="s">
        <v>412</v>
      </c>
      <c r="B49" s="323"/>
      <c r="C49" s="323"/>
      <c r="D49" s="323"/>
      <c r="E49" s="323"/>
      <c r="F49" s="323"/>
      <c r="G49" s="323"/>
      <c r="H49" s="323"/>
    </row>
    <row r="50" spans="1:8" ht="15.75">
      <c r="A50" s="323" t="s">
        <v>413</v>
      </c>
      <c r="B50" s="323"/>
      <c r="C50" s="323"/>
      <c r="D50" s="323"/>
      <c r="E50" s="323"/>
      <c r="F50" s="323"/>
      <c r="G50" s="323"/>
      <c r="H50" s="323"/>
    </row>
    <row r="51" spans="1:8" ht="15.75">
      <c r="A51" s="323"/>
      <c r="B51" s="323"/>
      <c r="C51" s="323"/>
      <c r="D51" s="323"/>
      <c r="E51" s="323"/>
      <c r="F51" s="323"/>
      <c r="G51" s="323"/>
      <c r="H51" s="323"/>
    </row>
    <row r="52" spans="1:8" ht="15.75">
      <c r="A52" s="324" t="s">
        <v>414</v>
      </c>
      <c r="B52" s="324"/>
      <c r="C52" s="324"/>
      <c r="D52" s="324"/>
      <c r="E52" s="324"/>
      <c r="F52" s="324"/>
      <c r="G52" s="324"/>
      <c r="H52" s="323"/>
    </row>
    <row r="53" spans="1:8" ht="15.75">
      <c r="A53" s="324" t="s">
        <v>415</v>
      </c>
      <c r="B53" s="324"/>
      <c r="C53" s="324"/>
      <c r="D53" s="324"/>
      <c r="E53" s="324"/>
      <c r="F53" s="324"/>
      <c r="G53" s="324"/>
      <c r="H53" s="323"/>
    </row>
    <row r="54" spans="1:8" ht="15.75">
      <c r="A54" s="323"/>
      <c r="B54" s="323"/>
      <c r="C54" s="323"/>
      <c r="D54" s="323"/>
      <c r="E54" s="323"/>
      <c r="F54" s="323"/>
      <c r="G54" s="323"/>
      <c r="H54" s="323"/>
    </row>
    <row r="55" spans="1:8" ht="15.75">
      <c r="A55" s="323" t="s">
        <v>416</v>
      </c>
      <c r="B55" s="323"/>
      <c r="C55" s="323"/>
      <c r="D55" s="323"/>
      <c r="E55" s="323"/>
      <c r="F55" s="323"/>
      <c r="G55" s="323"/>
      <c r="H55" s="323"/>
    </row>
    <row r="56" spans="1:8" ht="15.75">
      <c r="A56" s="323" t="s">
        <v>417</v>
      </c>
      <c r="B56" s="323"/>
      <c r="C56" s="323"/>
      <c r="D56" s="323"/>
      <c r="E56" s="323"/>
      <c r="F56" s="323"/>
      <c r="G56" s="323"/>
      <c r="H56" s="323"/>
    </row>
    <row r="57" spans="1:8" ht="15.75">
      <c r="A57" s="323" t="s">
        <v>418</v>
      </c>
      <c r="B57" s="323"/>
      <c r="C57" s="323"/>
      <c r="D57" s="323"/>
      <c r="E57" s="323"/>
      <c r="F57" s="323"/>
      <c r="G57" s="323"/>
      <c r="H57" s="323"/>
    </row>
    <row r="58" spans="1:8" ht="15.75">
      <c r="A58" s="323" t="s">
        <v>419</v>
      </c>
      <c r="B58" s="323"/>
      <c r="C58" s="323"/>
      <c r="D58" s="323"/>
      <c r="E58" s="323"/>
      <c r="F58" s="323"/>
      <c r="G58" s="323"/>
      <c r="H58" s="323"/>
    </row>
    <row r="59" spans="1:8" ht="15.75">
      <c r="A59" s="323"/>
      <c r="B59" s="323"/>
      <c r="C59" s="323"/>
      <c r="D59" s="323"/>
      <c r="E59" s="323"/>
      <c r="F59" s="323"/>
      <c r="G59" s="323"/>
      <c r="H59" s="323"/>
    </row>
    <row r="60" spans="1:8" ht="15.75">
      <c r="A60" s="323" t="s">
        <v>420</v>
      </c>
      <c r="B60" s="323"/>
      <c r="C60" s="323"/>
      <c r="D60" s="323"/>
      <c r="E60" s="323"/>
      <c r="F60" s="323"/>
      <c r="G60" s="323"/>
      <c r="H60" s="323"/>
    </row>
    <row r="61" spans="1:8" ht="15.75">
      <c r="A61" s="323" t="s">
        <v>421</v>
      </c>
      <c r="B61" s="323"/>
      <c r="C61" s="323"/>
      <c r="D61" s="323"/>
      <c r="E61" s="323"/>
      <c r="F61" s="323"/>
      <c r="G61" s="323"/>
      <c r="H61" s="323"/>
    </row>
    <row r="62" spans="1:8" ht="15.75">
      <c r="A62" s="323" t="s">
        <v>422</v>
      </c>
      <c r="B62" s="323"/>
      <c r="C62" s="323"/>
      <c r="D62" s="323"/>
      <c r="E62" s="323"/>
      <c r="F62" s="323"/>
      <c r="G62" s="323"/>
      <c r="H62" s="323"/>
    </row>
    <row r="63" spans="1:8" ht="15.75">
      <c r="A63" s="323" t="s">
        <v>423</v>
      </c>
      <c r="B63" s="323"/>
      <c r="C63" s="323"/>
      <c r="D63" s="323"/>
      <c r="E63" s="323"/>
      <c r="F63" s="323"/>
      <c r="G63" s="323"/>
      <c r="H63" s="323"/>
    </row>
    <row r="64" spans="1:8" ht="15.75">
      <c r="A64" s="323" t="s">
        <v>424</v>
      </c>
      <c r="B64" s="323"/>
      <c r="C64" s="323"/>
      <c r="D64" s="323"/>
      <c r="E64" s="323"/>
      <c r="F64" s="323"/>
      <c r="G64" s="323"/>
      <c r="H64" s="323"/>
    </row>
    <row r="65" spans="1:8" ht="15.75">
      <c r="A65" s="323" t="s">
        <v>425</v>
      </c>
      <c r="B65" s="323"/>
      <c r="C65" s="323"/>
      <c r="D65" s="323"/>
      <c r="E65" s="323"/>
      <c r="F65" s="323"/>
      <c r="G65" s="323"/>
      <c r="H65" s="323"/>
    </row>
    <row r="66" spans="1:8" ht="15.75">
      <c r="A66" s="323"/>
      <c r="B66" s="323"/>
      <c r="C66" s="323"/>
      <c r="D66" s="323"/>
      <c r="E66" s="323"/>
      <c r="F66" s="323"/>
      <c r="G66" s="323"/>
      <c r="H66" s="323"/>
    </row>
    <row r="67" spans="1:8" ht="15.75">
      <c r="A67" s="323" t="s">
        <v>426</v>
      </c>
      <c r="B67" s="323"/>
      <c r="C67" s="323"/>
      <c r="D67" s="323"/>
      <c r="E67" s="323"/>
      <c r="F67" s="323"/>
      <c r="G67" s="323"/>
      <c r="H67" s="323"/>
    </row>
    <row r="68" spans="1:8" ht="15.75">
      <c r="A68" s="323" t="s">
        <v>427</v>
      </c>
      <c r="B68" s="323"/>
      <c r="C68" s="323"/>
      <c r="D68" s="323"/>
      <c r="E68" s="323"/>
      <c r="F68" s="323"/>
      <c r="G68" s="323"/>
      <c r="H68" s="323"/>
    </row>
    <row r="69" spans="1:8" ht="15.75">
      <c r="A69" s="323" t="s">
        <v>428</v>
      </c>
      <c r="B69" s="323"/>
      <c r="C69" s="323"/>
      <c r="D69" s="323"/>
      <c r="E69" s="323"/>
      <c r="F69" s="323"/>
      <c r="G69" s="323"/>
      <c r="H69" s="323"/>
    </row>
    <row r="70" spans="1:8" ht="15.75">
      <c r="A70" s="323" t="s">
        <v>429</v>
      </c>
      <c r="B70" s="323"/>
      <c r="C70" s="323"/>
      <c r="D70" s="323"/>
      <c r="E70" s="323"/>
      <c r="F70" s="323"/>
      <c r="G70" s="323"/>
      <c r="H70" s="323"/>
    </row>
    <row r="71" spans="1:8" ht="15.75">
      <c r="A71" s="323" t="s">
        <v>430</v>
      </c>
      <c r="B71" s="323"/>
      <c r="C71" s="323"/>
      <c r="D71" s="323"/>
      <c r="E71" s="323"/>
      <c r="F71" s="323"/>
      <c r="G71" s="323"/>
      <c r="H71" s="323"/>
    </row>
    <row r="72" spans="1:8" ht="15.75">
      <c r="A72" s="323" t="s">
        <v>431</v>
      </c>
      <c r="B72" s="323"/>
      <c r="C72" s="323"/>
      <c r="D72" s="323"/>
      <c r="E72" s="323"/>
      <c r="F72" s="323"/>
      <c r="G72" s="323"/>
      <c r="H72" s="323"/>
    </row>
    <row r="73" spans="1:8" ht="15.75">
      <c r="A73" s="323" t="s">
        <v>432</v>
      </c>
      <c r="B73" s="323"/>
      <c r="C73" s="323"/>
      <c r="D73" s="323"/>
      <c r="E73" s="323"/>
      <c r="F73" s="323"/>
      <c r="G73" s="323"/>
      <c r="H73" s="323"/>
    </row>
    <row r="74" spans="1:8" ht="15.75">
      <c r="A74" s="323"/>
      <c r="B74" s="323"/>
      <c r="C74" s="323"/>
      <c r="D74" s="323"/>
      <c r="E74" s="323"/>
      <c r="F74" s="323"/>
      <c r="G74" s="323"/>
      <c r="H74" s="323"/>
    </row>
    <row r="75" spans="1:8" ht="15.75">
      <c r="A75" s="323" t="s">
        <v>433</v>
      </c>
      <c r="B75" s="323"/>
      <c r="C75" s="323"/>
      <c r="D75" s="323"/>
      <c r="E75" s="323"/>
      <c r="F75" s="323"/>
      <c r="G75" s="323"/>
      <c r="H75" s="323"/>
    </row>
    <row r="76" spans="1:8" ht="15.75">
      <c r="A76" s="323" t="s">
        <v>434</v>
      </c>
      <c r="B76" s="323"/>
      <c r="C76" s="323"/>
      <c r="D76" s="323"/>
      <c r="E76" s="323"/>
      <c r="F76" s="323"/>
      <c r="G76" s="323"/>
      <c r="H76" s="323"/>
    </row>
    <row r="77" spans="1:8" ht="15.75">
      <c r="A77" s="323" t="s">
        <v>435</v>
      </c>
      <c r="B77" s="323"/>
      <c r="C77" s="323"/>
      <c r="D77" s="323"/>
      <c r="E77" s="323"/>
      <c r="F77" s="323"/>
      <c r="G77" s="323"/>
      <c r="H77" s="323"/>
    </row>
    <row r="78" spans="1:8" ht="15.75">
      <c r="A78" s="323"/>
      <c r="B78" s="323"/>
      <c r="C78" s="323"/>
      <c r="D78" s="323"/>
      <c r="E78" s="323"/>
      <c r="F78" s="323"/>
      <c r="G78" s="323"/>
      <c r="H78" s="323"/>
    </row>
    <row r="79" ht="15.75">
      <c r="A79" s="323" t="s">
        <v>380</v>
      </c>
    </row>
    <row r="80" ht="15.75">
      <c r="A80" s="324"/>
    </row>
    <row r="81" ht="15.75">
      <c r="A81" s="323"/>
    </row>
    <row r="82" ht="15.75">
      <c r="A82" s="323"/>
    </row>
    <row r="83" ht="15.75">
      <c r="A83" s="323"/>
    </row>
    <row r="84" ht="15.75">
      <c r="A84" s="323"/>
    </row>
    <row r="85" ht="15.75">
      <c r="A85" s="323"/>
    </row>
    <row r="86" ht="15.75">
      <c r="A86" s="323"/>
    </row>
    <row r="87" ht="15.75">
      <c r="A87" s="323"/>
    </row>
    <row r="88" ht="15.75">
      <c r="A88" s="323"/>
    </row>
    <row r="89" ht="15.75">
      <c r="A89" s="323"/>
    </row>
    <row r="90" ht="15.75">
      <c r="A90" s="323"/>
    </row>
    <row r="91" ht="15.75">
      <c r="A91" s="323"/>
    </row>
    <row r="92" ht="15.75">
      <c r="A92" s="323"/>
    </row>
    <row r="93" ht="15.75">
      <c r="A93" s="323"/>
    </row>
    <row r="94" ht="15.75">
      <c r="A94" s="323"/>
    </row>
    <row r="95" ht="15.75">
      <c r="A95" s="323"/>
    </row>
    <row r="96" ht="15.75">
      <c r="A96" s="323"/>
    </row>
    <row r="97" ht="15.75">
      <c r="A97" s="323"/>
    </row>
    <row r="98" ht="15.75">
      <c r="A98" s="323"/>
    </row>
    <row r="99" ht="15.75">
      <c r="A99" s="323"/>
    </row>
    <row r="100" ht="15.75">
      <c r="A100" s="323"/>
    </row>
    <row r="101" ht="15.75">
      <c r="A101" s="323"/>
    </row>
    <row r="103" ht="15.75">
      <c r="A103" s="323"/>
    </row>
    <row r="104" ht="15.75">
      <c r="A104" s="323"/>
    </row>
    <row r="105" ht="15.75">
      <c r="A105" s="323"/>
    </row>
    <row r="107" ht="15.75">
      <c r="A107" s="324"/>
    </row>
    <row r="108" ht="15.75">
      <c r="A108" s="324"/>
    </row>
    <row r="109" ht="15.75">
      <c r="A109" s="324"/>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M117" sqref="M117"/>
    </sheetView>
  </sheetViews>
  <sheetFormatPr defaultColWidth="8.796875" defaultRowHeight="15.75"/>
  <cols>
    <col min="1" max="1" width="64.19921875" style="0" customWidth="1"/>
  </cols>
  <sheetData>
    <row r="3" spans="1:12" ht="15.75">
      <c r="A3" s="322" t="s">
        <v>436</v>
      </c>
      <c r="B3" s="322"/>
      <c r="C3" s="322"/>
      <c r="D3" s="322"/>
      <c r="E3" s="322"/>
      <c r="F3" s="322"/>
      <c r="G3" s="322"/>
      <c r="H3" s="322"/>
      <c r="I3" s="322"/>
      <c r="J3" s="322"/>
      <c r="K3" s="322"/>
      <c r="L3" s="322"/>
    </row>
    <row r="4" spans="1:12" ht="15.75">
      <c r="A4" s="322"/>
      <c r="B4" s="322"/>
      <c r="C4" s="322"/>
      <c r="D4" s="322"/>
      <c r="E4" s="322"/>
      <c r="F4" s="322"/>
      <c r="G4" s="322"/>
      <c r="H4" s="322"/>
      <c r="I4" s="322"/>
      <c r="J4" s="322"/>
      <c r="K4" s="322"/>
      <c r="L4" s="322"/>
    </row>
    <row r="5" spans="1:12" ht="15.75">
      <c r="A5" s="323" t="s">
        <v>325</v>
      </c>
      <c r="I5" s="322"/>
      <c r="J5" s="322"/>
      <c r="K5" s="322"/>
      <c r="L5" s="322"/>
    </row>
    <row r="6" spans="1:12" ht="15.75">
      <c r="A6" s="323" t="str">
        <f>CONCATENATE("estimated ",inputPrYr!D7-1," 'total expenditures' exceed your ",inputPrYr!D7-1,"")</f>
        <v>estimated -1 'total expenditures' exceed your -1</v>
      </c>
      <c r="I6" s="322"/>
      <c r="J6" s="322"/>
      <c r="K6" s="322"/>
      <c r="L6" s="322"/>
    </row>
    <row r="7" spans="1:12" ht="15.75">
      <c r="A7" s="326" t="s">
        <v>437</v>
      </c>
      <c r="I7" s="322"/>
      <c r="J7" s="322"/>
      <c r="K7" s="322"/>
      <c r="L7" s="322"/>
    </row>
    <row r="8" spans="1:12" ht="15.75">
      <c r="A8" s="323"/>
      <c r="I8" s="322"/>
      <c r="J8" s="322"/>
      <c r="K8" s="322"/>
      <c r="L8" s="322"/>
    </row>
    <row r="9" spans="1:12" ht="15.75">
      <c r="A9" s="323" t="s">
        <v>438</v>
      </c>
      <c r="I9" s="322"/>
      <c r="J9" s="322"/>
      <c r="K9" s="322"/>
      <c r="L9" s="322"/>
    </row>
    <row r="10" spans="1:12" ht="15.75">
      <c r="A10" s="323" t="s">
        <v>439</v>
      </c>
      <c r="I10" s="322"/>
      <c r="J10" s="322"/>
      <c r="K10" s="322"/>
      <c r="L10" s="322"/>
    </row>
    <row r="11" spans="1:12" ht="15.75">
      <c r="A11" s="323" t="s">
        <v>440</v>
      </c>
      <c r="I11" s="322"/>
      <c r="J11" s="322"/>
      <c r="K11" s="322"/>
      <c r="L11" s="322"/>
    </row>
    <row r="12" spans="1:12" ht="15.75">
      <c r="A12" s="323" t="s">
        <v>441</v>
      </c>
      <c r="I12" s="322"/>
      <c r="J12" s="322"/>
      <c r="K12" s="322"/>
      <c r="L12" s="322"/>
    </row>
    <row r="13" spans="1:12" ht="15.75">
      <c r="A13" s="323" t="s">
        <v>442</v>
      </c>
      <c r="I13" s="322"/>
      <c r="J13" s="322"/>
      <c r="K13" s="322"/>
      <c r="L13" s="322"/>
    </row>
    <row r="14" spans="1:12" ht="15.75">
      <c r="A14" s="322"/>
      <c r="B14" s="322"/>
      <c r="C14" s="322"/>
      <c r="D14" s="322"/>
      <c r="E14" s="322"/>
      <c r="F14" s="322"/>
      <c r="G14" s="322"/>
      <c r="H14" s="322"/>
      <c r="I14" s="322"/>
      <c r="J14" s="322"/>
      <c r="K14" s="322"/>
      <c r="L14" s="322"/>
    </row>
    <row r="15" ht="15.75">
      <c r="A15" s="324" t="s">
        <v>443</v>
      </c>
    </row>
    <row r="16" ht="15.75">
      <c r="A16" s="324" t="s">
        <v>444</v>
      </c>
    </row>
    <row r="17" ht="15.75">
      <c r="A17" s="324"/>
    </row>
    <row r="18" spans="1:7" ht="15.75">
      <c r="A18" s="323" t="s">
        <v>445</v>
      </c>
      <c r="B18" s="323"/>
      <c r="C18" s="323"/>
      <c r="D18" s="323"/>
      <c r="E18" s="323"/>
      <c r="F18" s="323"/>
      <c r="G18" s="323"/>
    </row>
    <row r="19" spans="1:7" ht="15.75">
      <c r="A19" s="323" t="str">
        <f>CONCATENATE("your ",inputPrYr!D7-1," numbers to see what steps might be necessary to")</f>
        <v>your -1 numbers to see what steps might be necessary to</v>
      </c>
      <c r="B19" s="323"/>
      <c r="C19" s="323"/>
      <c r="D19" s="323"/>
      <c r="E19" s="323"/>
      <c r="F19" s="323"/>
      <c r="G19" s="323"/>
    </row>
    <row r="20" spans="1:7" ht="15.75">
      <c r="A20" s="323" t="s">
        <v>446</v>
      </c>
      <c r="B20" s="323"/>
      <c r="C20" s="323"/>
      <c r="D20" s="323"/>
      <c r="E20" s="323"/>
      <c r="F20" s="323"/>
      <c r="G20" s="323"/>
    </row>
    <row r="21" spans="1:7" ht="15.75">
      <c r="A21" s="323" t="s">
        <v>447</v>
      </c>
      <c r="B21" s="323"/>
      <c r="C21" s="323"/>
      <c r="D21" s="323"/>
      <c r="E21" s="323"/>
      <c r="F21" s="323"/>
      <c r="G21" s="323"/>
    </row>
    <row r="22" ht="15.75">
      <c r="A22" s="323"/>
    </row>
    <row r="23" ht="15.75">
      <c r="A23" s="324" t="s">
        <v>448</v>
      </c>
    </row>
    <row r="24" ht="15.75">
      <c r="A24" s="324"/>
    </row>
    <row r="25" ht="15.75">
      <c r="A25" s="323" t="s">
        <v>449</v>
      </c>
    </row>
    <row r="26" spans="1:6" ht="15.75">
      <c r="A26" s="323" t="s">
        <v>450</v>
      </c>
      <c r="B26" s="323"/>
      <c r="C26" s="323"/>
      <c r="D26" s="323"/>
      <c r="E26" s="323"/>
      <c r="F26" s="323"/>
    </row>
    <row r="27" spans="1:6" ht="15.75">
      <c r="A27" s="323" t="s">
        <v>451</v>
      </c>
      <c r="B27" s="323"/>
      <c r="C27" s="323"/>
      <c r="D27" s="323"/>
      <c r="E27" s="323"/>
      <c r="F27" s="323"/>
    </row>
    <row r="28" spans="1:6" ht="15.75">
      <c r="A28" s="323" t="s">
        <v>452</v>
      </c>
      <c r="B28" s="323"/>
      <c r="C28" s="323"/>
      <c r="D28" s="323"/>
      <c r="E28" s="323"/>
      <c r="F28" s="323"/>
    </row>
    <row r="29" spans="1:6" ht="15.75">
      <c r="A29" s="323"/>
      <c r="B29" s="323"/>
      <c r="C29" s="323"/>
      <c r="D29" s="323"/>
      <c r="E29" s="323"/>
      <c r="F29" s="323"/>
    </row>
    <row r="30" spans="1:7" ht="15.75">
      <c r="A30" s="324" t="s">
        <v>453</v>
      </c>
      <c r="B30" s="324"/>
      <c r="C30" s="324"/>
      <c r="D30" s="324"/>
      <c r="E30" s="324"/>
      <c r="F30" s="324"/>
      <c r="G30" s="324"/>
    </row>
    <row r="31" spans="1:7" ht="15.75">
      <c r="A31" s="324" t="s">
        <v>454</v>
      </c>
      <c r="B31" s="324"/>
      <c r="C31" s="324"/>
      <c r="D31" s="324"/>
      <c r="E31" s="324"/>
      <c r="F31" s="324"/>
      <c r="G31" s="324"/>
    </row>
    <row r="32" spans="1:6" ht="15.75">
      <c r="A32" s="323"/>
      <c r="B32" s="323"/>
      <c r="C32" s="323"/>
      <c r="D32" s="323"/>
      <c r="E32" s="323"/>
      <c r="F32" s="323"/>
    </row>
    <row r="33" spans="1:6" ht="15.75">
      <c r="A33" s="327" t="str">
        <f>CONCATENATE("Well, let's look to see if any of your ",inputPrYr!D7-1," expenditures can")</f>
        <v>Well, let's look to see if any of your -1 expenditures can</v>
      </c>
      <c r="B33" s="323"/>
      <c r="C33" s="323"/>
      <c r="D33" s="323"/>
      <c r="E33" s="323"/>
      <c r="F33" s="323"/>
    </row>
    <row r="34" spans="1:6" ht="15.75">
      <c r="A34" s="327" t="s">
        <v>455</v>
      </c>
      <c r="B34" s="323"/>
      <c r="C34" s="323"/>
      <c r="D34" s="323"/>
      <c r="E34" s="323"/>
      <c r="F34" s="323"/>
    </row>
    <row r="35" spans="1:6" ht="15.75">
      <c r="A35" s="327" t="s">
        <v>339</v>
      </c>
      <c r="B35" s="323"/>
      <c r="C35" s="323"/>
      <c r="D35" s="323"/>
      <c r="E35" s="323"/>
      <c r="F35" s="323"/>
    </row>
    <row r="36" spans="1:6" ht="15.75">
      <c r="A36" s="327" t="s">
        <v>340</v>
      </c>
      <c r="B36" s="323"/>
      <c r="C36" s="323"/>
      <c r="D36" s="323"/>
      <c r="E36" s="323"/>
      <c r="F36" s="323"/>
    </row>
    <row r="37" spans="1:6" ht="15.75">
      <c r="A37" s="327"/>
      <c r="B37" s="323"/>
      <c r="C37" s="323"/>
      <c r="D37" s="323"/>
      <c r="E37" s="323"/>
      <c r="F37" s="323"/>
    </row>
    <row r="38" spans="1:6" ht="15.75">
      <c r="A38" s="327" t="str">
        <f>CONCATENATE("Additionally, do your ",inputPrYr!D7-1," receipts contain a reimbursement")</f>
        <v>Additionally, do your -1 receipts contain a reimbursement</v>
      </c>
      <c r="B38" s="323"/>
      <c r="C38" s="323"/>
      <c r="D38" s="323"/>
      <c r="E38" s="323"/>
      <c r="F38" s="323"/>
    </row>
    <row r="39" spans="1:6" ht="15.75">
      <c r="A39" s="327" t="s">
        <v>341</v>
      </c>
      <c r="B39" s="323"/>
      <c r="C39" s="323"/>
      <c r="D39" s="323"/>
      <c r="E39" s="323"/>
      <c r="F39" s="323"/>
    </row>
    <row r="40" spans="1:6" ht="15.75">
      <c r="A40" s="327" t="s">
        <v>342</v>
      </c>
      <c r="B40" s="323"/>
      <c r="C40" s="323"/>
      <c r="D40" s="323"/>
      <c r="E40" s="323"/>
      <c r="F40" s="323"/>
    </row>
    <row r="41" spans="1:6" ht="15.75">
      <c r="A41" s="327"/>
      <c r="B41" s="323"/>
      <c r="C41" s="323"/>
      <c r="D41" s="323"/>
      <c r="E41" s="323"/>
      <c r="F41" s="323"/>
    </row>
    <row r="42" spans="1:6" ht="15.75">
      <c r="A42" s="327" t="s">
        <v>343</v>
      </c>
      <c r="B42" s="323"/>
      <c r="C42" s="323"/>
      <c r="D42" s="323"/>
      <c r="E42" s="323"/>
      <c r="F42" s="323"/>
    </row>
    <row r="43" spans="1:6" ht="15.75">
      <c r="A43" s="327" t="s">
        <v>344</v>
      </c>
      <c r="B43" s="323"/>
      <c r="C43" s="323"/>
      <c r="D43" s="323"/>
      <c r="E43" s="323"/>
      <c r="F43" s="323"/>
    </row>
    <row r="44" spans="1:6" ht="15.75">
      <c r="A44" s="327" t="s">
        <v>345</v>
      </c>
      <c r="B44" s="323"/>
      <c r="C44" s="323"/>
      <c r="D44" s="323"/>
      <c r="E44" s="323"/>
      <c r="F44" s="323"/>
    </row>
    <row r="45" spans="1:6" ht="15.75">
      <c r="A45" s="327" t="s">
        <v>456</v>
      </c>
      <c r="B45" s="323"/>
      <c r="C45" s="323"/>
      <c r="D45" s="323"/>
      <c r="E45" s="323"/>
      <c r="F45" s="323"/>
    </row>
    <row r="46" spans="1:6" ht="15.75">
      <c r="A46" s="327" t="s">
        <v>347</v>
      </c>
      <c r="B46" s="323"/>
      <c r="C46" s="323"/>
      <c r="D46" s="323"/>
      <c r="E46" s="323"/>
      <c r="F46" s="323"/>
    </row>
    <row r="47" spans="1:6" ht="15.75">
      <c r="A47" s="327" t="s">
        <v>457</v>
      </c>
      <c r="B47" s="323"/>
      <c r="C47" s="323"/>
      <c r="D47" s="323"/>
      <c r="E47" s="323"/>
      <c r="F47" s="323"/>
    </row>
    <row r="48" spans="1:6" ht="15.75">
      <c r="A48" s="327" t="s">
        <v>458</v>
      </c>
      <c r="B48" s="323"/>
      <c r="C48" s="323"/>
      <c r="D48" s="323"/>
      <c r="E48" s="323"/>
      <c r="F48" s="323"/>
    </row>
    <row r="49" spans="1:6" ht="15.75">
      <c r="A49" s="327" t="s">
        <v>350</v>
      </c>
      <c r="B49" s="323"/>
      <c r="C49" s="323"/>
      <c r="D49" s="323"/>
      <c r="E49" s="323"/>
      <c r="F49" s="323"/>
    </row>
    <row r="50" spans="1:6" ht="15.75">
      <c r="A50" s="327"/>
      <c r="B50" s="323"/>
      <c r="C50" s="323"/>
      <c r="D50" s="323"/>
      <c r="E50" s="323"/>
      <c r="F50" s="323"/>
    </row>
    <row r="51" spans="1:6" ht="15.75">
      <c r="A51" s="327" t="s">
        <v>351</v>
      </c>
      <c r="B51" s="323"/>
      <c r="C51" s="323"/>
      <c r="D51" s="323"/>
      <c r="E51" s="323"/>
      <c r="F51" s="323"/>
    </row>
    <row r="52" spans="1:6" ht="15.75">
      <c r="A52" s="327" t="s">
        <v>352</v>
      </c>
      <c r="B52" s="323"/>
      <c r="C52" s="323"/>
      <c r="D52" s="323"/>
      <c r="E52" s="323"/>
      <c r="F52" s="323"/>
    </row>
    <row r="53" spans="1:6" ht="15.75">
      <c r="A53" s="327" t="s">
        <v>353</v>
      </c>
      <c r="B53" s="323"/>
      <c r="C53" s="323"/>
      <c r="D53" s="323"/>
      <c r="E53" s="323"/>
      <c r="F53" s="323"/>
    </row>
    <row r="54" spans="1:6" ht="15.75">
      <c r="A54" s="327"/>
      <c r="B54" s="323"/>
      <c r="C54" s="323"/>
      <c r="D54" s="323"/>
      <c r="E54" s="323"/>
      <c r="F54" s="323"/>
    </row>
    <row r="55" spans="1:6" ht="15.75">
      <c r="A55" s="327" t="s">
        <v>459</v>
      </c>
      <c r="B55" s="323"/>
      <c r="C55" s="323"/>
      <c r="D55" s="323"/>
      <c r="E55" s="323"/>
      <c r="F55" s="323"/>
    </row>
    <row r="56" spans="1:6" ht="15.75">
      <c r="A56" s="327" t="s">
        <v>460</v>
      </c>
      <c r="B56" s="323"/>
      <c r="C56" s="323"/>
      <c r="D56" s="323"/>
      <c r="E56" s="323"/>
      <c r="F56" s="323"/>
    </row>
    <row r="57" spans="1:6" ht="15.75">
      <c r="A57" s="327" t="s">
        <v>461</v>
      </c>
      <c r="B57" s="323"/>
      <c r="C57" s="323"/>
      <c r="D57" s="323"/>
      <c r="E57" s="323"/>
      <c r="F57" s="323"/>
    </row>
    <row r="58" spans="1:6" ht="15.75">
      <c r="A58" s="327" t="s">
        <v>462</v>
      </c>
      <c r="B58" s="323"/>
      <c r="C58" s="323"/>
      <c r="D58" s="323"/>
      <c r="E58" s="323"/>
      <c r="F58" s="323"/>
    </row>
    <row r="59" spans="1:6" ht="15.75">
      <c r="A59" s="327" t="s">
        <v>463</v>
      </c>
      <c r="B59" s="323"/>
      <c r="C59" s="323"/>
      <c r="D59" s="323"/>
      <c r="E59" s="323"/>
      <c r="F59" s="323"/>
    </row>
    <row r="60" spans="1:6" ht="15.75">
      <c r="A60" s="327"/>
      <c r="B60" s="323"/>
      <c r="C60" s="323"/>
      <c r="D60" s="323"/>
      <c r="E60" s="323"/>
      <c r="F60" s="323"/>
    </row>
    <row r="61" spans="1:6" ht="15.75">
      <c r="A61" s="328" t="s">
        <v>464</v>
      </c>
      <c r="B61" s="323"/>
      <c r="C61" s="323"/>
      <c r="D61" s="323"/>
      <c r="E61" s="323"/>
      <c r="F61" s="323"/>
    </row>
    <row r="62" spans="1:6" ht="15.75">
      <c r="A62" s="328" t="s">
        <v>465</v>
      </c>
      <c r="B62" s="323"/>
      <c r="C62" s="323"/>
      <c r="D62" s="323"/>
      <c r="E62" s="323"/>
      <c r="F62" s="323"/>
    </row>
    <row r="63" spans="1:6" ht="15.75">
      <c r="A63" s="328" t="s">
        <v>466</v>
      </c>
      <c r="B63" s="323"/>
      <c r="C63" s="323"/>
      <c r="D63" s="323"/>
      <c r="E63" s="323"/>
      <c r="F63" s="323"/>
    </row>
    <row r="64" ht="15.75">
      <c r="A64" s="328" t="s">
        <v>467</v>
      </c>
    </row>
    <row r="65" ht="15.75">
      <c r="A65" s="328" t="s">
        <v>468</v>
      </c>
    </row>
    <row r="66" ht="15.75">
      <c r="A66" s="328" t="s">
        <v>469</v>
      </c>
    </row>
    <row r="68" ht="15.75">
      <c r="A68" s="323" t="s">
        <v>470</v>
      </c>
    </row>
    <row r="69" ht="15.75">
      <c r="A69" s="323" t="s">
        <v>471</v>
      </c>
    </row>
    <row r="70" ht="15.75">
      <c r="A70" s="323" t="s">
        <v>472</v>
      </c>
    </row>
    <row r="71" ht="15.75">
      <c r="A71" s="323" t="s">
        <v>473</v>
      </c>
    </row>
    <row r="72" ht="15.75">
      <c r="A72" s="323" t="s">
        <v>474</v>
      </c>
    </row>
    <row r="73" ht="15.75">
      <c r="A73" s="323" t="s">
        <v>475</v>
      </c>
    </row>
    <row r="75" ht="15.75">
      <c r="A75" s="323" t="s">
        <v>380</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M120" sqref="M120"/>
    </sheetView>
  </sheetViews>
  <sheetFormatPr defaultColWidth="8.796875" defaultRowHeight="15.75"/>
  <cols>
    <col min="1" max="1" width="64.19921875" style="0" customWidth="1"/>
  </cols>
  <sheetData>
    <row r="3" spans="1:7" ht="15.75">
      <c r="A3" s="322" t="s">
        <v>476</v>
      </c>
      <c r="B3" s="322"/>
      <c r="C3" s="322"/>
      <c r="D3" s="322"/>
      <c r="E3" s="322"/>
      <c r="F3" s="322"/>
      <c r="G3" s="322"/>
    </row>
    <row r="4" spans="1:7" ht="15.75">
      <c r="A4" s="322"/>
      <c r="B4" s="322"/>
      <c r="C4" s="322"/>
      <c r="D4" s="322"/>
      <c r="E4" s="322"/>
      <c r="F4" s="322"/>
      <c r="G4" s="322"/>
    </row>
    <row r="5" ht="15.75">
      <c r="A5" s="323" t="s">
        <v>382</v>
      </c>
    </row>
    <row r="6" ht="15.75">
      <c r="A6" s="323" t="str">
        <f>CONCATENATE(inputPrYr!D7," estimated expenditures show that at the end of this year")</f>
        <v> estimated expenditures show that at the end of this year</v>
      </c>
    </row>
    <row r="7" ht="15.75">
      <c r="A7" s="323" t="s">
        <v>477</v>
      </c>
    </row>
    <row r="8" ht="15.75">
      <c r="A8" s="323" t="s">
        <v>478</v>
      </c>
    </row>
    <row r="10" ht="15.75">
      <c r="A10" t="s">
        <v>384</v>
      </c>
    </row>
    <row r="11" ht="15.75">
      <c r="A11" t="s">
        <v>385</v>
      </c>
    </row>
    <row r="12" ht="15.75">
      <c r="A12" t="s">
        <v>386</v>
      </c>
    </row>
    <row r="13" spans="1:7" ht="15.75">
      <c r="A13" s="322"/>
      <c r="B13" s="322"/>
      <c r="C13" s="322"/>
      <c r="D13" s="322"/>
      <c r="E13" s="322"/>
      <c r="F13" s="322"/>
      <c r="G13" s="322"/>
    </row>
    <row r="14" ht="15.75">
      <c r="A14" s="324" t="s">
        <v>479</v>
      </c>
    </row>
    <row r="15" ht="15.75">
      <c r="A15" s="323"/>
    </row>
    <row r="16" ht="15.75">
      <c r="A16" s="323" t="s">
        <v>480</v>
      </c>
    </row>
    <row r="17" ht="15.75">
      <c r="A17" s="323" t="s">
        <v>481</v>
      </c>
    </row>
    <row r="18" ht="15.75">
      <c r="A18" s="323" t="s">
        <v>482</v>
      </c>
    </row>
    <row r="19" ht="15.75">
      <c r="A19" s="323"/>
    </row>
    <row r="20" ht="15.75">
      <c r="A20" s="323" t="s">
        <v>483</v>
      </c>
    </row>
    <row r="21" ht="15.75">
      <c r="A21" s="323" t="s">
        <v>484</v>
      </c>
    </row>
    <row r="22" ht="15.75">
      <c r="A22" s="323" t="s">
        <v>485</v>
      </c>
    </row>
    <row r="23" ht="15.75">
      <c r="A23" s="323" t="s">
        <v>486</v>
      </c>
    </row>
    <row r="24" ht="15.75">
      <c r="A24" s="323"/>
    </row>
    <row r="25" ht="15.75">
      <c r="A25" s="324" t="s">
        <v>448</v>
      </c>
    </row>
    <row r="26" ht="15.75">
      <c r="A26" s="324"/>
    </row>
    <row r="27" ht="15.75">
      <c r="A27" s="323" t="s">
        <v>449</v>
      </c>
    </row>
    <row r="28" spans="1:6" ht="15.75">
      <c r="A28" s="323" t="s">
        <v>450</v>
      </c>
      <c r="B28" s="323"/>
      <c r="C28" s="323"/>
      <c r="D28" s="323"/>
      <c r="E28" s="323"/>
      <c r="F28" s="323"/>
    </row>
    <row r="29" spans="1:6" ht="15.75">
      <c r="A29" s="323" t="s">
        <v>451</v>
      </c>
      <c r="B29" s="323"/>
      <c r="C29" s="323"/>
      <c r="D29" s="323"/>
      <c r="E29" s="323"/>
      <c r="F29" s="323"/>
    </row>
    <row r="30" spans="1:6" ht="15.75">
      <c r="A30" s="323" t="s">
        <v>452</v>
      </c>
      <c r="B30" s="323"/>
      <c r="C30" s="323"/>
      <c r="D30" s="323"/>
      <c r="E30" s="323"/>
      <c r="F30" s="323"/>
    </row>
    <row r="31" ht="15.75">
      <c r="A31" s="323"/>
    </row>
    <row r="32" spans="1:7" ht="15.75">
      <c r="A32" s="324" t="s">
        <v>453</v>
      </c>
      <c r="B32" s="324"/>
      <c r="C32" s="324"/>
      <c r="D32" s="324"/>
      <c r="E32" s="324"/>
      <c r="F32" s="324"/>
      <c r="G32" s="324"/>
    </row>
    <row r="33" spans="1:7" ht="15.75">
      <c r="A33" s="324" t="s">
        <v>454</v>
      </c>
      <c r="B33" s="324"/>
      <c r="C33" s="324"/>
      <c r="D33" s="324"/>
      <c r="E33" s="324"/>
      <c r="F33" s="324"/>
      <c r="G33" s="324"/>
    </row>
    <row r="34" spans="1:7" ht="15.75">
      <c r="A34" s="324"/>
      <c r="B34" s="324"/>
      <c r="C34" s="324"/>
      <c r="D34" s="324"/>
      <c r="E34" s="324"/>
      <c r="F34" s="324"/>
      <c r="G34" s="324"/>
    </row>
    <row r="35" spans="1:7" ht="15.75">
      <c r="A35" s="323" t="s">
        <v>487</v>
      </c>
      <c r="B35" s="323"/>
      <c r="C35" s="323"/>
      <c r="D35" s="323"/>
      <c r="E35" s="323"/>
      <c r="F35" s="323"/>
      <c r="G35" s="323"/>
    </row>
    <row r="36" spans="1:7" ht="15.75">
      <c r="A36" s="323" t="s">
        <v>488</v>
      </c>
      <c r="B36" s="323"/>
      <c r="C36" s="323"/>
      <c r="D36" s="323"/>
      <c r="E36" s="323"/>
      <c r="F36" s="323"/>
      <c r="G36" s="323"/>
    </row>
    <row r="37" spans="1:7" ht="15.75">
      <c r="A37" s="323" t="s">
        <v>489</v>
      </c>
      <c r="B37" s="323"/>
      <c r="C37" s="323"/>
      <c r="D37" s="323"/>
      <c r="E37" s="323"/>
      <c r="F37" s="323"/>
      <c r="G37" s="323"/>
    </row>
    <row r="38" spans="1:7" ht="15.75">
      <c r="A38" s="323" t="s">
        <v>490</v>
      </c>
      <c r="B38" s="323"/>
      <c r="C38" s="323"/>
      <c r="D38" s="323"/>
      <c r="E38" s="323"/>
      <c r="F38" s="323"/>
      <c r="G38" s="323"/>
    </row>
    <row r="39" spans="1:7" ht="15.75">
      <c r="A39" s="323" t="s">
        <v>491</v>
      </c>
      <c r="B39" s="323"/>
      <c r="C39" s="323"/>
      <c r="D39" s="323"/>
      <c r="E39" s="323"/>
      <c r="F39" s="323"/>
      <c r="G39" s="323"/>
    </row>
    <row r="40" spans="1:7" ht="15.75">
      <c r="A40" s="324"/>
      <c r="B40" s="324"/>
      <c r="C40" s="324"/>
      <c r="D40" s="324"/>
      <c r="E40" s="324"/>
      <c r="F40" s="324"/>
      <c r="G40" s="324"/>
    </row>
    <row r="41" spans="1:6" ht="15.75">
      <c r="A41" s="327" t="str">
        <f>CONCATENATE("So, let's look to see if any of your ",inputPrYr!D7-1," expenditures can")</f>
        <v>So, let's look to see if any of your -1 expenditures can</v>
      </c>
      <c r="B41" s="323"/>
      <c r="C41" s="323"/>
      <c r="D41" s="323"/>
      <c r="E41" s="323"/>
      <c r="F41" s="323"/>
    </row>
    <row r="42" spans="1:6" ht="15.75">
      <c r="A42" s="327" t="s">
        <v>455</v>
      </c>
      <c r="B42" s="323"/>
      <c r="C42" s="323"/>
      <c r="D42" s="323"/>
      <c r="E42" s="323"/>
      <c r="F42" s="323"/>
    </row>
    <row r="43" spans="1:6" ht="15.75">
      <c r="A43" s="327" t="s">
        <v>339</v>
      </c>
      <c r="B43" s="323"/>
      <c r="C43" s="323"/>
      <c r="D43" s="323"/>
      <c r="E43" s="323"/>
      <c r="F43" s="323"/>
    </row>
    <row r="44" spans="1:6" ht="15.75">
      <c r="A44" s="327" t="s">
        <v>340</v>
      </c>
      <c r="B44" s="323"/>
      <c r="C44" s="323"/>
      <c r="D44" s="323"/>
      <c r="E44" s="323"/>
      <c r="F44" s="323"/>
    </row>
    <row r="45" ht="15.75">
      <c r="A45" s="323"/>
    </row>
    <row r="46" spans="1:6" ht="15.75">
      <c r="A46" s="327" t="str">
        <f>CONCATENATE("Additionally, do your ",inputPrYr!D7-1," receipts contain a reimbursement")</f>
        <v>Additionally, do your -1 receipts contain a reimbursement</v>
      </c>
      <c r="B46" s="323"/>
      <c r="C46" s="323"/>
      <c r="D46" s="323"/>
      <c r="E46" s="323"/>
      <c r="F46" s="323"/>
    </row>
    <row r="47" spans="1:6" ht="15.75">
      <c r="A47" s="327" t="s">
        <v>341</v>
      </c>
      <c r="B47" s="323"/>
      <c r="C47" s="323"/>
      <c r="D47" s="323"/>
      <c r="E47" s="323"/>
      <c r="F47" s="323"/>
    </row>
    <row r="48" spans="1:6" ht="15.75">
      <c r="A48" s="327" t="s">
        <v>342</v>
      </c>
      <c r="B48" s="323"/>
      <c r="C48" s="323"/>
      <c r="D48" s="323"/>
      <c r="E48" s="323"/>
      <c r="F48" s="323"/>
    </row>
    <row r="49" spans="1:7" ht="15.75">
      <c r="A49" s="323"/>
      <c r="B49" s="323"/>
      <c r="C49" s="323"/>
      <c r="D49" s="323"/>
      <c r="E49" s="323"/>
      <c r="F49" s="323"/>
      <c r="G49" s="323"/>
    </row>
    <row r="50" spans="1:7" ht="15.75">
      <c r="A50" s="323" t="s">
        <v>409</v>
      </c>
      <c r="B50" s="323"/>
      <c r="C50" s="323"/>
      <c r="D50" s="323"/>
      <c r="E50" s="323"/>
      <c r="F50" s="323"/>
      <c r="G50" s="323"/>
    </row>
    <row r="51" spans="1:7" ht="15.75">
      <c r="A51" s="323" t="s">
        <v>410</v>
      </c>
      <c r="B51" s="323"/>
      <c r="C51" s="323"/>
      <c r="D51" s="323"/>
      <c r="E51" s="323"/>
      <c r="F51" s="323"/>
      <c r="G51" s="323"/>
    </row>
    <row r="52" spans="1:7" ht="15.75">
      <c r="A52" s="323" t="s">
        <v>411</v>
      </c>
      <c r="B52" s="323"/>
      <c r="C52" s="323"/>
      <c r="D52" s="323"/>
      <c r="E52" s="323"/>
      <c r="F52" s="323"/>
      <c r="G52" s="323"/>
    </row>
    <row r="53" spans="1:7" ht="15.75">
      <c r="A53" s="323" t="s">
        <v>412</v>
      </c>
      <c r="B53" s="323"/>
      <c r="C53" s="323"/>
      <c r="D53" s="323"/>
      <c r="E53" s="323"/>
      <c r="F53" s="323"/>
      <c r="G53" s="323"/>
    </row>
    <row r="54" spans="1:7" ht="15.75">
      <c r="A54" s="323" t="s">
        <v>413</v>
      </c>
      <c r="B54" s="323"/>
      <c r="C54" s="323"/>
      <c r="D54" s="323"/>
      <c r="E54" s="323"/>
      <c r="F54" s="323"/>
      <c r="G54" s="323"/>
    </row>
    <row r="55" spans="1:7" ht="15.75">
      <c r="A55" s="323"/>
      <c r="B55" s="323"/>
      <c r="C55" s="323"/>
      <c r="D55" s="323"/>
      <c r="E55" s="323"/>
      <c r="F55" s="323"/>
      <c r="G55" s="323"/>
    </row>
    <row r="56" spans="1:6" ht="15.75">
      <c r="A56" s="327" t="s">
        <v>351</v>
      </c>
      <c r="B56" s="323"/>
      <c r="C56" s="323"/>
      <c r="D56" s="323"/>
      <c r="E56" s="323"/>
      <c r="F56" s="323"/>
    </row>
    <row r="57" spans="1:6" ht="15.75">
      <c r="A57" s="327" t="s">
        <v>352</v>
      </c>
      <c r="B57" s="323"/>
      <c r="C57" s="323"/>
      <c r="D57" s="323"/>
      <c r="E57" s="323"/>
      <c r="F57" s="323"/>
    </row>
    <row r="58" spans="1:6" ht="15.75">
      <c r="A58" s="327" t="s">
        <v>353</v>
      </c>
      <c r="B58" s="323"/>
      <c r="C58" s="323"/>
      <c r="D58" s="323"/>
      <c r="E58" s="323"/>
      <c r="F58" s="323"/>
    </row>
    <row r="59" spans="1:6" ht="15.75">
      <c r="A59" s="327"/>
      <c r="B59" s="323"/>
      <c r="C59" s="323"/>
      <c r="D59" s="323"/>
      <c r="E59" s="323"/>
      <c r="F59" s="323"/>
    </row>
    <row r="60" spans="1:7" ht="15.75">
      <c r="A60" s="323" t="s">
        <v>492</v>
      </c>
      <c r="B60" s="323"/>
      <c r="C60" s="323"/>
      <c r="D60" s="323"/>
      <c r="E60" s="323"/>
      <c r="F60" s="323"/>
      <c r="G60" s="323"/>
    </row>
    <row r="61" spans="1:7" ht="15.75">
      <c r="A61" s="323" t="s">
        <v>493</v>
      </c>
      <c r="B61" s="323"/>
      <c r="C61" s="323"/>
      <c r="D61" s="323"/>
      <c r="E61" s="323"/>
      <c r="F61" s="323"/>
      <c r="G61" s="323"/>
    </row>
    <row r="62" spans="1:7" ht="15.75">
      <c r="A62" s="323" t="s">
        <v>494</v>
      </c>
      <c r="B62" s="323"/>
      <c r="C62" s="323"/>
      <c r="D62" s="323"/>
      <c r="E62" s="323"/>
      <c r="F62" s="323"/>
      <c r="G62" s="323"/>
    </row>
    <row r="63" spans="1:7" ht="15.75">
      <c r="A63" s="323" t="s">
        <v>495</v>
      </c>
      <c r="B63" s="323"/>
      <c r="C63" s="323"/>
      <c r="D63" s="323"/>
      <c r="E63" s="323"/>
      <c r="F63" s="323"/>
      <c r="G63" s="323"/>
    </row>
    <row r="64" spans="1:7" ht="15.75">
      <c r="A64" s="323" t="s">
        <v>496</v>
      </c>
      <c r="B64" s="323"/>
      <c r="C64" s="323"/>
      <c r="D64" s="323"/>
      <c r="E64" s="323"/>
      <c r="F64" s="323"/>
      <c r="G64" s="323"/>
    </row>
    <row r="66" spans="1:6" ht="15.75">
      <c r="A66" s="327" t="s">
        <v>459</v>
      </c>
      <c r="B66" s="323"/>
      <c r="C66" s="323"/>
      <c r="D66" s="323"/>
      <c r="E66" s="323"/>
      <c r="F66" s="323"/>
    </row>
    <row r="67" spans="1:6" ht="15.75">
      <c r="A67" s="327" t="s">
        <v>460</v>
      </c>
      <c r="B67" s="323"/>
      <c r="C67" s="323"/>
      <c r="D67" s="323"/>
      <c r="E67" s="323"/>
      <c r="F67" s="323"/>
    </row>
    <row r="68" spans="1:6" ht="15.75">
      <c r="A68" s="327" t="s">
        <v>461</v>
      </c>
      <c r="B68" s="323"/>
      <c r="C68" s="323"/>
      <c r="D68" s="323"/>
      <c r="E68" s="323"/>
      <c r="F68" s="323"/>
    </row>
    <row r="69" spans="1:6" ht="15.75">
      <c r="A69" s="327" t="s">
        <v>462</v>
      </c>
      <c r="B69" s="323"/>
      <c r="C69" s="323"/>
      <c r="D69" s="323"/>
      <c r="E69" s="323"/>
      <c r="F69" s="323"/>
    </row>
    <row r="70" spans="1:6" ht="15.75">
      <c r="A70" s="327" t="s">
        <v>463</v>
      </c>
      <c r="B70" s="323"/>
      <c r="C70" s="323"/>
      <c r="D70" s="323"/>
      <c r="E70" s="323"/>
      <c r="F70" s="323"/>
    </row>
    <row r="71" ht="15.75">
      <c r="A71" s="323"/>
    </row>
    <row r="72" ht="15.75">
      <c r="A72" s="323" t="s">
        <v>380</v>
      </c>
    </row>
    <row r="73" ht="15.75">
      <c r="A73" s="323"/>
    </row>
    <row r="74" ht="15.75">
      <c r="A74" s="323"/>
    </row>
    <row r="75" ht="15.75">
      <c r="A75" s="323"/>
    </row>
    <row r="78" ht="15.75">
      <c r="A78" s="324"/>
    </row>
    <row r="80" ht="15.75">
      <c r="A80" s="323"/>
    </row>
    <row r="81" ht="15.75">
      <c r="A81" s="323"/>
    </row>
    <row r="82" ht="15.75">
      <c r="A82" s="323"/>
    </row>
    <row r="83" ht="15.75">
      <c r="A83" s="323"/>
    </row>
    <row r="84" ht="15.75">
      <c r="A84" s="323"/>
    </row>
    <row r="85" ht="15.75">
      <c r="A85" s="323"/>
    </row>
    <row r="86" ht="15.75">
      <c r="A86" s="323"/>
    </row>
    <row r="87" ht="15.75">
      <c r="A87" s="323"/>
    </row>
    <row r="88" ht="15.75">
      <c r="A88" s="323"/>
    </row>
    <row r="89" ht="15.75">
      <c r="A89" s="323"/>
    </row>
    <row r="90" ht="15.75">
      <c r="A90" s="323"/>
    </row>
    <row r="92" ht="15.75">
      <c r="A92" s="323"/>
    </row>
    <row r="93" ht="15.75">
      <c r="A93" s="323"/>
    </row>
    <row r="94" ht="15.75">
      <c r="A94" s="323"/>
    </row>
    <row r="95" ht="15.75">
      <c r="A95" s="323"/>
    </row>
    <row r="96" ht="15.75">
      <c r="A96" s="323"/>
    </row>
    <row r="97" ht="15.75">
      <c r="A97" s="323"/>
    </row>
    <row r="98" ht="15.75">
      <c r="A98" s="323"/>
    </row>
    <row r="99" ht="15.75">
      <c r="A99" s="323"/>
    </row>
    <row r="100" ht="15.75">
      <c r="A100" s="323"/>
    </row>
    <row r="101" ht="15.75">
      <c r="A101" s="323"/>
    </row>
    <row r="102" ht="15.75">
      <c r="A102" s="323"/>
    </row>
    <row r="103" ht="15.75">
      <c r="A103" s="323"/>
    </row>
    <row r="104" ht="15.75">
      <c r="A104" s="323"/>
    </row>
    <row r="105" ht="15.75">
      <c r="A105" s="323"/>
    </row>
    <row r="106" ht="15.75">
      <c r="A106" s="323"/>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M117" sqref="M117"/>
    </sheetView>
  </sheetViews>
  <sheetFormatPr defaultColWidth="8.796875" defaultRowHeight="15.75"/>
  <cols>
    <col min="1" max="1" width="64.19921875" style="0" customWidth="1"/>
  </cols>
  <sheetData>
    <row r="3" spans="1:7" ht="15.75">
      <c r="A3" s="322" t="s">
        <v>497</v>
      </c>
      <c r="B3" s="322"/>
      <c r="C3" s="322"/>
      <c r="D3" s="322"/>
      <c r="E3" s="322"/>
      <c r="F3" s="322"/>
      <c r="G3" s="322"/>
    </row>
    <row r="4" spans="1:7" ht="15.75">
      <c r="A4" s="322" t="s">
        <v>498</v>
      </c>
      <c r="B4" s="322"/>
      <c r="C4" s="322"/>
      <c r="D4" s="322"/>
      <c r="E4" s="322"/>
      <c r="F4" s="322"/>
      <c r="G4" s="322"/>
    </row>
    <row r="5" spans="1:7" ht="15.75">
      <c r="A5" s="322"/>
      <c r="B5" s="322"/>
      <c r="C5" s="322"/>
      <c r="D5" s="322"/>
      <c r="E5" s="322"/>
      <c r="F5" s="322"/>
      <c r="G5" s="322"/>
    </row>
    <row r="6" spans="1:7" ht="15.75">
      <c r="A6" s="322"/>
      <c r="B6" s="322"/>
      <c r="C6" s="322"/>
      <c r="D6" s="322"/>
      <c r="E6" s="322"/>
      <c r="F6" s="322"/>
      <c r="G6" s="322"/>
    </row>
    <row r="7" ht="15.75">
      <c r="A7" s="323" t="s">
        <v>325</v>
      </c>
    </row>
    <row r="8" ht="15.75">
      <c r="A8" s="323" t="str">
        <f>CONCATENATE("estimated ",inputPrYr!D7," 'total expenditures' exceed your ",inputPrYr!D7,"")</f>
        <v>estimated  'total expenditures' exceed your </v>
      </c>
    </row>
    <row r="9" ht="15.75">
      <c r="A9" s="326" t="s">
        <v>499</v>
      </c>
    </row>
    <row r="10" ht="15.75">
      <c r="A10" s="323"/>
    </row>
    <row r="11" ht="15.75">
      <c r="A11" s="323" t="s">
        <v>500</v>
      </c>
    </row>
    <row r="12" ht="15.75">
      <c r="A12" s="323" t="s">
        <v>501</v>
      </c>
    </row>
    <row r="13" ht="15.75">
      <c r="A13" s="323" t="s">
        <v>502</v>
      </c>
    </row>
    <row r="14" ht="15.75">
      <c r="A14" s="323"/>
    </row>
    <row r="15" ht="15.75">
      <c r="A15" s="324" t="s">
        <v>503</v>
      </c>
    </row>
    <row r="16" spans="1:7" ht="15.75">
      <c r="A16" s="322"/>
      <c r="B16" s="322"/>
      <c r="C16" s="322"/>
      <c r="D16" s="322"/>
      <c r="E16" s="322"/>
      <c r="F16" s="322"/>
      <c r="G16" s="322"/>
    </row>
    <row r="17" spans="1:8" ht="15.75">
      <c r="A17" s="329" t="s">
        <v>504</v>
      </c>
      <c r="B17" s="314"/>
      <c r="C17" s="314"/>
      <c r="D17" s="314"/>
      <c r="E17" s="314"/>
      <c r="F17" s="314"/>
      <c r="G17" s="314"/>
      <c r="H17" s="314"/>
    </row>
    <row r="18" spans="1:7" ht="15.75">
      <c r="A18" s="323" t="s">
        <v>505</v>
      </c>
      <c r="B18" s="330"/>
      <c r="C18" s="330"/>
      <c r="D18" s="330"/>
      <c r="E18" s="330"/>
      <c r="F18" s="330"/>
      <c r="G18" s="330"/>
    </row>
    <row r="19" ht="15.75">
      <c r="A19" s="323" t="s">
        <v>506</v>
      </c>
    </row>
    <row r="20" ht="15.75">
      <c r="A20" s="323" t="s">
        <v>507</v>
      </c>
    </row>
    <row r="22" ht="15.75">
      <c r="A22" s="324" t="s">
        <v>508</v>
      </c>
    </row>
    <row r="24" ht="15.75">
      <c r="A24" s="323" t="s">
        <v>509</v>
      </c>
    </row>
    <row r="25" ht="15.75">
      <c r="A25" s="323" t="s">
        <v>510</v>
      </c>
    </row>
    <row r="26" ht="15.75">
      <c r="A26" s="323" t="s">
        <v>511</v>
      </c>
    </row>
    <row r="28" ht="15.75">
      <c r="A28" s="324" t="s">
        <v>512</v>
      </c>
    </row>
    <row r="30" ht="15.75">
      <c r="A30" t="s">
        <v>513</v>
      </c>
    </row>
    <row r="31" ht="15.75">
      <c r="A31" t="s">
        <v>514</v>
      </c>
    </row>
    <row r="32" ht="15.75">
      <c r="A32" t="s">
        <v>515</v>
      </c>
    </row>
    <row r="33" ht="15.75">
      <c r="A33" s="323" t="s">
        <v>516</v>
      </c>
    </row>
    <row r="35" ht="15.75">
      <c r="A35" t="s">
        <v>517</v>
      </c>
    </row>
    <row r="36" ht="15.75">
      <c r="A36" t="s">
        <v>518</v>
      </c>
    </row>
    <row r="37" ht="15.75">
      <c r="A37" t="s">
        <v>519</v>
      </c>
    </row>
    <row r="38" ht="15.75">
      <c r="A38" t="s">
        <v>520</v>
      </c>
    </row>
    <row r="40" ht="15.75">
      <c r="A40" t="s">
        <v>521</v>
      </c>
    </row>
    <row r="41" ht="15.75">
      <c r="A41" t="s">
        <v>522</v>
      </c>
    </row>
    <row r="42" ht="15.75">
      <c r="A42" t="s">
        <v>523</v>
      </c>
    </row>
    <row r="43" ht="15.75">
      <c r="A43" t="s">
        <v>524</v>
      </c>
    </row>
    <row r="44" ht="15.75">
      <c r="A44" t="s">
        <v>525</v>
      </c>
    </row>
    <row r="45" ht="15.75">
      <c r="A45" t="s">
        <v>526</v>
      </c>
    </row>
    <row r="47" ht="15.75">
      <c r="A47" t="s">
        <v>527</v>
      </c>
    </row>
    <row r="48" ht="15.75">
      <c r="A48" t="s">
        <v>528</v>
      </c>
    </row>
    <row r="49" ht="15.75">
      <c r="A49" s="323" t="s">
        <v>529</v>
      </c>
    </row>
    <row r="50" ht="15.75">
      <c r="A50" s="323" t="s">
        <v>530</v>
      </c>
    </row>
    <row r="52" ht="15.75">
      <c r="A52" t="s">
        <v>380</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
      <selection activeCell="U207" sqref="U207"/>
    </sheetView>
  </sheetViews>
  <sheetFormatPr defaultColWidth="8.796875" defaultRowHeight="15.75"/>
  <cols>
    <col min="1" max="1" width="6.796875" style="426" customWidth="1"/>
    <col min="2" max="2" width="10.09765625" style="425" customWidth="1"/>
    <col min="3" max="3" width="6.69921875" style="425" customWidth="1"/>
    <col min="4" max="4" width="8.796875" style="425" customWidth="1"/>
    <col min="5" max="5" width="1.390625" style="425" customWidth="1"/>
    <col min="6" max="6" width="12.8984375" style="425" customWidth="1"/>
    <col min="7" max="7" width="2.296875" style="425" customWidth="1"/>
    <col min="8" max="8" width="8.796875" style="425" customWidth="1"/>
    <col min="9" max="9" width="1.796875" style="425" customWidth="1"/>
    <col min="10" max="10" width="7.69921875" style="425" customWidth="1"/>
    <col min="11" max="11" width="10.5" style="425" customWidth="1"/>
    <col min="12" max="12" width="6.796875" style="426" customWidth="1"/>
    <col min="13" max="14" width="8.796875" style="426" customWidth="1"/>
    <col min="15" max="15" width="8.8984375" style="426" bestFit="1" customWidth="1"/>
    <col min="16" max="16384" width="8.796875" style="426"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977" t="s">
        <v>813</v>
      </c>
      <c r="C6" s="978"/>
      <c r="D6" s="978"/>
      <c r="E6" s="978"/>
      <c r="F6" s="978"/>
      <c r="G6" s="978"/>
      <c r="H6" s="978"/>
      <c r="I6" s="978"/>
      <c r="J6" s="978"/>
      <c r="K6" s="978"/>
      <c r="L6" s="424"/>
    </row>
    <row r="7" spans="1:12" ht="40.5" customHeight="1">
      <c r="A7" s="427"/>
      <c r="B7" s="979" t="s">
        <v>547</v>
      </c>
      <c r="C7" s="980"/>
      <c r="D7" s="980"/>
      <c r="E7" s="980"/>
      <c r="F7" s="980"/>
      <c r="G7" s="980"/>
      <c r="H7" s="980"/>
      <c r="I7" s="980"/>
      <c r="J7" s="980"/>
      <c r="K7" s="980"/>
      <c r="L7" s="427"/>
    </row>
    <row r="8" spans="1:12" ht="14.25">
      <c r="A8" s="427"/>
      <c r="B8" s="981" t="s">
        <v>548</v>
      </c>
      <c r="C8" s="981"/>
      <c r="D8" s="981"/>
      <c r="E8" s="981"/>
      <c r="F8" s="981"/>
      <c r="G8" s="981"/>
      <c r="H8" s="981"/>
      <c r="I8" s="981"/>
      <c r="J8" s="981"/>
      <c r="K8" s="981"/>
      <c r="L8" s="427"/>
    </row>
    <row r="9" spans="1:12" ht="14.25">
      <c r="A9" s="427"/>
      <c r="L9" s="427"/>
    </row>
    <row r="10" spans="1:12" ht="14.25">
      <c r="A10" s="427"/>
      <c r="B10" s="981" t="s">
        <v>549</v>
      </c>
      <c r="C10" s="981"/>
      <c r="D10" s="981"/>
      <c r="E10" s="981"/>
      <c r="F10" s="981"/>
      <c r="G10" s="981"/>
      <c r="H10" s="981"/>
      <c r="I10" s="981"/>
      <c r="J10" s="981"/>
      <c r="K10" s="981"/>
      <c r="L10" s="427"/>
    </row>
    <row r="11" spans="1:12" ht="14.25">
      <c r="A11" s="427"/>
      <c r="B11" s="495"/>
      <c r="C11" s="495"/>
      <c r="D11" s="495"/>
      <c r="E11" s="495"/>
      <c r="F11" s="495"/>
      <c r="G11" s="495"/>
      <c r="H11" s="495"/>
      <c r="I11" s="495"/>
      <c r="J11" s="495"/>
      <c r="K11" s="495"/>
      <c r="L11" s="427"/>
    </row>
    <row r="12" spans="1:12" ht="32.25" customHeight="1">
      <c r="A12" s="427"/>
      <c r="B12" s="982" t="s">
        <v>550</v>
      </c>
      <c r="C12" s="982"/>
      <c r="D12" s="982"/>
      <c r="E12" s="982"/>
      <c r="F12" s="982"/>
      <c r="G12" s="982"/>
      <c r="H12" s="982"/>
      <c r="I12" s="982"/>
      <c r="J12" s="982"/>
      <c r="K12" s="982"/>
      <c r="L12" s="427"/>
    </row>
    <row r="13" spans="1:12" ht="14.25">
      <c r="A13" s="427"/>
      <c r="L13" s="427"/>
    </row>
    <row r="14" spans="1:12" ht="14.25">
      <c r="A14" s="427"/>
      <c r="B14" s="423" t="s">
        <v>551</v>
      </c>
      <c r="L14" s="427"/>
    </row>
    <row r="15" spans="1:12" ht="14.25">
      <c r="A15" s="427"/>
      <c r="L15" s="427"/>
    </row>
    <row r="16" spans="1:12" ht="14.25">
      <c r="A16" s="427"/>
      <c r="B16" s="425" t="s">
        <v>552</v>
      </c>
      <c r="L16" s="427"/>
    </row>
    <row r="17" spans="1:12" ht="14.25">
      <c r="A17" s="427"/>
      <c r="B17" s="425" t="s">
        <v>553</v>
      </c>
      <c r="L17" s="427"/>
    </row>
    <row r="18" spans="1:12" ht="14.25">
      <c r="A18" s="427"/>
      <c r="L18" s="427"/>
    </row>
    <row r="19" spans="1:12" ht="14.25">
      <c r="A19" s="427"/>
      <c r="B19" s="423" t="s">
        <v>554</v>
      </c>
      <c r="L19" s="427"/>
    </row>
    <row r="20" spans="1:12" ht="14.25">
      <c r="A20" s="427"/>
      <c r="B20" s="423"/>
      <c r="L20" s="427"/>
    </row>
    <row r="21" spans="1:12" ht="14.25">
      <c r="A21" s="427"/>
      <c r="B21" s="425" t="s">
        <v>555</v>
      </c>
      <c r="L21" s="427"/>
    </row>
    <row r="22" spans="1:12" ht="14.25">
      <c r="A22" s="427"/>
      <c r="L22" s="427"/>
    </row>
    <row r="23" spans="1:12" ht="14.25">
      <c r="A23" s="427"/>
      <c r="B23" s="425" t="s">
        <v>556</v>
      </c>
      <c r="E23" s="425" t="s">
        <v>557</v>
      </c>
      <c r="F23" s="983">
        <v>3120000</v>
      </c>
      <c r="G23" s="983"/>
      <c r="L23" s="427"/>
    </row>
    <row r="24" spans="1:12" ht="14.25">
      <c r="A24" s="427"/>
      <c r="L24" s="427"/>
    </row>
    <row r="25" spans="1:12" ht="14.25">
      <c r="A25" s="427"/>
      <c r="C25" s="984">
        <f>F23</f>
        <v>3120000</v>
      </c>
      <c r="D25" s="984"/>
      <c r="E25" s="425" t="s">
        <v>558</v>
      </c>
      <c r="F25" s="422">
        <v>1000</v>
      </c>
      <c r="G25" s="422" t="s">
        <v>557</v>
      </c>
      <c r="H25" s="743">
        <f>F23/F25</f>
        <v>3120</v>
      </c>
      <c r="L25" s="427"/>
    </row>
    <row r="26" spans="1:12" ht="15" thickBot="1">
      <c r="A26" s="427"/>
      <c r="L26" s="427"/>
    </row>
    <row r="27" spans="1:12" ht="14.25">
      <c r="A27" s="427"/>
      <c r="B27" s="421" t="s">
        <v>551</v>
      </c>
      <c r="C27" s="420"/>
      <c r="D27" s="420"/>
      <c r="E27" s="420"/>
      <c r="F27" s="420"/>
      <c r="G27" s="420"/>
      <c r="H27" s="420"/>
      <c r="I27" s="420"/>
      <c r="J27" s="420"/>
      <c r="K27" s="419"/>
      <c r="L27" s="427"/>
    </row>
    <row r="28" spans="1:12" ht="14.25">
      <c r="A28" s="427"/>
      <c r="B28" s="418">
        <f>F23</f>
        <v>3120000</v>
      </c>
      <c r="C28" s="417" t="s">
        <v>559</v>
      </c>
      <c r="D28" s="417"/>
      <c r="E28" s="417" t="s">
        <v>558</v>
      </c>
      <c r="F28" s="492">
        <v>1000</v>
      </c>
      <c r="G28" s="492" t="s">
        <v>557</v>
      </c>
      <c r="H28" s="744">
        <f>B28/F28</f>
        <v>3120</v>
      </c>
      <c r="I28" s="417" t="s">
        <v>560</v>
      </c>
      <c r="J28" s="417"/>
      <c r="K28" s="416"/>
      <c r="L28" s="427"/>
    </row>
    <row r="29" spans="1:12" ht="15" thickBot="1">
      <c r="A29" s="427"/>
      <c r="B29" s="415"/>
      <c r="C29" s="414"/>
      <c r="D29" s="414"/>
      <c r="E29" s="414"/>
      <c r="F29" s="414"/>
      <c r="G29" s="414"/>
      <c r="H29" s="414"/>
      <c r="I29" s="414"/>
      <c r="J29" s="414"/>
      <c r="K29" s="413"/>
      <c r="L29" s="427"/>
    </row>
    <row r="30" spans="1:12" ht="40.5" customHeight="1">
      <c r="A30" s="427"/>
      <c r="B30" s="985" t="s">
        <v>547</v>
      </c>
      <c r="C30" s="985"/>
      <c r="D30" s="985"/>
      <c r="E30" s="985"/>
      <c r="F30" s="985"/>
      <c r="G30" s="985"/>
      <c r="H30" s="985"/>
      <c r="I30" s="985"/>
      <c r="J30" s="985"/>
      <c r="K30" s="985"/>
      <c r="L30" s="427"/>
    </row>
    <row r="31" spans="1:12" ht="14.25">
      <c r="A31" s="427"/>
      <c r="B31" s="981" t="s">
        <v>561</v>
      </c>
      <c r="C31" s="981"/>
      <c r="D31" s="981"/>
      <c r="E31" s="981"/>
      <c r="F31" s="981"/>
      <c r="G31" s="981"/>
      <c r="H31" s="981"/>
      <c r="I31" s="981"/>
      <c r="J31" s="981"/>
      <c r="K31" s="981"/>
      <c r="L31" s="427"/>
    </row>
    <row r="32" spans="1:12" ht="14.25">
      <c r="A32" s="427"/>
      <c r="L32" s="427"/>
    </row>
    <row r="33" spans="1:12" ht="14.25">
      <c r="A33" s="427"/>
      <c r="B33" s="981" t="s">
        <v>562</v>
      </c>
      <c r="C33" s="981"/>
      <c r="D33" s="981"/>
      <c r="E33" s="981"/>
      <c r="F33" s="981"/>
      <c r="G33" s="981"/>
      <c r="H33" s="981"/>
      <c r="I33" s="981"/>
      <c r="J33" s="981"/>
      <c r="K33" s="981"/>
      <c r="L33" s="427"/>
    </row>
    <row r="34" spans="1:12" ht="14.25">
      <c r="A34" s="427"/>
      <c r="L34" s="427"/>
    </row>
    <row r="35" spans="1:12" ht="89.25" customHeight="1">
      <c r="A35" s="427"/>
      <c r="B35" s="982" t="s">
        <v>563</v>
      </c>
      <c r="C35" s="986"/>
      <c r="D35" s="986"/>
      <c r="E35" s="986"/>
      <c r="F35" s="986"/>
      <c r="G35" s="986"/>
      <c r="H35" s="986"/>
      <c r="I35" s="986"/>
      <c r="J35" s="986"/>
      <c r="K35" s="986"/>
      <c r="L35" s="427"/>
    </row>
    <row r="36" spans="1:12" ht="14.25">
      <c r="A36" s="427"/>
      <c r="L36" s="427"/>
    </row>
    <row r="37" spans="1:12" ht="14.25">
      <c r="A37" s="427"/>
      <c r="B37" s="423" t="s">
        <v>564</v>
      </c>
      <c r="L37" s="427"/>
    </row>
    <row r="38" spans="1:12" ht="14.25">
      <c r="A38" s="427"/>
      <c r="L38" s="427"/>
    </row>
    <row r="39" spans="1:12" ht="14.25">
      <c r="A39" s="427"/>
      <c r="B39" s="425" t="s">
        <v>565</v>
      </c>
      <c r="L39" s="427"/>
    </row>
    <row r="40" spans="1:12" ht="14.25">
      <c r="A40" s="427"/>
      <c r="L40" s="427"/>
    </row>
    <row r="41" spans="1:12" ht="14.25">
      <c r="A41" s="427"/>
      <c r="C41" s="987">
        <v>3120000</v>
      </c>
      <c r="D41" s="987"/>
      <c r="E41" s="425" t="s">
        <v>558</v>
      </c>
      <c r="F41" s="422">
        <v>1000</v>
      </c>
      <c r="G41" s="422" t="s">
        <v>557</v>
      </c>
      <c r="H41" s="745">
        <f>C41/F41</f>
        <v>3120</v>
      </c>
      <c r="L41" s="427"/>
    </row>
    <row r="42" spans="1:12" ht="14.25">
      <c r="A42" s="427"/>
      <c r="L42" s="427"/>
    </row>
    <row r="43" spans="1:12" ht="14.25">
      <c r="A43" s="427"/>
      <c r="B43" s="425" t="s">
        <v>566</v>
      </c>
      <c r="L43" s="427"/>
    </row>
    <row r="44" spans="1:12" ht="14.25">
      <c r="A44" s="427"/>
      <c r="L44" s="427"/>
    </row>
    <row r="45" spans="1:12" ht="14.25">
      <c r="A45" s="427"/>
      <c r="B45" s="425" t="s">
        <v>567</v>
      </c>
      <c r="L45" s="427"/>
    </row>
    <row r="46" spans="1:12" ht="15" thickBot="1">
      <c r="A46" s="427"/>
      <c r="L46" s="427"/>
    </row>
    <row r="47" spans="1:12" ht="14.25">
      <c r="A47" s="427"/>
      <c r="B47" s="412" t="s">
        <v>551</v>
      </c>
      <c r="C47" s="420"/>
      <c r="D47" s="420"/>
      <c r="E47" s="420"/>
      <c r="F47" s="420"/>
      <c r="G47" s="420"/>
      <c r="H47" s="420"/>
      <c r="I47" s="420"/>
      <c r="J47" s="420"/>
      <c r="K47" s="419"/>
      <c r="L47" s="427"/>
    </row>
    <row r="48" spans="1:12" ht="14.25">
      <c r="A48" s="427"/>
      <c r="B48" s="983">
        <v>3120000</v>
      </c>
      <c r="C48" s="983"/>
      <c r="D48" s="417" t="s">
        <v>568</v>
      </c>
      <c r="E48" s="417" t="s">
        <v>558</v>
      </c>
      <c r="F48" s="492">
        <v>1000</v>
      </c>
      <c r="G48" s="492" t="s">
        <v>557</v>
      </c>
      <c r="H48" s="744">
        <f>B48/F48</f>
        <v>3120</v>
      </c>
      <c r="I48" s="417" t="s">
        <v>569</v>
      </c>
      <c r="J48" s="417"/>
      <c r="K48" s="416"/>
      <c r="L48" s="427"/>
    </row>
    <row r="49" spans="1:12" ht="14.25">
      <c r="A49" s="427"/>
      <c r="B49" s="411"/>
      <c r="C49" s="417"/>
      <c r="D49" s="417"/>
      <c r="E49" s="417"/>
      <c r="F49" s="417"/>
      <c r="G49" s="417"/>
      <c r="H49" s="417"/>
      <c r="I49" s="417"/>
      <c r="J49" s="417"/>
      <c r="K49" s="416"/>
      <c r="L49" s="427"/>
    </row>
    <row r="50" spans="1:12" ht="14.25">
      <c r="A50" s="427"/>
      <c r="B50" s="410">
        <v>7067793</v>
      </c>
      <c r="C50" s="417" t="s">
        <v>570</v>
      </c>
      <c r="D50" s="417"/>
      <c r="E50" s="417" t="s">
        <v>558</v>
      </c>
      <c r="F50" s="744">
        <f>H48</f>
        <v>3120</v>
      </c>
      <c r="G50" s="988" t="s">
        <v>571</v>
      </c>
      <c r="H50" s="989"/>
      <c r="I50" s="492" t="s">
        <v>557</v>
      </c>
      <c r="J50" s="409">
        <f>B50/F50</f>
        <v>2265.318269230769</v>
      </c>
      <c r="K50" s="416"/>
      <c r="L50" s="427"/>
    </row>
    <row r="51" spans="1:15" ht="15" thickBot="1">
      <c r="A51" s="427"/>
      <c r="B51" s="415"/>
      <c r="C51" s="414"/>
      <c r="D51" s="414"/>
      <c r="E51" s="414"/>
      <c r="F51" s="414"/>
      <c r="G51" s="414"/>
      <c r="H51" s="414"/>
      <c r="I51" s="990" t="s">
        <v>572</v>
      </c>
      <c r="J51" s="990"/>
      <c r="K51" s="991"/>
      <c r="L51" s="427"/>
      <c r="O51" s="408"/>
    </row>
    <row r="52" spans="1:12" ht="40.5" customHeight="1">
      <c r="A52" s="427"/>
      <c r="B52" s="985" t="s">
        <v>547</v>
      </c>
      <c r="C52" s="985"/>
      <c r="D52" s="985"/>
      <c r="E52" s="985"/>
      <c r="F52" s="985"/>
      <c r="G52" s="985"/>
      <c r="H52" s="985"/>
      <c r="I52" s="985"/>
      <c r="J52" s="985"/>
      <c r="K52" s="985"/>
      <c r="L52" s="427"/>
    </row>
    <row r="53" spans="1:12" ht="14.25">
      <c r="A53" s="427"/>
      <c r="B53" s="981" t="s">
        <v>573</v>
      </c>
      <c r="C53" s="981"/>
      <c r="D53" s="981"/>
      <c r="E53" s="981"/>
      <c r="F53" s="981"/>
      <c r="G53" s="981"/>
      <c r="H53" s="981"/>
      <c r="I53" s="981"/>
      <c r="J53" s="981"/>
      <c r="K53" s="981"/>
      <c r="L53" s="427"/>
    </row>
    <row r="54" spans="1:12" ht="14.25">
      <c r="A54" s="427"/>
      <c r="B54" s="495"/>
      <c r="C54" s="495"/>
      <c r="D54" s="495"/>
      <c r="E54" s="495"/>
      <c r="F54" s="495"/>
      <c r="G54" s="495"/>
      <c r="H54" s="495"/>
      <c r="I54" s="495"/>
      <c r="J54" s="495"/>
      <c r="K54" s="495"/>
      <c r="L54" s="427"/>
    </row>
    <row r="55" spans="1:12" ht="14.25">
      <c r="A55" s="427"/>
      <c r="B55" s="992" t="s">
        <v>574</v>
      </c>
      <c r="C55" s="992"/>
      <c r="D55" s="992"/>
      <c r="E55" s="992"/>
      <c r="F55" s="992"/>
      <c r="G55" s="992"/>
      <c r="H55" s="992"/>
      <c r="I55" s="992"/>
      <c r="J55" s="992"/>
      <c r="K55" s="992"/>
      <c r="L55" s="427"/>
    </row>
    <row r="56" spans="1:12" ht="15" customHeight="1">
      <c r="A56" s="427"/>
      <c r="L56" s="427"/>
    </row>
    <row r="57" spans="1:24" ht="74.25" customHeight="1">
      <c r="A57" s="427"/>
      <c r="B57" s="982" t="s">
        <v>575</v>
      </c>
      <c r="C57" s="986"/>
      <c r="D57" s="986"/>
      <c r="E57" s="986"/>
      <c r="F57" s="986"/>
      <c r="G57" s="986"/>
      <c r="H57" s="986"/>
      <c r="I57" s="986"/>
      <c r="J57" s="986"/>
      <c r="K57" s="986"/>
      <c r="L57" s="427"/>
      <c r="M57" s="407"/>
      <c r="N57" s="406"/>
      <c r="O57" s="406"/>
      <c r="P57" s="406"/>
      <c r="Q57" s="406"/>
      <c r="R57" s="406"/>
      <c r="S57" s="406"/>
      <c r="T57" s="406"/>
      <c r="U57" s="406"/>
      <c r="V57" s="406"/>
      <c r="W57" s="406"/>
      <c r="X57" s="406"/>
    </row>
    <row r="58" spans="1:24" ht="15" customHeight="1">
      <c r="A58" s="427"/>
      <c r="B58" s="982"/>
      <c r="C58" s="986"/>
      <c r="D58" s="986"/>
      <c r="E58" s="986"/>
      <c r="F58" s="986"/>
      <c r="G58" s="986"/>
      <c r="H58" s="986"/>
      <c r="I58" s="986"/>
      <c r="J58" s="986"/>
      <c r="K58" s="986"/>
      <c r="L58" s="427"/>
      <c r="M58" s="407"/>
      <c r="N58" s="406"/>
      <c r="O58" s="406"/>
      <c r="P58" s="406"/>
      <c r="Q58" s="406"/>
      <c r="R58" s="406"/>
      <c r="S58" s="406"/>
      <c r="T58" s="406"/>
      <c r="U58" s="406"/>
      <c r="V58" s="406"/>
      <c r="W58" s="406"/>
      <c r="X58" s="406"/>
    </row>
    <row r="59" spans="1:24" ht="14.25">
      <c r="A59" s="427"/>
      <c r="B59" s="423" t="s">
        <v>564</v>
      </c>
      <c r="L59" s="427"/>
      <c r="M59" s="406"/>
      <c r="N59" s="406"/>
      <c r="O59" s="406"/>
      <c r="P59" s="406"/>
      <c r="Q59" s="406"/>
      <c r="R59" s="406"/>
      <c r="S59" s="406"/>
      <c r="T59" s="406"/>
      <c r="U59" s="406"/>
      <c r="V59" s="406"/>
      <c r="W59" s="406"/>
      <c r="X59" s="406"/>
    </row>
    <row r="60" spans="1:24" ht="14.25">
      <c r="A60" s="427"/>
      <c r="L60" s="427"/>
      <c r="M60" s="406"/>
      <c r="N60" s="406"/>
      <c r="O60" s="406"/>
      <c r="P60" s="406"/>
      <c r="Q60" s="406"/>
      <c r="R60" s="406"/>
      <c r="S60" s="406"/>
      <c r="T60" s="406"/>
      <c r="U60" s="406"/>
      <c r="V60" s="406"/>
      <c r="W60" s="406"/>
      <c r="X60" s="406"/>
    </row>
    <row r="61" spans="1:24" ht="14.25">
      <c r="A61" s="427"/>
      <c r="B61" s="425" t="s">
        <v>576</v>
      </c>
      <c r="L61" s="427"/>
      <c r="M61" s="406"/>
      <c r="N61" s="406"/>
      <c r="O61" s="406"/>
      <c r="P61" s="406"/>
      <c r="Q61" s="406"/>
      <c r="R61" s="406"/>
      <c r="S61" s="406"/>
      <c r="T61" s="406"/>
      <c r="U61" s="406"/>
      <c r="V61" s="406"/>
      <c r="W61" s="406"/>
      <c r="X61" s="406"/>
    </row>
    <row r="62" spans="1:24" ht="14.25">
      <c r="A62" s="427"/>
      <c r="B62" s="425" t="s">
        <v>577</v>
      </c>
      <c r="L62" s="427"/>
      <c r="M62" s="406"/>
      <c r="N62" s="406"/>
      <c r="O62" s="406"/>
      <c r="P62" s="406"/>
      <c r="Q62" s="406"/>
      <c r="R62" s="406"/>
      <c r="S62" s="406"/>
      <c r="T62" s="406"/>
      <c r="U62" s="406"/>
      <c r="V62" s="406"/>
      <c r="W62" s="406"/>
      <c r="X62" s="406"/>
    </row>
    <row r="63" spans="1:24" ht="14.25">
      <c r="A63" s="427"/>
      <c r="B63" s="425" t="s">
        <v>578</v>
      </c>
      <c r="L63" s="427"/>
      <c r="M63" s="406"/>
      <c r="N63" s="406"/>
      <c r="O63" s="406"/>
      <c r="P63" s="406"/>
      <c r="Q63" s="406"/>
      <c r="R63" s="406"/>
      <c r="S63" s="406"/>
      <c r="T63" s="406"/>
      <c r="U63" s="406"/>
      <c r="V63" s="406"/>
      <c r="W63" s="406"/>
      <c r="X63" s="406"/>
    </row>
    <row r="64" spans="1:24" ht="14.25">
      <c r="A64" s="427"/>
      <c r="L64" s="427"/>
      <c r="M64" s="406"/>
      <c r="N64" s="406"/>
      <c r="O64" s="406"/>
      <c r="P64" s="406"/>
      <c r="Q64" s="406"/>
      <c r="R64" s="406"/>
      <c r="S64" s="406"/>
      <c r="T64" s="406"/>
      <c r="U64" s="406"/>
      <c r="V64" s="406"/>
      <c r="W64" s="406"/>
      <c r="X64" s="406"/>
    </row>
    <row r="65" spans="1:24" ht="14.25">
      <c r="A65" s="427"/>
      <c r="B65" s="425" t="s">
        <v>579</v>
      </c>
      <c r="L65" s="427"/>
      <c r="M65" s="406"/>
      <c r="N65" s="406"/>
      <c r="O65" s="406"/>
      <c r="P65" s="406"/>
      <c r="Q65" s="406"/>
      <c r="R65" s="406"/>
      <c r="S65" s="406"/>
      <c r="T65" s="406"/>
      <c r="U65" s="406"/>
      <c r="V65" s="406"/>
      <c r="W65" s="406"/>
      <c r="X65" s="406"/>
    </row>
    <row r="66" spans="1:24" ht="14.25">
      <c r="A66" s="427"/>
      <c r="B66" s="425" t="s">
        <v>580</v>
      </c>
      <c r="L66" s="427"/>
      <c r="M66" s="406"/>
      <c r="N66" s="406"/>
      <c r="O66" s="406"/>
      <c r="P66" s="406"/>
      <c r="Q66" s="406"/>
      <c r="R66" s="406"/>
      <c r="S66" s="406"/>
      <c r="T66" s="406"/>
      <c r="U66" s="406"/>
      <c r="V66" s="406"/>
      <c r="W66" s="406"/>
      <c r="X66" s="406"/>
    </row>
    <row r="67" spans="1:24" ht="14.25">
      <c r="A67" s="427"/>
      <c r="L67" s="427"/>
      <c r="M67" s="406"/>
      <c r="N67" s="406"/>
      <c r="O67" s="406"/>
      <c r="P67" s="406"/>
      <c r="Q67" s="406"/>
      <c r="R67" s="406"/>
      <c r="S67" s="406"/>
      <c r="T67" s="406"/>
      <c r="U67" s="406"/>
      <c r="V67" s="406"/>
      <c r="W67" s="406"/>
      <c r="X67" s="406"/>
    </row>
    <row r="68" spans="1:24" ht="14.25">
      <c r="A68" s="427"/>
      <c r="B68" s="425" t="s">
        <v>581</v>
      </c>
      <c r="L68" s="427"/>
      <c r="M68" s="405"/>
      <c r="N68" s="404"/>
      <c r="O68" s="404"/>
      <c r="P68" s="404"/>
      <c r="Q68" s="404"/>
      <c r="R68" s="404"/>
      <c r="S68" s="404"/>
      <c r="T68" s="404"/>
      <c r="U68" s="404"/>
      <c r="V68" s="404"/>
      <c r="W68" s="404"/>
      <c r="X68" s="406"/>
    </row>
    <row r="69" spans="1:24" ht="14.25">
      <c r="A69" s="427"/>
      <c r="B69" s="425" t="s">
        <v>582</v>
      </c>
      <c r="L69" s="427"/>
      <c r="M69" s="406"/>
      <c r="N69" s="406"/>
      <c r="O69" s="406"/>
      <c r="P69" s="406"/>
      <c r="Q69" s="406"/>
      <c r="R69" s="406"/>
      <c r="S69" s="406"/>
      <c r="T69" s="406"/>
      <c r="U69" s="406"/>
      <c r="V69" s="406"/>
      <c r="W69" s="406"/>
      <c r="X69" s="406"/>
    </row>
    <row r="70" spans="1:24" ht="14.25">
      <c r="A70" s="427"/>
      <c r="B70" s="425" t="s">
        <v>583</v>
      </c>
      <c r="L70" s="427"/>
      <c r="M70" s="406"/>
      <c r="N70" s="406"/>
      <c r="O70" s="406"/>
      <c r="P70" s="406"/>
      <c r="Q70" s="406"/>
      <c r="R70" s="406"/>
      <c r="S70" s="406"/>
      <c r="T70" s="406"/>
      <c r="U70" s="406"/>
      <c r="V70" s="406"/>
      <c r="W70" s="406"/>
      <c r="X70" s="406"/>
    </row>
    <row r="71" spans="1:12" ht="15" thickBot="1">
      <c r="A71" s="427"/>
      <c r="B71" s="417"/>
      <c r="C71" s="417"/>
      <c r="D71" s="417"/>
      <c r="E71" s="417"/>
      <c r="F71" s="417"/>
      <c r="G71" s="417"/>
      <c r="H71" s="417"/>
      <c r="I71" s="417"/>
      <c r="J71" s="417"/>
      <c r="K71" s="417"/>
      <c r="L71" s="427"/>
    </row>
    <row r="72" spans="1:12" ht="14.25">
      <c r="A72" s="427"/>
      <c r="B72" s="421" t="s">
        <v>551</v>
      </c>
      <c r="C72" s="420"/>
      <c r="D72" s="420"/>
      <c r="E72" s="420"/>
      <c r="F72" s="420"/>
      <c r="G72" s="420"/>
      <c r="H72" s="420"/>
      <c r="I72" s="420"/>
      <c r="J72" s="420"/>
      <c r="K72" s="419"/>
      <c r="L72" s="403"/>
    </row>
    <row r="73" spans="1:12" ht="14.25">
      <c r="A73" s="427"/>
      <c r="B73" s="411"/>
      <c r="C73" s="417" t="s">
        <v>559</v>
      </c>
      <c r="D73" s="417"/>
      <c r="E73" s="417"/>
      <c r="F73" s="417"/>
      <c r="G73" s="417"/>
      <c r="H73" s="417"/>
      <c r="I73" s="417"/>
      <c r="J73" s="417"/>
      <c r="K73" s="416"/>
      <c r="L73" s="403"/>
    </row>
    <row r="74" spans="1:12" ht="14.25">
      <c r="A74" s="427"/>
      <c r="B74" s="411" t="s">
        <v>584</v>
      </c>
      <c r="C74" s="983">
        <v>3120000</v>
      </c>
      <c r="D74" s="983"/>
      <c r="E74" s="492" t="s">
        <v>558</v>
      </c>
      <c r="F74" s="492">
        <v>1000</v>
      </c>
      <c r="G74" s="492" t="s">
        <v>557</v>
      </c>
      <c r="H74" s="490">
        <f>C74/F74</f>
        <v>3120</v>
      </c>
      <c r="I74" s="417" t="s">
        <v>585</v>
      </c>
      <c r="J74" s="417"/>
      <c r="K74" s="416"/>
      <c r="L74" s="403"/>
    </row>
    <row r="75" spans="1:12" ht="14.25">
      <c r="A75" s="427"/>
      <c r="B75" s="411"/>
      <c r="C75" s="417"/>
      <c r="D75" s="417"/>
      <c r="E75" s="492"/>
      <c r="F75" s="417"/>
      <c r="G75" s="417"/>
      <c r="H75" s="417"/>
      <c r="I75" s="417"/>
      <c r="J75" s="417"/>
      <c r="K75" s="416"/>
      <c r="L75" s="403"/>
    </row>
    <row r="76" spans="1:12" ht="14.25">
      <c r="A76" s="427"/>
      <c r="B76" s="411"/>
      <c r="C76" s="417" t="s">
        <v>586</v>
      </c>
      <c r="D76" s="417"/>
      <c r="E76" s="492"/>
      <c r="F76" s="417" t="s">
        <v>585</v>
      </c>
      <c r="G76" s="417"/>
      <c r="H76" s="417"/>
      <c r="I76" s="417"/>
      <c r="J76" s="417"/>
      <c r="K76" s="416"/>
      <c r="L76" s="403"/>
    </row>
    <row r="77" spans="1:12" ht="14.25">
      <c r="A77" s="427"/>
      <c r="B77" s="411" t="s">
        <v>587</v>
      </c>
      <c r="C77" s="983">
        <v>5000</v>
      </c>
      <c r="D77" s="983"/>
      <c r="E77" s="492" t="s">
        <v>558</v>
      </c>
      <c r="F77" s="490">
        <f>H74</f>
        <v>3120</v>
      </c>
      <c r="G77" s="492" t="s">
        <v>557</v>
      </c>
      <c r="H77" s="409">
        <f>C77/F77</f>
        <v>1.6025641025641026</v>
      </c>
      <c r="I77" s="417" t="s">
        <v>588</v>
      </c>
      <c r="J77" s="417"/>
      <c r="K77" s="416"/>
      <c r="L77" s="403"/>
    </row>
    <row r="78" spans="1:12" ht="14.25">
      <c r="A78" s="427"/>
      <c r="B78" s="411"/>
      <c r="C78" s="417"/>
      <c r="D78" s="417"/>
      <c r="E78" s="492"/>
      <c r="F78" s="417"/>
      <c r="G78" s="417"/>
      <c r="H78" s="417"/>
      <c r="I78" s="417"/>
      <c r="J78" s="417"/>
      <c r="K78" s="416"/>
      <c r="L78" s="403"/>
    </row>
    <row r="79" spans="1:12" ht="14.25">
      <c r="A79" s="427"/>
      <c r="B79" s="402"/>
      <c r="C79" s="401" t="s">
        <v>589</v>
      </c>
      <c r="D79" s="401"/>
      <c r="E79" s="488"/>
      <c r="F79" s="401"/>
      <c r="G79" s="401"/>
      <c r="H79" s="401"/>
      <c r="I79" s="401"/>
      <c r="J79" s="401"/>
      <c r="K79" s="400"/>
      <c r="L79" s="403"/>
    </row>
    <row r="80" spans="1:12" ht="14.25">
      <c r="A80" s="427"/>
      <c r="B80" s="411" t="s">
        <v>590</v>
      </c>
      <c r="C80" s="983">
        <v>100000</v>
      </c>
      <c r="D80" s="983"/>
      <c r="E80" s="492" t="s">
        <v>106</v>
      </c>
      <c r="F80" s="492">
        <v>0.115</v>
      </c>
      <c r="G80" s="492" t="s">
        <v>557</v>
      </c>
      <c r="H80" s="489">
        <f>C80*F80</f>
        <v>11500</v>
      </c>
      <c r="I80" s="417" t="s">
        <v>591</v>
      </c>
      <c r="J80" s="417"/>
      <c r="K80" s="416"/>
      <c r="L80" s="403"/>
    </row>
    <row r="81" spans="1:12" ht="14.25">
      <c r="A81" s="427"/>
      <c r="B81" s="411"/>
      <c r="C81" s="417"/>
      <c r="D81" s="417"/>
      <c r="E81" s="492"/>
      <c r="F81" s="417"/>
      <c r="G81" s="417"/>
      <c r="H81" s="417"/>
      <c r="I81" s="417"/>
      <c r="J81" s="417"/>
      <c r="K81" s="416"/>
      <c r="L81" s="403"/>
    </row>
    <row r="82" spans="1:12" ht="14.25">
      <c r="A82" s="427"/>
      <c r="B82" s="402"/>
      <c r="C82" s="401" t="s">
        <v>592</v>
      </c>
      <c r="D82" s="401"/>
      <c r="E82" s="488"/>
      <c r="F82" s="401" t="s">
        <v>588</v>
      </c>
      <c r="G82" s="401"/>
      <c r="H82" s="401"/>
      <c r="I82" s="401"/>
      <c r="J82" s="401" t="s">
        <v>593</v>
      </c>
      <c r="K82" s="400"/>
      <c r="L82" s="403"/>
    </row>
    <row r="83" spans="1:12" ht="14.25">
      <c r="A83" s="427"/>
      <c r="B83" s="411" t="s">
        <v>594</v>
      </c>
      <c r="C83" s="993">
        <f>H80</f>
        <v>11500</v>
      </c>
      <c r="D83" s="993"/>
      <c r="E83" s="492" t="s">
        <v>106</v>
      </c>
      <c r="F83" s="409">
        <f>H77</f>
        <v>1.6025641025641026</v>
      </c>
      <c r="G83" s="492" t="s">
        <v>558</v>
      </c>
      <c r="H83" s="492">
        <v>1000</v>
      </c>
      <c r="I83" s="492" t="s">
        <v>557</v>
      </c>
      <c r="J83" s="490">
        <f>C83*F83/H83</f>
        <v>18.42948717948718</v>
      </c>
      <c r="K83" s="416"/>
      <c r="L83" s="403"/>
    </row>
    <row r="84" spans="1:12" ht="15" thickBot="1">
      <c r="A84" s="427"/>
      <c r="B84" s="415"/>
      <c r="C84" s="399"/>
      <c r="D84" s="399"/>
      <c r="E84" s="398"/>
      <c r="F84" s="397"/>
      <c r="G84" s="398"/>
      <c r="H84" s="398"/>
      <c r="I84" s="398"/>
      <c r="J84" s="396"/>
      <c r="K84" s="413"/>
      <c r="L84" s="403"/>
    </row>
    <row r="85" spans="1:12" ht="40.5" customHeight="1">
      <c r="A85" s="427"/>
      <c r="B85" s="985" t="s">
        <v>547</v>
      </c>
      <c r="C85" s="985"/>
      <c r="D85" s="985"/>
      <c r="E85" s="985"/>
      <c r="F85" s="985"/>
      <c r="G85" s="985"/>
      <c r="H85" s="985"/>
      <c r="I85" s="985"/>
      <c r="J85" s="985"/>
      <c r="K85" s="985"/>
      <c r="L85" s="427"/>
    </row>
    <row r="86" spans="1:12" ht="14.25">
      <c r="A86" s="427"/>
      <c r="B86" s="992" t="s">
        <v>595</v>
      </c>
      <c r="C86" s="992"/>
      <c r="D86" s="992"/>
      <c r="E86" s="992"/>
      <c r="F86" s="992"/>
      <c r="G86" s="992"/>
      <c r="H86" s="992"/>
      <c r="I86" s="992"/>
      <c r="J86" s="992"/>
      <c r="K86" s="992"/>
      <c r="L86" s="427"/>
    </row>
    <row r="87" spans="1:12" ht="14.25">
      <c r="A87" s="427"/>
      <c r="B87" s="395"/>
      <c r="C87" s="395"/>
      <c r="D87" s="395"/>
      <c r="E87" s="395"/>
      <c r="F87" s="395"/>
      <c r="G87" s="395"/>
      <c r="H87" s="395"/>
      <c r="I87" s="395"/>
      <c r="J87" s="395"/>
      <c r="K87" s="395"/>
      <c r="L87" s="427"/>
    </row>
    <row r="88" spans="1:12" ht="14.25">
      <c r="A88" s="427"/>
      <c r="B88" s="992" t="s">
        <v>596</v>
      </c>
      <c r="C88" s="992"/>
      <c r="D88" s="992"/>
      <c r="E88" s="992"/>
      <c r="F88" s="992"/>
      <c r="G88" s="992"/>
      <c r="H88" s="992"/>
      <c r="I88" s="992"/>
      <c r="J88" s="992"/>
      <c r="K88" s="992"/>
      <c r="L88" s="427"/>
    </row>
    <row r="89" spans="1:12" ht="14.25">
      <c r="A89" s="427"/>
      <c r="B89" s="491"/>
      <c r="C89" s="491"/>
      <c r="D89" s="491"/>
      <c r="E89" s="491"/>
      <c r="F89" s="491"/>
      <c r="G89" s="491"/>
      <c r="H89" s="491"/>
      <c r="I89" s="491"/>
      <c r="J89" s="491"/>
      <c r="K89" s="491"/>
      <c r="L89" s="427"/>
    </row>
    <row r="90" spans="1:12" ht="45" customHeight="1">
      <c r="A90" s="427"/>
      <c r="B90" s="982" t="s">
        <v>597</v>
      </c>
      <c r="C90" s="982"/>
      <c r="D90" s="982"/>
      <c r="E90" s="982"/>
      <c r="F90" s="982"/>
      <c r="G90" s="982"/>
      <c r="H90" s="982"/>
      <c r="I90" s="982"/>
      <c r="J90" s="982"/>
      <c r="K90" s="982"/>
      <c r="L90" s="427"/>
    </row>
    <row r="91" spans="1:12" ht="15" customHeight="1" thickBot="1">
      <c r="A91" s="427"/>
      <c r="L91" s="427"/>
    </row>
    <row r="92" spans="1:12" ht="15" customHeight="1">
      <c r="A92" s="427"/>
      <c r="B92" s="394" t="s">
        <v>551</v>
      </c>
      <c r="C92" s="393"/>
      <c r="D92" s="393"/>
      <c r="E92" s="393"/>
      <c r="F92" s="393"/>
      <c r="G92" s="393"/>
      <c r="H92" s="393"/>
      <c r="I92" s="393"/>
      <c r="J92" s="393"/>
      <c r="K92" s="392"/>
      <c r="L92" s="427"/>
    </row>
    <row r="93" spans="1:12" ht="15" customHeight="1">
      <c r="A93" s="427"/>
      <c r="B93" s="391"/>
      <c r="C93" s="493" t="s">
        <v>559</v>
      </c>
      <c r="D93" s="493"/>
      <c r="E93" s="493"/>
      <c r="F93" s="493"/>
      <c r="G93" s="493"/>
      <c r="H93" s="493"/>
      <c r="I93" s="493"/>
      <c r="J93" s="493"/>
      <c r="K93" s="390"/>
      <c r="L93" s="427"/>
    </row>
    <row r="94" spans="1:12" ht="15" customHeight="1">
      <c r="A94" s="427"/>
      <c r="B94" s="391" t="s">
        <v>584</v>
      </c>
      <c r="C94" s="983">
        <v>3120000</v>
      </c>
      <c r="D94" s="983"/>
      <c r="E94" s="492" t="s">
        <v>558</v>
      </c>
      <c r="F94" s="492">
        <v>1000</v>
      </c>
      <c r="G94" s="492" t="s">
        <v>557</v>
      </c>
      <c r="H94" s="490">
        <f>C94/F94</f>
        <v>3120</v>
      </c>
      <c r="I94" s="493" t="s">
        <v>585</v>
      </c>
      <c r="J94" s="493"/>
      <c r="K94" s="390"/>
      <c r="L94" s="427"/>
    </row>
    <row r="95" spans="1:12" ht="15" customHeight="1">
      <c r="A95" s="427"/>
      <c r="B95" s="391"/>
      <c r="C95" s="493"/>
      <c r="D95" s="493"/>
      <c r="E95" s="492"/>
      <c r="F95" s="493"/>
      <c r="G95" s="493"/>
      <c r="H95" s="493"/>
      <c r="I95" s="493"/>
      <c r="J95" s="493"/>
      <c r="K95" s="390"/>
      <c r="L95" s="427"/>
    </row>
    <row r="96" spans="1:12" ht="15" customHeight="1">
      <c r="A96" s="427"/>
      <c r="B96" s="391"/>
      <c r="C96" s="493" t="s">
        <v>586</v>
      </c>
      <c r="D96" s="493"/>
      <c r="E96" s="492"/>
      <c r="F96" s="493" t="s">
        <v>585</v>
      </c>
      <c r="G96" s="493"/>
      <c r="H96" s="493"/>
      <c r="I96" s="493"/>
      <c r="J96" s="493"/>
      <c r="K96" s="390"/>
      <c r="L96" s="427"/>
    </row>
    <row r="97" spans="1:12" ht="15" customHeight="1">
      <c r="A97" s="427"/>
      <c r="B97" s="391" t="s">
        <v>587</v>
      </c>
      <c r="C97" s="983">
        <v>5000</v>
      </c>
      <c r="D97" s="983"/>
      <c r="E97" s="492" t="s">
        <v>558</v>
      </c>
      <c r="F97" s="490">
        <f>H94</f>
        <v>3120</v>
      </c>
      <c r="G97" s="492" t="s">
        <v>557</v>
      </c>
      <c r="H97" s="409">
        <f>C97/F97</f>
        <v>1.6025641025641026</v>
      </c>
      <c r="I97" s="493" t="s">
        <v>588</v>
      </c>
      <c r="J97" s="493"/>
      <c r="K97" s="390"/>
      <c r="L97" s="427"/>
    </row>
    <row r="98" spans="1:12" ht="15" customHeight="1">
      <c r="A98" s="427"/>
      <c r="B98" s="391"/>
      <c r="C98" s="493"/>
      <c r="D98" s="493"/>
      <c r="E98" s="492"/>
      <c r="F98" s="493"/>
      <c r="G98" s="493"/>
      <c r="H98" s="493"/>
      <c r="I98" s="493"/>
      <c r="J98" s="493"/>
      <c r="K98" s="390"/>
      <c r="L98" s="427"/>
    </row>
    <row r="99" spans="1:12" ht="15" customHeight="1">
      <c r="A99" s="427"/>
      <c r="B99" s="389"/>
      <c r="C99" s="388" t="s">
        <v>598</v>
      </c>
      <c r="D99" s="388"/>
      <c r="E99" s="488"/>
      <c r="F99" s="388"/>
      <c r="G99" s="388"/>
      <c r="H99" s="388"/>
      <c r="I99" s="388"/>
      <c r="J99" s="388"/>
      <c r="K99" s="387"/>
      <c r="L99" s="427"/>
    </row>
    <row r="100" spans="1:12" ht="15" customHeight="1">
      <c r="A100" s="427"/>
      <c r="B100" s="391" t="s">
        <v>590</v>
      </c>
      <c r="C100" s="983">
        <v>2500000</v>
      </c>
      <c r="D100" s="983"/>
      <c r="E100" s="492" t="s">
        <v>106</v>
      </c>
      <c r="F100" s="386">
        <v>0.3</v>
      </c>
      <c r="G100" s="492" t="s">
        <v>557</v>
      </c>
      <c r="H100" s="489">
        <f>C100*F100</f>
        <v>750000</v>
      </c>
      <c r="I100" s="493" t="s">
        <v>591</v>
      </c>
      <c r="J100" s="493"/>
      <c r="K100" s="390"/>
      <c r="L100" s="427"/>
    </row>
    <row r="101" spans="1:12" ht="15" customHeight="1">
      <c r="A101" s="427"/>
      <c r="B101" s="391"/>
      <c r="C101" s="493"/>
      <c r="D101" s="493"/>
      <c r="E101" s="492"/>
      <c r="F101" s="493"/>
      <c r="G101" s="493"/>
      <c r="H101" s="493"/>
      <c r="I101" s="493"/>
      <c r="J101" s="493"/>
      <c r="K101" s="390"/>
      <c r="L101" s="427"/>
    </row>
    <row r="102" spans="1:12" ht="15" customHeight="1">
      <c r="A102" s="427"/>
      <c r="B102" s="389"/>
      <c r="C102" s="388" t="s">
        <v>592</v>
      </c>
      <c r="D102" s="388"/>
      <c r="E102" s="488"/>
      <c r="F102" s="388" t="s">
        <v>588</v>
      </c>
      <c r="G102" s="388"/>
      <c r="H102" s="388"/>
      <c r="I102" s="388"/>
      <c r="J102" s="388" t="s">
        <v>593</v>
      </c>
      <c r="K102" s="387"/>
      <c r="L102" s="427"/>
    </row>
    <row r="103" spans="1:12" ht="15" customHeight="1">
      <c r="A103" s="427"/>
      <c r="B103" s="391" t="s">
        <v>594</v>
      </c>
      <c r="C103" s="993">
        <f>H100</f>
        <v>750000</v>
      </c>
      <c r="D103" s="993"/>
      <c r="E103" s="492" t="s">
        <v>106</v>
      </c>
      <c r="F103" s="409">
        <f>H97</f>
        <v>1.6025641025641026</v>
      </c>
      <c r="G103" s="492" t="s">
        <v>558</v>
      </c>
      <c r="H103" s="492">
        <v>1000</v>
      </c>
      <c r="I103" s="492" t="s">
        <v>557</v>
      </c>
      <c r="J103" s="490">
        <f>C103*F103/H103</f>
        <v>1201.923076923077</v>
      </c>
      <c r="K103" s="390"/>
      <c r="L103" s="427"/>
    </row>
    <row r="104" spans="1:12" ht="15" customHeight="1" thickBot="1">
      <c r="A104" s="427"/>
      <c r="B104" s="385"/>
      <c r="C104" s="399"/>
      <c r="D104" s="399"/>
      <c r="E104" s="398"/>
      <c r="F104" s="397"/>
      <c r="G104" s="398"/>
      <c r="H104" s="398"/>
      <c r="I104" s="398"/>
      <c r="J104" s="396"/>
      <c r="K104" s="494"/>
      <c r="L104" s="427"/>
    </row>
    <row r="105" spans="1:12" ht="40.5" customHeight="1">
      <c r="A105" s="427"/>
      <c r="B105" s="985" t="s">
        <v>547</v>
      </c>
      <c r="C105" s="994"/>
      <c r="D105" s="994"/>
      <c r="E105" s="994"/>
      <c r="F105" s="994"/>
      <c r="G105" s="994"/>
      <c r="H105" s="994"/>
      <c r="I105" s="994"/>
      <c r="J105" s="994"/>
      <c r="K105" s="994"/>
      <c r="L105" s="427"/>
    </row>
    <row r="106" spans="1:12" ht="15" customHeight="1">
      <c r="A106" s="427"/>
      <c r="B106" s="995" t="s">
        <v>599</v>
      </c>
      <c r="C106" s="978"/>
      <c r="D106" s="978"/>
      <c r="E106" s="978"/>
      <c r="F106" s="978"/>
      <c r="G106" s="978"/>
      <c r="H106" s="978"/>
      <c r="I106" s="978"/>
      <c r="J106" s="978"/>
      <c r="K106" s="978"/>
      <c r="L106" s="427"/>
    </row>
    <row r="107" spans="1:12" ht="15" customHeight="1">
      <c r="A107" s="427"/>
      <c r="B107" s="493"/>
      <c r="C107" s="384"/>
      <c r="D107" s="384"/>
      <c r="E107" s="492"/>
      <c r="F107" s="409"/>
      <c r="G107" s="492"/>
      <c r="H107" s="492"/>
      <c r="I107" s="492"/>
      <c r="J107" s="490"/>
      <c r="K107" s="493"/>
      <c r="L107" s="427"/>
    </row>
    <row r="108" spans="1:12" ht="15" customHeight="1">
      <c r="A108" s="427"/>
      <c r="B108" s="995" t="s">
        <v>600</v>
      </c>
      <c r="C108" s="996"/>
      <c r="D108" s="996"/>
      <c r="E108" s="996"/>
      <c r="F108" s="996"/>
      <c r="G108" s="996"/>
      <c r="H108" s="996"/>
      <c r="I108" s="996"/>
      <c r="J108" s="996"/>
      <c r="K108" s="996"/>
      <c r="L108" s="427"/>
    </row>
    <row r="109" spans="1:12" ht="15" customHeight="1">
      <c r="A109" s="427"/>
      <c r="B109" s="493"/>
      <c r="C109" s="384"/>
      <c r="D109" s="384"/>
      <c r="E109" s="492"/>
      <c r="F109" s="409"/>
      <c r="G109" s="492"/>
      <c r="H109" s="492"/>
      <c r="I109" s="492"/>
      <c r="J109" s="490"/>
      <c r="K109" s="493"/>
      <c r="L109" s="427"/>
    </row>
    <row r="110" spans="1:12" ht="59.25" customHeight="1">
      <c r="A110" s="427"/>
      <c r="B110" s="997" t="s">
        <v>601</v>
      </c>
      <c r="C110" s="986"/>
      <c r="D110" s="986"/>
      <c r="E110" s="986"/>
      <c r="F110" s="986"/>
      <c r="G110" s="986"/>
      <c r="H110" s="986"/>
      <c r="I110" s="986"/>
      <c r="J110" s="986"/>
      <c r="K110" s="986"/>
      <c r="L110" s="427"/>
    </row>
    <row r="111" spans="1:12" ht="15" thickBot="1">
      <c r="A111" s="427"/>
      <c r="B111" s="495"/>
      <c r="C111" s="495"/>
      <c r="D111" s="495"/>
      <c r="E111" s="495"/>
      <c r="F111" s="495"/>
      <c r="G111" s="495"/>
      <c r="H111" s="495"/>
      <c r="I111" s="495"/>
      <c r="J111" s="495"/>
      <c r="K111" s="495"/>
      <c r="L111" s="383"/>
    </row>
    <row r="112" spans="1:12" ht="14.25">
      <c r="A112" s="427"/>
      <c r="B112" s="421" t="s">
        <v>551</v>
      </c>
      <c r="C112" s="420"/>
      <c r="D112" s="420"/>
      <c r="E112" s="420"/>
      <c r="F112" s="420"/>
      <c r="G112" s="420"/>
      <c r="H112" s="420"/>
      <c r="I112" s="420"/>
      <c r="J112" s="420"/>
      <c r="K112" s="419"/>
      <c r="L112" s="427"/>
    </row>
    <row r="113" spans="1:12" ht="14.25">
      <c r="A113" s="427"/>
      <c r="B113" s="411"/>
      <c r="C113" s="417" t="s">
        <v>559</v>
      </c>
      <c r="D113" s="417"/>
      <c r="E113" s="417"/>
      <c r="F113" s="417"/>
      <c r="G113" s="417"/>
      <c r="H113" s="417"/>
      <c r="I113" s="417"/>
      <c r="J113" s="417"/>
      <c r="K113" s="416"/>
      <c r="L113" s="427"/>
    </row>
    <row r="114" spans="1:12" ht="14.25">
      <c r="A114" s="427"/>
      <c r="B114" s="411" t="s">
        <v>584</v>
      </c>
      <c r="C114" s="983">
        <v>3120000</v>
      </c>
      <c r="D114" s="983"/>
      <c r="E114" s="492" t="s">
        <v>558</v>
      </c>
      <c r="F114" s="492">
        <v>1000</v>
      </c>
      <c r="G114" s="492" t="s">
        <v>557</v>
      </c>
      <c r="H114" s="490">
        <f>C114/F114</f>
        <v>3120</v>
      </c>
      <c r="I114" s="417" t="s">
        <v>585</v>
      </c>
      <c r="J114" s="417"/>
      <c r="K114" s="416"/>
      <c r="L114" s="427"/>
    </row>
    <row r="115" spans="1:12" ht="14.25">
      <c r="A115" s="427"/>
      <c r="B115" s="411"/>
      <c r="C115" s="417"/>
      <c r="D115" s="417"/>
      <c r="E115" s="492"/>
      <c r="F115" s="417"/>
      <c r="G115" s="417"/>
      <c r="H115" s="417"/>
      <c r="I115" s="417"/>
      <c r="J115" s="417"/>
      <c r="K115" s="416"/>
      <c r="L115" s="427"/>
    </row>
    <row r="116" spans="1:12" ht="14.25">
      <c r="A116" s="427"/>
      <c r="B116" s="411"/>
      <c r="C116" s="417" t="s">
        <v>586</v>
      </c>
      <c r="D116" s="417"/>
      <c r="E116" s="492"/>
      <c r="F116" s="417" t="s">
        <v>585</v>
      </c>
      <c r="G116" s="417"/>
      <c r="H116" s="417"/>
      <c r="I116" s="417"/>
      <c r="J116" s="417"/>
      <c r="K116" s="416"/>
      <c r="L116" s="427"/>
    </row>
    <row r="117" spans="1:12" ht="14.25">
      <c r="A117" s="427"/>
      <c r="B117" s="411" t="s">
        <v>587</v>
      </c>
      <c r="C117" s="983">
        <v>5000</v>
      </c>
      <c r="D117" s="983"/>
      <c r="E117" s="492" t="s">
        <v>558</v>
      </c>
      <c r="F117" s="490">
        <f>H114</f>
        <v>3120</v>
      </c>
      <c r="G117" s="492" t="s">
        <v>557</v>
      </c>
      <c r="H117" s="409">
        <f>C117/F117</f>
        <v>1.6025641025641026</v>
      </c>
      <c r="I117" s="417" t="s">
        <v>588</v>
      </c>
      <c r="J117" s="417"/>
      <c r="K117" s="416"/>
      <c r="L117" s="427"/>
    </row>
    <row r="118" spans="1:12" ht="14.25">
      <c r="A118" s="427"/>
      <c r="B118" s="411"/>
      <c r="C118" s="417"/>
      <c r="D118" s="417"/>
      <c r="E118" s="492"/>
      <c r="F118" s="417"/>
      <c r="G118" s="417"/>
      <c r="H118" s="417"/>
      <c r="I118" s="417"/>
      <c r="J118" s="417"/>
      <c r="K118" s="416"/>
      <c r="L118" s="427"/>
    </row>
    <row r="119" spans="1:12" ht="14.25">
      <c r="A119" s="427"/>
      <c r="B119" s="402"/>
      <c r="C119" s="401" t="s">
        <v>598</v>
      </c>
      <c r="D119" s="401"/>
      <c r="E119" s="488"/>
      <c r="F119" s="401"/>
      <c r="G119" s="401"/>
      <c r="H119" s="401"/>
      <c r="I119" s="401"/>
      <c r="J119" s="401"/>
      <c r="K119" s="400"/>
      <c r="L119" s="427"/>
    </row>
    <row r="120" spans="1:12" ht="14.25">
      <c r="A120" s="427"/>
      <c r="B120" s="411" t="s">
        <v>590</v>
      </c>
      <c r="C120" s="983">
        <v>2500000</v>
      </c>
      <c r="D120" s="983"/>
      <c r="E120" s="492" t="s">
        <v>106</v>
      </c>
      <c r="F120" s="386">
        <v>0.25</v>
      </c>
      <c r="G120" s="492" t="s">
        <v>557</v>
      </c>
      <c r="H120" s="489">
        <f>C120*F120</f>
        <v>625000</v>
      </c>
      <c r="I120" s="417" t="s">
        <v>591</v>
      </c>
      <c r="J120" s="417"/>
      <c r="K120" s="416"/>
      <c r="L120" s="427"/>
    </row>
    <row r="121" spans="1:12" ht="14.25">
      <c r="A121" s="427"/>
      <c r="B121" s="411"/>
      <c r="C121" s="417"/>
      <c r="D121" s="417"/>
      <c r="E121" s="492"/>
      <c r="F121" s="417"/>
      <c r="G121" s="417"/>
      <c r="H121" s="417"/>
      <c r="I121" s="417"/>
      <c r="J121" s="417"/>
      <c r="K121" s="416"/>
      <c r="L121" s="427"/>
    </row>
    <row r="122" spans="1:12" ht="14.25">
      <c r="A122" s="427"/>
      <c r="B122" s="402"/>
      <c r="C122" s="401" t="s">
        <v>592</v>
      </c>
      <c r="D122" s="401"/>
      <c r="E122" s="488"/>
      <c r="F122" s="401" t="s">
        <v>588</v>
      </c>
      <c r="G122" s="401"/>
      <c r="H122" s="401"/>
      <c r="I122" s="401"/>
      <c r="J122" s="401" t="s">
        <v>593</v>
      </c>
      <c r="K122" s="400"/>
      <c r="L122" s="427"/>
    </row>
    <row r="123" spans="1:12" ht="14.25">
      <c r="A123" s="427"/>
      <c r="B123" s="411" t="s">
        <v>594</v>
      </c>
      <c r="C123" s="993">
        <f>H120</f>
        <v>625000</v>
      </c>
      <c r="D123" s="993"/>
      <c r="E123" s="492" t="s">
        <v>106</v>
      </c>
      <c r="F123" s="409">
        <f>H117</f>
        <v>1.6025641025641026</v>
      </c>
      <c r="G123" s="492" t="s">
        <v>558</v>
      </c>
      <c r="H123" s="492">
        <v>1000</v>
      </c>
      <c r="I123" s="492" t="s">
        <v>557</v>
      </c>
      <c r="J123" s="490">
        <f>C123*F123/H123</f>
        <v>1001.6025641025641</v>
      </c>
      <c r="K123" s="416"/>
      <c r="L123" s="427"/>
    </row>
    <row r="124" spans="1:12" ht="15" thickBot="1">
      <c r="A124" s="427"/>
      <c r="B124" s="415"/>
      <c r="C124" s="399"/>
      <c r="D124" s="399"/>
      <c r="E124" s="398"/>
      <c r="F124" s="397"/>
      <c r="G124" s="398"/>
      <c r="H124" s="398"/>
      <c r="I124" s="398"/>
      <c r="J124" s="396"/>
      <c r="K124" s="413"/>
      <c r="L124" s="427"/>
    </row>
    <row r="125" spans="1:12" ht="40.5" customHeight="1">
      <c r="A125" s="427"/>
      <c r="B125" s="985" t="s">
        <v>547</v>
      </c>
      <c r="C125" s="985"/>
      <c r="D125" s="985"/>
      <c r="E125" s="985"/>
      <c r="F125" s="985"/>
      <c r="G125" s="985"/>
      <c r="H125" s="985"/>
      <c r="I125" s="985"/>
      <c r="J125" s="985"/>
      <c r="K125" s="985"/>
      <c r="L125" s="383"/>
    </row>
    <row r="126" spans="1:12" ht="14.25">
      <c r="A126" s="427"/>
      <c r="B126" s="992" t="s">
        <v>602</v>
      </c>
      <c r="C126" s="992"/>
      <c r="D126" s="992"/>
      <c r="E126" s="992"/>
      <c r="F126" s="992"/>
      <c r="G126" s="992"/>
      <c r="H126" s="992"/>
      <c r="I126" s="992"/>
      <c r="J126" s="992"/>
      <c r="K126" s="992"/>
      <c r="L126" s="383"/>
    </row>
    <row r="127" spans="1:12" ht="14.25">
      <c r="A127" s="427"/>
      <c r="B127" s="495"/>
      <c r="C127" s="495"/>
      <c r="D127" s="495"/>
      <c r="E127" s="495"/>
      <c r="F127" s="495"/>
      <c r="G127" s="495"/>
      <c r="H127" s="495"/>
      <c r="I127" s="495"/>
      <c r="J127" s="495"/>
      <c r="K127" s="495"/>
      <c r="L127" s="383"/>
    </row>
    <row r="128" spans="1:12" ht="14.25">
      <c r="A128" s="427"/>
      <c r="B128" s="992" t="s">
        <v>603</v>
      </c>
      <c r="C128" s="992"/>
      <c r="D128" s="992"/>
      <c r="E128" s="992"/>
      <c r="F128" s="992"/>
      <c r="G128" s="992"/>
      <c r="H128" s="992"/>
      <c r="I128" s="992"/>
      <c r="J128" s="992"/>
      <c r="K128" s="992"/>
      <c r="L128" s="383"/>
    </row>
    <row r="129" spans="1:12" ht="14.25">
      <c r="A129" s="427"/>
      <c r="B129" s="491"/>
      <c r="C129" s="491"/>
      <c r="D129" s="491"/>
      <c r="E129" s="491"/>
      <c r="F129" s="491"/>
      <c r="G129" s="491"/>
      <c r="H129" s="491"/>
      <c r="I129" s="491"/>
      <c r="J129" s="491"/>
      <c r="K129" s="491"/>
      <c r="L129" s="383"/>
    </row>
    <row r="130" spans="1:12" ht="74.25" customHeight="1">
      <c r="A130" s="427"/>
      <c r="B130" s="982" t="s">
        <v>604</v>
      </c>
      <c r="C130" s="982"/>
      <c r="D130" s="982"/>
      <c r="E130" s="982"/>
      <c r="F130" s="982"/>
      <c r="G130" s="982"/>
      <c r="H130" s="982"/>
      <c r="I130" s="982"/>
      <c r="J130" s="982"/>
      <c r="K130" s="982"/>
      <c r="L130" s="383"/>
    </row>
    <row r="131" spans="1:12" ht="15" thickBot="1">
      <c r="A131" s="427"/>
      <c r="L131" s="427"/>
    </row>
    <row r="132" spans="1:12" ht="14.25">
      <c r="A132" s="427"/>
      <c r="B132" s="421" t="s">
        <v>551</v>
      </c>
      <c r="C132" s="420"/>
      <c r="D132" s="420"/>
      <c r="E132" s="420"/>
      <c r="F132" s="420"/>
      <c r="G132" s="420"/>
      <c r="H132" s="420"/>
      <c r="I132" s="420"/>
      <c r="J132" s="420"/>
      <c r="K132" s="419"/>
      <c r="L132" s="427"/>
    </row>
    <row r="133" spans="1:12" ht="14.25">
      <c r="A133" s="427"/>
      <c r="B133" s="411"/>
      <c r="C133" s="998" t="s">
        <v>605</v>
      </c>
      <c r="D133" s="998"/>
      <c r="E133" s="417"/>
      <c r="F133" s="492" t="s">
        <v>606</v>
      </c>
      <c r="G133" s="417"/>
      <c r="H133" s="998" t="s">
        <v>591</v>
      </c>
      <c r="I133" s="998"/>
      <c r="J133" s="417"/>
      <c r="K133" s="416"/>
      <c r="L133" s="427"/>
    </row>
    <row r="134" spans="1:12" ht="14.25">
      <c r="A134" s="427"/>
      <c r="B134" s="411" t="s">
        <v>584</v>
      </c>
      <c r="C134" s="983">
        <v>100000</v>
      </c>
      <c r="D134" s="983"/>
      <c r="E134" s="492" t="s">
        <v>106</v>
      </c>
      <c r="F134" s="492">
        <v>0.115</v>
      </c>
      <c r="G134" s="492" t="s">
        <v>557</v>
      </c>
      <c r="H134" s="999">
        <f>C134*F134</f>
        <v>11500</v>
      </c>
      <c r="I134" s="999"/>
      <c r="J134" s="417"/>
      <c r="K134" s="416"/>
      <c r="L134" s="427"/>
    </row>
    <row r="135" spans="1:12" ht="14.25">
      <c r="A135" s="427"/>
      <c r="B135" s="411"/>
      <c r="C135" s="417"/>
      <c r="D135" s="417"/>
      <c r="E135" s="417"/>
      <c r="F135" s="417"/>
      <c r="G135" s="417"/>
      <c r="H135" s="417"/>
      <c r="I135" s="417"/>
      <c r="J135" s="417"/>
      <c r="K135" s="416"/>
      <c r="L135" s="427"/>
    </row>
    <row r="136" spans="1:12" ht="14.25">
      <c r="A136" s="427"/>
      <c r="B136" s="402"/>
      <c r="C136" s="1000" t="s">
        <v>591</v>
      </c>
      <c r="D136" s="1000"/>
      <c r="E136" s="401"/>
      <c r="F136" s="488" t="s">
        <v>607</v>
      </c>
      <c r="G136" s="488"/>
      <c r="H136" s="401"/>
      <c r="I136" s="401"/>
      <c r="J136" s="401" t="s">
        <v>608</v>
      </c>
      <c r="K136" s="400"/>
      <c r="L136" s="427"/>
    </row>
    <row r="137" spans="1:12" ht="14.25">
      <c r="A137" s="427"/>
      <c r="B137" s="411" t="s">
        <v>587</v>
      </c>
      <c r="C137" s="999">
        <f>H134</f>
        <v>11500</v>
      </c>
      <c r="D137" s="999"/>
      <c r="E137" s="492" t="s">
        <v>106</v>
      </c>
      <c r="F137" s="382">
        <v>52.869</v>
      </c>
      <c r="G137" s="492" t="s">
        <v>558</v>
      </c>
      <c r="H137" s="492">
        <v>1000</v>
      </c>
      <c r="I137" s="492" t="s">
        <v>557</v>
      </c>
      <c r="J137" s="381">
        <f>C137*F137/H137</f>
        <v>607.9935</v>
      </c>
      <c r="K137" s="416"/>
      <c r="L137" s="427"/>
    </row>
    <row r="138" spans="1:12" ht="15" thickBot="1">
      <c r="A138" s="427"/>
      <c r="B138" s="415"/>
      <c r="C138" s="380"/>
      <c r="D138" s="380"/>
      <c r="E138" s="398"/>
      <c r="F138" s="379"/>
      <c r="G138" s="398"/>
      <c r="H138" s="398"/>
      <c r="I138" s="398"/>
      <c r="J138" s="378"/>
      <c r="K138" s="413"/>
      <c r="L138" s="427"/>
    </row>
    <row r="139" spans="1:12" ht="40.5" customHeight="1">
      <c r="A139" s="427"/>
      <c r="B139" s="377" t="s">
        <v>547</v>
      </c>
      <c r="C139" s="376"/>
      <c r="D139" s="376"/>
      <c r="E139" s="375"/>
      <c r="F139" s="374"/>
      <c r="G139" s="375"/>
      <c r="H139" s="375"/>
      <c r="I139" s="375"/>
      <c r="J139" s="373"/>
      <c r="K139" s="372"/>
      <c r="L139" s="427"/>
    </row>
    <row r="140" spans="1:12" ht="14.25">
      <c r="A140" s="427"/>
      <c r="B140" s="371" t="s">
        <v>609</v>
      </c>
      <c r="C140" s="370"/>
      <c r="D140" s="370"/>
      <c r="E140" s="369"/>
      <c r="F140" s="368"/>
      <c r="G140" s="369"/>
      <c r="H140" s="369"/>
      <c r="I140" s="369"/>
      <c r="J140" s="367"/>
      <c r="K140" s="366"/>
      <c r="L140" s="427"/>
    </row>
    <row r="141" spans="1:12" ht="14.25">
      <c r="A141" s="427"/>
      <c r="B141" s="411"/>
      <c r="C141" s="489"/>
      <c r="D141" s="489"/>
      <c r="E141" s="492"/>
      <c r="F141" s="365"/>
      <c r="G141" s="492"/>
      <c r="H141" s="492"/>
      <c r="I141" s="492"/>
      <c r="J141" s="381"/>
      <c r="K141" s="416"/>
      <c r="L141" s="427"/>
    </row>
    <row r="142" spans="1:12" ht="14.25">
      <c r="A142" s="427"/>
      <c r="B142" s="371" t="s">
        <v>610</v>
      </c>
      <c r="C142" s="370"/>
      <c r="D142" s="370"/>
      <c r="E142" s="369"/>
      <c r="F142" s="368"/>
      <c r="G142" s="369"/>
      <c r="H142" s="369"/>
      <c r="I142" s="369"/>
      <c r="J142" s="367"/>
      <c r="K142" s="366"/>
      <c r="L142" s="427"/>
    </row>
    <row r="143" spans="1:12" ht="14.25">
      <c r="A143" s="427"/>
      <c r="B143" s="411"/>
      <c r="C143" s="489"/>
      <c r="D143" s="489"/>
      <c r="E143" s="492"/>
      <c r="F143" s="365"/>
      <c r="G143" s="492"/>
      <c r="H143" s="492"/>
      <c r="I143" s="492"/>
      <c r="J143" s="381"/>
      <c r="K143" s="416"/>
      <c r="L143" s="427"/>
    </row>
    <row r="144" spans="1:12" ht="76.5" customHeight="1">
      <c r="A144" s="427"/>
      <c r="B144" s="1001" t="s">
        <v>611</v>
      </c>
      <c r="C144" s="1002"/>
      <c r="D144" s="1002"/>
      <c r="E144" s="1002"/>
      <c r="F144" s="1002"/>
      <c r="G144" s="1002"/>
      <c r="H144" s="1002"/>
      <c r="I144" s="1002"/>
      <c r="J144" s="1002"/>
      <c r="K144" s="1003"/>
      <c r="L144" s="427"/>
    </row>
    <row r="145" spans="1:12" ht="15" thickBot="1">
      <c r="A145" s="427"/>
      <c r="B145" s="411"/>
      <c r="C145" s="489"/>
      <c r="D145" s="489"/>
      <c r="E145" s="492"/>
      <c r="F145" s="365"/>
      <c r="G145" s="492"/>
      <c r="H145" s="492"/>
      <c r="I145" s="492"/>
      <c r="J145" s="381"/>
      <c r="K145" s="416"/>
      <c r="L145" s="427"/>
    </row>
    <row r="146" spans="1:12" ht="14.25">
      <c r="A146" s="427"/>
      <c r="B146" s="421" t="s">
        <v>551</v>
      </c>
      <c r="C146" s="364"/>
      <c r="D146" s="364"/>
      <c r="E146" s="363"/>
      <c r="F146" s="362"/>
      <c r="G146" s="363"/>
      <c r="H146" s="363"/>
      <c r="I146" s="363"/>
      <c r="J146" s="361"/>
      <c r="K146" s="419"/>
      <c r="L146" s="427"/>
    </row>
    <row r="147" spans="1:12" ht="14.25">
      <c r="A147" s="427"/>
      <c r="B147" s="411"/>
      <c r="C147" s="999" t="s">
        <v>612</v>
      </c>
      <c r="D147" s="999"/>
      <c r="E147" s="492"/>
      <c r="F147" s="365" t="s">
        <v>613</v>
      </c>
      <c r="G147" s="492"/>
      <c r="H147" s="492"/>
      <c r="I147" s="492"/>
      <c r="J147" s="1004" t="s">
        <v>614</v>
      </c>
      <c r="K147" s="1005"/>
      <c r="L147" s="427"/>
    </row>
    <row r="148" spans="1:12" ht="14.25">
      <c r="A148" s="427"/>
      <c r="B148" s="411"/>
      <c r="C148" s="1006">
        <v>52.869</v>
      </c>
      <c r="D148" s="1006"/>
      <c r="E148" s="492" t="s">
        <v>106</v>
      </c>
      <c r="F148" s="983">
        <v>3120000</v>
      </c>
      <c r="G148" s="983"/>
      <c r="H148" s="492">
        <v>1000</v>
      </c>
      <c r="I148" s="492" t="s">
        <v>557</v>
      </c>
      <c r="J148" s="999">
        <f>C148*(F148/1000)</f>
        <v>164951.28</v>
      </c>
      <c r="K148" s="1007"/>
      <c r="L148" s="427"/>
    </row>
    <row r="149" spans="1:12" ht="15" thickBot="1">
      <c r="A149" s="427"/>
      <c r="B149" s="415"/>
      <c r="C149" s="380"/>
      <c r="D149" s="380"/>
      <c r="E149" s="398"/>
      <c r="F149" s="379"/>
      <c r="G149" s="398"/>
      <c r="H149" s="398"/>
      <c r="I149" s="398"/>
      <c r="J149" s="378"/>
      <c r="K149" s="413"/>
      <c r="L149" s="427"/>
    </row>
    <row r="150" spans="1:12" ht="15" thickBot="1">
      <c r="A150" s="427"/>
      <c r="B150" s="415"/>
      <c r="C150" s="414"/>
      <c r="D150" s="414"/>
      <c r="E150" s="414"/>
      <c r="F150" s="414"/>
      <c r="G150" s="414"/>
      <c r="H150" s="414"/>
      <c r="I150" s="414"/>
      <c r="J150" s="414"/>
      <c r="K150" s="413"/>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360"/>
      <c r="B154" s="360"/>
      <c r="C154" s="360"/>
      <c r="D154" s="360"/>
      <c r="E154" s="360"/>
      <c r="F154" s="360"/>
      <c r="G154" s="360"/>
      <c r="H154" s="360"/>
      <c r="I154" s="360"/>
      <c r="J154" s="360"/>
      <c r="K154" s="360"/>
      <c r="L154" s="360"/>
    </row>
    <row r="155" spans="1:12" ht="14.25">
      <c r="A155" s="360"/>
      <c r="B155" s="360"/>
      <c r="C155" s="360"/>
      <c r="D155" s="360"/>
      <c r="E155" s="360"/>
      <c r="F155" s="360"/>
      <c r="G155" s="360"/>
      <c r="H155" s="360"/>
      <c r="I155" s="360"/>
      <c r="J155" s="360"/>
      <c r="K155" s="360"/>
      <c r="L155" s="360"/>
    </row>
    <row r="156" spans="1:12" ht="14.25">
      <c r="A156" s="360"/>
      <c r="B156" s="360"/>
      <c r="C156" s="360"/>
      <c r="D156" s="360"/>
      <c r="E156" s="360"/>
      <c r="F156" s="360"/>
      <c r="G156" s="360"/>
      <c r="H156" s="360"/>
      <c r="I156" s="360"/>
      <c r="J156" s="360"/>
      <c r="K156" s="360"/>
      <c r="L156" s="360"/>
    </row>
    <row r="157" spans="1:12" ht="14.25">
      <c r="A157" s="360"/>
      <c r="B157" s="360"/>
      <c r="C157" s="360"/>
      <c r="D157" s="360"/>
      <c r="E157" s="360"/>
      <c r="F157" s="360"/>
      <c r="G157" s="360"/>
      <c r="H157" s="360"/>
      <c r="I157" s="360"/>
      <c r="J157" s="360"/>
      <c r="K157" s="360"/>
      <c r="L157" s="360"/>
    </row>
    <row r="158" spans="1:12" ht="14.25">
      <c r="A158" s="360"/>
      <c r="B158" s="360"/>
      <c r="C158" s="360"/>
      <c r="D158" s="360"/>
      <c r="E158" s="360"/>
      <c r="F158" s="360"/>
      <c r="G158" s="360"/>
      <c r="H158" s="360"/>
      <c r="I158" s="360"/>
      <c r="J158" s="360"/>
      <c r="K158" s="360"/>
      <c r="L158" s="360"/>
    </row>
    <row r="159" spans="1:12" ht="14.25">
      <c r="A159" s="360"/>
      <c r="B159" s="360"/>
      <c r="C159" s="360"/>
      <c r="D159" s="360"/>
      <c r="E159" s="360"/>
      <c r="F159" s="360"/>
      <c r="G159" s="360"/>
      <c r="H159" s="360"/>
      <c r="I159" s="360"/>
      <c r="J159" s="360"/>
      <c r="K159" s="360"/>
      <c r="L159" s="360"/>
    </row>
    <row r="160" spans="1:12" ht="14.25">
      <c r="A160" s="360"/>
      <c r="B160" s="360"/>
      <c r="C160" s="360"/>
      <c r="D160" s="360"/>
      <c r="E160" s="360"/>
      <c r="F160" s="360"/>
      <c r="G160" s="360"/>
      <c r="H160" s="360"/>
      <c r="I160" s="360"/>
      <c r="J160" s="360"/>
      <c r="K160" s="360"/>
      <c r="L160" s="360"/>
    </row>
    <row r="161" spans="1:12" ht="14.25">
      <c r="A161" s="360"/>
      <c r="B161" s="360"/>
      <c r="C161" s="360"/>
      <c r="D161" s="360"/>
      <c r="E161" s="360"/>
      <c r="F161" s="360"/>
      <c r="G161" s="360"/>
      <c r="H161" s="360"/>
      <c r="I161" s="360"/>
      <c r="J161" s="360"/>
      <c r="K161" s="360"/>
      <c r="L161" s="360"/>
    </row>
    <row r="162" spans="1:12" ht="14.25">
      <c r="A162" s="360"/>
      <c r="B162" s="360"/>
      <c r="C162" s="360"/>
      <c r="D162" s="360"/>
      <c r="E162" s="360"/>
      <c r="F162" s="360"/>
      <c r="G162" s="360"/>
      <c r="H162" s="360"/>
      <c r="I162" s="360"/>
      <c r="J162" s="360"/>
      <c r="K162" s="360"/>
      <c r="L162" s="360"/>
    </row>
    <row r="163" spans="1:12" ht="14.25">
      <c r="A163" s="360"/>
      <c r="B163" s="360"/>
      <c r="C163" s="360"/>
      <c r="D163" s="360"/>
      <c r="E163" s="360"/>
      <c r="F163" s="360"/>
      <c r="G163" s="360"/>
      <c r="H163" s="360"/>
      <c r="I163" s="360"/>
      <c r="J163" s="360"/>
      <c r="K163" s="360"/>
      <c r="L163" s="360"/>
    </row>
    <row r="164" spans="1:12" ht="14.25">
      <c r="A164" s="360"/>
      <c r="B164" s="360"/>
      <c r="C164" s="360"/>
      <c r="D164" s="360"/>
      <c r="E164" s="360"/>
      <c r="F164" s="360"/>
      <c r="G164" s="360"/>
      <c r="H164" s="360"/>
      <c r="I164" s="360"/>
      <c r="J164" s="360"/>
      <c r="K164" s="360"/>
      <c r="L164" s="360"/>
    </row>
    <row r="165" spans="1:12" ht="14.25">
      <c r="A165" s="360"/>
      <c r="B165" s="360"/>
      <c r="C165" s="360"/>
      <c r="D165" s="360"/>
      <c r="E165" s="360"/>
      <c r="F165" s="360"/>
      <c r="G165" s="360"/>
      <c r="H165" s="360"/>
      <c r="I165" s="360"/>
      <c r="J165" s="360"/>
      <c r="K165" s="360"/>
      <c r="L165" s="360"/>
    </row>
    <row r="166" spans="1:12" ht="14.25">
      <c r="A166" s="360"/>
      <c r="B166" s="360"/>
      <c r="C166" s="360"/>
      <c r="D166" s="360"/>
      <c r="E166" s="360"/>
      <c r="F166" s="360"/>
      <c r="G166" s="360"/>
      <c r="H166" s="360"/>
      <c r="I166" s="360"/>
      <c r="J166" s="360"/>
      <c r="K166" s="360"/>
      <c r="L166" s="360"/>
    </row>
    <row r="167" spans="1:12" ht="14.25">
      <c r="A167" s="360"/>
      <c r="B167" s="360"/>
      <c r="C167" s="360"/>
      <c r="D167" s="360"/>
      <c r="E167" s="360"/>
      <c r="F167" s="360"/>
      <c r="G167" s="360"/>
      <c r="H167" s="360"/>
      <c r="I167" s="360"/>
      <c r="J167" s="360"/>
      <c r="K167" s="360"/>
      <c r="L167" s="360"/>
    </row>
    <row r="168" spans="1:12" ht="14.25">
      <c r="A168" s="360"/>
      <c r="B168" s="360"/>
      <c r="C168" s="360"/>
      <c r="D168" s="360"/>
      <c r="E168" s="360"/>
      <c r="F168" s="360"/>
      <c r="G168" s="360"/>
      <c r="H168" s="360"/>
      <c r="I168" s="360"/>
      <c r="J168" s="360"/>
      <c r="K168" s="360"/>
      <c r="L168" s="360"/>
    </row>
    <row r="169" spans="1:12" ht="14.25">
      <c r="A169" s="360"/>
      <c r="B169" s="360"/>
      <c r="C169" s="360"/>
      <c r="D169" s="360"/>
      <c r="E169" s="360"/>
      <c r="F169" s="360"/>
      <c r="G169" s="360"/>
      <c r="H169" s="360"/>
      <c r="I169" s="360"/>
      <c r="J169" s="360"/>
      <c r="K169" s="360"/>
      <c r="L169" s="360"/>
    </row>
    <row r="170" spans="1:12" ht="14.25">
      <c r="A170" s="360"/>
      <c r="B170" s="360"/>
      <c r="C170" s="360"/>
      <c r="D170" s="360"/>
      <c r="E170" s="360"/>
      <c r="F170" s="360"/>
      <c r="G170" s="360"/>
      <c r="H170" s="360"/>
      <c r="I170" s="360"/>
      <c r="J170" s="360"/>
      <c r="K170" s="360"/>
      <c r="L170" s="360"/>
    </row>
    <row r="171" spans="1:12" ht="14.25">
      <c r="A171" s="360"/>
      <c r="B171" s="360"/>
      <c r="C171" s="360"/>
      <c r="D171" s="360"/>
      <c r="E171" s="360"/>
      <c r="F171" s="360"/>
      <c r="G171" s="360"/>
      <c r="H171" s="360"/>
      <c r="I171" s="360"/>
      <c r="J171" s="360"/>
      <c r="K171" s="360"/>
      <c r="L171" s="360"/>
    </row>
    <row r="172" spans="1:12" ht="14.25">
      <c r="A172" s="360"/>
      <c r="B172" s="360"/>
      <c r="C172" s="360"/>
      <c r="D172" s="360"/>
      <c r="E172" s="360"/>
      <c r="F172" s="360"/>
      <c r="G172" s="360"/>
      <c r="H172" s="360"/>
      <c r="I172" s="360"/>
      <c r="J172" s="360"/>
      <c r="K172" s="360"/>
      <c r="L172" s="360"/>
    </row>
    <row r="173" spans="1:12" ht="14.25">
      <c r="A173" s="360"/>
      <c r="B173" s="360"/>
      <c r="C173" s="360"/>
      <c r="D173" s="360"/>
      <c r="E173" s="360"/>
      <c r="F173" s="360"/>
      <c r="G173" s="360"/>
      <c r="H173" s="360"/>
      <c r="I173" s="360"/>
      <c r="J173" s="360"/>
      <c r="K173" s="360"/>
      <c r="L173" s="360"/>
    </row>
    <row r="174" spans="1:12" ht="14.25">
      <c r="A174" s="360"/>
      <c r="B174" s="360"/>
      <c r="C174" s="360"/>
      <c r="D174" s="360"/>
      <c r="E174" s="360"/>
      <c r="F174" s="360"/>
      <c r="G174" s="360"/>
      <c r="H174" s="360"/>
      <c r="I174" s="360"/>
      <c r="J174" s="360"/>
      <c r="K174" s="360"/>
      <c r="L174" s="360"/>
    </row>
    <row r="175" spans="1:12" ht="14.25">
      <c r="A175" s="360"/>
      <c r="B175" s="360"/>
      <c r="C175" s="360"/>
      <c r="D175" s="360"/>
      <c r="E175" s="360"/>
      <c r="F175" s="360"/>
      <c r="G175" s="360"/>
      <c r="H175" s="360"/>
      <c r="I175" s="360"/>
      <c r="J175" s="360"/>
      <c r="K175" s="360"/>
      <c r="L175" s="360"/>
    </row>
    <row r="176" spans="1:12" ht="14.25">
      <c r="A176" s="360"/>
      <c r="B176" s="360"/>
      <c r="C176" s="360"/>
      <c r="D176" s="360"/>
      <c r="E176" s="360"/>
      <c r="F176" s="360"/>
      <c r="G176" s="360"/>
      <c r="H176" s="360"/>
      <c r="I176" s="360"/>
      <c r="J176" s="360"/>
      <c r="K176" s="360"/>
      <c r="L176" s="360"/>
    </row>
    <row r="177" spans="1:12" ht="14.25">
      <c r="A177" s="360"/>
      <c r="B177" s="360"/>
      <c r="C177" s="360"/>
      <c r="D177" s="360"/>
      <c r="E177" s="360"/>
      <c r="F177" s="360"/>
      <c r="G177" s="360"/>
      <c r="H177" s="360"/>
      <c r="I177" s="360"/>
      <c r="J177" s="360"/>
      <c r="K177" s="360"/>
      <c r="L177" s="360"/>
    </row>
    <row r="178" spans="1:12" ht="14.25">
      <c r="A178" s="360"/>
      <c r="B178" s="360"/>
      <c r="C178" s="360"/>
      <c r="D178" s="360"/>
      <c r="E178" s="360"/>
      <c r="F178" s="360"/>
      <c r="G178" s="360"/>
      <c r="H178" s="360"/>
      <c r="I178" s="360"/>
      <c r="J178" s="360"/>
      <c r="K178" s="360"/>
      <c r="L178" s="360"/>
    </row>
    <row r="179" spans="1:12" ht="14.25">
      <c r="A179" s="360"/>
      <c r="B179" s="360"/>
      <c r="C179" s="360"/>
      <c r="D179" s="360"/>
      <c r="E179" s="360"/>
      <c r="F179" s="360"/>
      <c r="G179" s="360"/>
      <c r="H179" s="360"/>
      <c r="I179" s="360"/>
      <c r="J179" s="360"/>
      <c r="K179" s="360"/>
      <c r="L179" s="360"/>
    </row>
    <row r="180" spans="1:12" ht="14.25">
      <c r="A180" s="360"/>
      <c r="B180" s="360"/>
      <c r="C180" s="360"/>
      <c r="D180" s="360"/>
      <c r="E180" s="360"/>
      <c r="F180" s="360"/>
      <c r="G180" s="360"/>
      <c r="H180" s="360"/>
      <c r="I180" s="360"/>
      <c r="J180" s="360"/>
      <c r="K180" s="360"/>
      <c r="L180" s="360"/>
    </row>
    <row r="181" spans="1:12" ht="14.25">
      <c r="A181" s="360"/>
      <c r="B181" s="360"/>
      <c r="C181" s="360"/>
      <c r="D181" s="360"/>
      <c r="E181" s="360"/>
      <c r="F181" s="360"/>
      <c r="G181" s="360"/>
      <c r="H181" s="360"/>
      <c r="I181" s="360"/>
      <c r="J181" s="360"/>
      <c r="K181" s="360"/>
      <c r="L181" s="360"/>
    </row>
    <row r="182" spans="1:12" ht="14.25">
      <c r="A182" s="360"/>
      <c r="B182" s="360"/>
      <c r="C182" s="360"/>
      <c r="D182" s="360"/>
      <c r="E182" s="360"/>
      <c r="F182" s="360"/>
      <c r="G182" s="360"/>
      <c r="H182" s="360"/>
      <c r="I182" s="360"/>
      <c r="J182" s="360"/>
      <c r="K182" s="360"/>
      <c r="L182" s="360"/>
    </row>
    <row r="183" spans="1:12" ht="14.25">
      <c r="A183" s="360"/>
      <c r="B183" s="360"/>
      <c r="C183" s="360"/>
      <c r="D183" s="360"/>
      <c r="E183" s="360"/>
      <c r="F183" s="360"/>
      <c r="G183" s="360"/>
      <c r="H183" s="360"/>
      <c r="I183" s="360"/>
      <c r="J183" s="360"/>
      <c r="K183" s="360"/>
      <c r="L183" s="360"/>
    </row>
    <row r="184" spans="1:12" ht="14.25">
      <c r="A184" s="360"/>
      <c r="B184" s="360"/>
      <c r="C184" s="360"/>
      <c r="D184" s="360"/>
      <c r="E184" s="360"/>
      <c r="F184" s="360"/>
      <c r="G184" s="360"/>
      <c r="H184" s="360"/>
      <c r="I184" s="360"/>
      <c r="J184" s="360"/>
      <c r="K184" s="360"/>
      <c r="L184" s="360"/>
    </row>
    <row r="185" spans="1:12" ht="14.25">
      <c r="A185" s="360"/>
      <c r="B185" s="360"/>
      <c r="C185" s="360"/>
      <c r="D185" s="360"/>
      <c r="E185" s="360"/>
      <c r="F185" s="360"/>
      <c r="G185" s="360"/>
      <c r="H185" s="360"/>
      <c r="I185" s="360"/>
      <c r="J185" s="360"/>
      <c r="K185" s="360"/>
      <c r="L185" s="360"/>
    </row>
    <row r="186" spans="1:12" ht="14.25">
      <c r="A186" s="360"/>
      <c r="B186" s="360"/>
      <c r="C186" s="360"/>
      <c r="D186" s="360"/>
      <c r="E186" s="360"/>
      <c r="F186" s="360"/>
      <c r="G186" s="360"/>
      <c r="H186" s="360"/>
      <c r="I186" s="360"/>
      <c r="J186" s="360"/>
      <c r="K186" s="360"/>
      <c r="L186" s="360"/>
    </row>
    <row r="187" spans="1:12" ht="14.25">
      <c r="A187" s="360"/>
      <c r="B187" s="360"/>
      <c r="C187" s="360"/>
      <c r="D187" s="360"/>
      <c r="E187" s="360"/>
      <c r="F187" s="360"/>
      <c r="G187" s="360"/>
      <c r="H187" s="360"/>
      <c r="I187" s="360"/>
      <c r="J187" s="360"/>
      <c r="K187" s="360"/>
      <c r="L187" s="360"/>
    </row>
    <row r="188" spans="1:12" ht="14.25">
      <c r="A188" s="360"/>
      <c r="B188" s="360"/>
      <c r="C188" s="360"/>
      <c r="D188" s="360"/>
      <c r="E188" s="360"/>
      <c r="F188" s="360"/>
      <c r="G188" s="360"/>
      <c r="H188" s="360"/>
      <c r="I188" s="360"/>
      <c r="J188" s="360"/>
      <c r="K188" s="360"/>
      <c r="L188" s="360"/>
    </row>
    <row r="189" spans="1:12" ht="14.25">
      <c r="A189" s="360"/>
      <c r="B189" s="360"/>
      <c r="C189" s="360"/>
      <c r="D189" s="360"/>
      <c r="E189" s="360"/>
      <c r="F189" s="360"/>
      <c r="G189" s="360"/>
      <c r="H189" s="360"/>
      <c r="I189" s="360"/>
      <c r="J189" s="360"/>
      <c r="K189" s="360"/>
      <c r="L189" s="360"/>
    </row>
    <row r="190" spans="1:12" ht="14.25">
      <c r="A190" s="360"/>
      <c r="B190" s="360"/>
      <c r="C190" s="360"/>
      <c r="D190" s="360"/>
      <c r="E190" s="360"/>
      <c r="F190" s="360"/>
      <c r="G190" s="360"/>
      <c r="H190" s="360"/>
      <c r="I190" s="360"/>
      <c r="J190" s="360"/>
      <c r="K190" s="360"/>
      <c r="L190" s="360"/>
    </row>
    <row r="191" spans="1:12" ht="14.25">
      <c r="A191" s="360"/>
      <c r="B191" s="360"/>
      <c r="C191" s="360"/>
      <c r="D191" s="360"/>
      <c r="E191" s="360"/>
      <c r="F191" s="360"/>
      <c r="G191" s="360"/>
      <c r="H191" s="360"/>
      <c r="I191" s="360"/>
      <c r="J191" s="360"/>
      <c r="K191" s="360"/>
      <c r="L191" s="360"/>
    </row>
    <row r="192" spans="1:12" ht="14.25">
      <c r="A192" s="360"/>
      <c r="B192" s="360"/>
      <c r="C192" s="360"/>
      <c r="D192" s="360"/>
      <c r="E192" s="360"/>
      <c r="F192" s="360"/>
      <c r="G192" s="360"/>
      <c r="H192" s="360"/>
      <c r="I192" s="360"/>
      <c r="J192" s="360"/>
      <c r="K192" s="360"/>
      <c r="L192" s="360"/>
    </row>
    <row r="193" spans="1:12" ht="14.25">
      <c r="A193" s="360"/>
      <c r="B193" s="360"/>
      <c r="C193" s="360"/>
      <c r="D193" s="360"/>
      <c r="E193" s="360"/>
      <c r="F193" s="360"/>
      <c r="G193" s="360"/>
      <c r="H193" s="360"/>
      <c r="I193" s="360"/>
      <c r="J193" s="360"/>
      <c r="K193" s="360"/>
      <c r="L193" s="360"/>
    </row>
    <row r="194" spans="1:12" ht="14.25">
      <c r="A194" s="360"/>
      <c r="B194" s="360"/>
      <c r="C194" s="360"/>
      <c r="D194" s="360"/>
      <c r="E194" s="360"/>
      <c r="F194" s="360"/>
      <c r="G194" s="360"/>
      <c r="H194" s="360"/>
      <c r="I194" s="360"/>
      <c r="J194" s="360"/>
      <c r="K194" s="360"/>
      <c r="L194" s="360"/>
    </row>
    <row r="195" spans="1:12" ht="14.25">
      <c r="A195" s="360"/>
      <c r="B195" s="360"/>
      <c r="C195" s="360"/>
      <c r="D195" s="360"/>
      <c r="E195" s="360"/>
      <c r="F195" s="360"/>
      <c r="G195" s="360"/>
      <c r="H195" s="360"/>
      <c r="I195" s="360"/>
      <c r="J195" s="360"/>
      <c r="K195" s="360"/>
      <c r="L195" s="360"/>
    </row>
    <row r="196" spans="1:12" ht="14.25">
      <c r="A196" s="360"/>
      <c r="B196" s="360"/>
      <c r="C196" s="360"/>
      <c r="D196" s="360"/>
      <c r="E196" s="360"/>
      <c r="F196" s="360"/>
      <c r="G196" s="360"/>
      <c r="H196" s="360"/>
      <c r="I196" s="360"/>
      <c r="J196" s="360"/>
      <c r="K196" s="360"/>
      <c r="L196" s="360"/>
    </row>
    <row r="197" spans="1:12" ht="14.25">
      <c r="A197" s="360"/>
      <c r="B197" s="360"/>
      <c r="C197" s="360"/>
      <c r="D197" s="360"/>
      <c r="E197" s="360"/>
      <c r="F197" s="360"/>
      <c r="G197" s="360"/>
      <c r="H197" s="360"/>
      <c r="I197" s="360"/>
      <c r="J197" s="360"/>
      <c r="K197" s="360"/>
      <c r="L197" s="360"/>
    </row>
    <row r="198" spans="1:12" ht="14.25">
      <c r="A198" s="360"/>
      <c r="B198" s="360"/>
      <c r="C198" s="360"/>
      <c r="D198" s="360"/>
      <c r="E198" s="360"/>
      <c r="F198" s="360"/>
      <c r="G198" s="360"/>
      <c r="H198" s="360"/>
      <c r="I198" s="360"/>
      <c r="J198" s="360"/>
      <c r="K198" s="360"/>
      <c r="L198" s="360"/>
    </row>
    <row r="199" spans="1:12" ht="14.25">
      <c r="A199" s="360"/>
      <c r="B199" s="360"/>
      <c r="C199" s="360"/>
      <c r="D199" s="360"/>
      <c r="E199" s="360"/>
      <c r="F199" s="360"/>
      <c r="G199" s="360"/>
      <c r="H199" s="360"/>
      <c r="I199" s="360"/>
      <c r="J199" s="360"/>
      <c r="K199" s="360"/>
      <c r="L199" s="360"/>
    </row>
    <row r="200" spans="1:12" ht="14.25">
      <c r="A200" s="360"/>
      <c r="B200" s="360"/>
      <c r="C200" s="360"/>
      <c r="D200" s="360"/>
      <c r="E200" s="360"/>
      <c r="F200" s="360"/>
      <c r="G200" s="360"/>
      <c r="H200" s="360"/>
      <c r="I200" s="360"/>
      <c r="J200" s="360"/>
      <c r="K200" s="360"/>
      <c r="L200" s="360"/>
    </row>
    <row r="201" spans="1:12" ht="14.25">
      <c r="A201" s="360"/>
      <c r="B201" s="360"/>
      <c r="C201" s="360"/>
      <c r="D201" s="360"/>
      <c r="E201" s="360"/>
      <c r="F201" s="360"/>
      <c r="G201" s="360"/>
      <c r="H201" s="360"/>
      <c r="I201" s="360"/>
      <c r="J201" s="360"/>
      <c r="K201" s="360"/>
      <c r="L201" s="360"/>
    </row>
    <row r="202" spans="1:12" ht="14.25">
      <c r="A202" s="360"/>
      <c r="B202" s="360"/>
      <c r="C202" s="360"/>
      <c r="D202" s="360"/>
      <c r="E202" s="360"/>
      <c r="F202" s="360"/>
      <c r="G202" s="360"/>
      <c r="H202" s="360"/>
      <c r="I202" s="360"/>
      <c r="J202" s="360"/>
      <c r="K202" s="360"/>
      <c r="L202" s="360"/>
    </row>
    <row r="203" spans="1:12" ht="14.25">
      <c r="A203" s="360"/>
      <c r="B203" s="360"/>
      <c r="C203" s="360"/>
      <c r="D203" s="360"/>
      <c r="E203" s="360"/>
      <c r="F203" s="360"/>
      <c r="G203" s="360"/>
      <c r="H203" s="360"/>
      <c r="I203" s="360"/>
      <c r="J203" s="360"/>
      <c r="K203" s="360"/>
      <c r="L203" s="360"/>
    </row>
    <row r="204" spans="1:12" ht="14.25">
      <c r="A204" s="360"/>
      <c r="B204" s="360"/>
      <c r="C204" s="360"/>
      <c r="D204" s="360"/>
      <c r="E204" s="360"/>
      <c r="F204" s="360"/>
      <c r="G204" s="360"/>
      <c r="H204" s="360"/>
      <c r="I204" s="360"/>
      <c r="J204" s="360"/>
      <c r="K204" s="360"/>
      <c r="L204" s="360"/>
    </row>
    <row r="205" spans="1:12" ht="14.25">
      <c r="A205" s="360"/>
      <c r="B205" s="360"/>
      <c r="C205" s="360"/>
      <c r="D205" s="360"/>
      <c r="E205" s="360"/>
      <c r="F205" s="360"/>
      <c r="G205" s="360"/>
      <c r="H205" s="360"/>
      <c r="I205" s="360"/>
      <c r="J205" s="360"/>
      <c r="K205" s="360"/>
      <c r="L205" s="360"/>
    </row>
    <row r="206" spans="1:12" ht="14.25">
      <c r="A206" s="360"/>
      <c r="B206" s="360"/>
      <c r="C206" s="360"/>
      <c r="D206" s="360"/>
      <c r="E206" s="360"/>
      <c r="F206" s="360"/>
      <c r="G206" s="360"/>
      <c r="H206" s="360"/>
      <c r="I206" s="360"/>
      <c r="J206" s="360"/>
      <c r="K206" s="360"/>
      <c r="L206" s="360"/>
    </row>
    <row r="207" spans="1:12" ht="14.25">
      <c r="A207" s="360"/>
      <c r="B207" s="360"/>
      <c r="C207" s="360"/>
      <c r="D207" s="360"/>
      <c r="E207" s="360"/>
      <c r="F207" s="360"/>
      <c r="G207" s="360"/>
      <c r="H207" s="360"/>
      <c r="I207" s="360"/>
      <c r="J207" s="360"/>
      <c r="K207" s="360"/>
      <c r="L207" s="360"/>
    </row>
    <row r="208" spans="1:12" ht="14.25">
      <c r="A208" s="360"/>
      <c r="B208" s="360"/>
      <c r="C208" s="360"/>
      <c r="D208" s="360"/>
      <c r="E208" s="360"/>
      <c r="F208" s="360"/>
      <c r="G208" s="360"/>
      <c r="H208" s="360"/>
      <c r="I208" s="360"/>
      <c r="J208" s="360"/>
      <c r="K208" s="360"/>
      <c r="L208" s="360"/>
    </row>
    <row r="209" spans="1:12" ht="14.25">
      <c r="A209" s="360"/>
      <c r="B209" s="360"/>
      <c r="C209" s="360"/>
      <c r="D209" s="360"/>
      <c r="E209" s="360"/>
      <c r="F209" s="360"/>
      <c r="G209" s="360"/>
      <c r="H209" s="360"/>
      <c r="I209" s="360"/>
      <c r="J209" s="360"/>
      <c r="K209" s="360"/>
      <c r="L209" s="360"/>
    </row>
    <row r="210" spans="1:12" ht="14.25">
      <c r="A210" s="360"/>
      <c r="B210" s="360"/>
      <c r="C210" s="360"/>
      <c r="D210" s="360"/>
      <c r="E210" s="360"/>
      <c r="F210" s="360"/>
      <c r="G210" s="360"/>
      <c r="H210" s="360"/>
      <c r="I210" s="360"/>
      <c r="J210" s="360"/>
      <c r="K210" s="360"/>
      <c r="L210" s="360"/>
    </row>
    <row r="211" spans="1:12" ht="14.25">
      <c r="A211" s="360"/>
      <c r="B211" s="360"/>
      <c r="C211" s="360"/>
      <c r="D211" s="360"/>
      <c r="E211" s="360"/>
      <c r="F211" s="360"/>
      <c r="G211" s="360"/>
      <c r="H211" s="360"/>
      <c r="I211" s="360"/>
      <c r="J211" s="360"/>
      <c r="K211" s="360"/>
      <c r="L211" s="360"/>
    </row>
    <row r="212" spans="1:12" ht="14.25">
      <c r="A212" s="360"/>
      <c r="B212" s="360"/>
      <c r="C212" s="360"/>
      <c r="D212" s="360"/>
      <c r="E212" s="360"/>
      <c r="F212" s="360"/>
      <c r="G212" s="360"/>
      <c r="H212" s="360"/>
      <c r="I212" s="360"/>
      <c r="J212" s="360"/>
      <c r="K212" s="360"/>
      <c r="L212" s="360"/>
    </row>
    <row r="213" spans="1:12" ht="14.25">
      <c r="A213" s="360"/>
      <c r="B213" s="360"/>
      <c r="C213" s="360"/>
      <c r="D213" s="360"/>
      <c r="E213" s="360"/>
      <c r="F213" s="360"/>
      <c r="G213" s="360"/>
      <c r="H213" s="360"/>
      <c r="I213" s="360"/>
      <c r="J213" s="360"/>
      <c r="K213" s="360"/>
      <c r="L213" s="360"/>
    </row>
    <row r="214" spans="1:12" ht="14.25">
      <c r="A214" s="360"/>
      <c r="B214" s="360"/>
      <c r="C214" s="360"/>
      <c r="D214" s="360"/>
      <c r="E214" s="360"/>
      <c r="F214" s="360"/>
      <c r="G214" s="360"/>
      <c r="H214" s="360"/>
      <c r="I214" s="360"/>
      <c r="J214" s="360"/>
      <c r="K214" s="360"/>
      <c r="L214" s="360"/>
    </row>
    <row r="215" spans="1:12" ht="14.25">
      <c r="A215" s="360"/>
      <c r="B215" s="360"/>
      <c r="C215" s="360"/>
      <c r="D215" s="360"/>
      <c r="E215" s="360"/>
      <c r="F215" s="360"/>
      <c r="G215" s="360"/>
      <c r="H215" s="360"/>
      <c r="I215" s="360"/>
      <c r="J215" s="360"/>
      <c r="K215" s="360"/>
      <c r="L215" s="360"/>
    </row>
    <row r="216" spans="1:12" ht="14.25">
      <c r="A216" s="360"/>
      <c r="B216" s="360"/>
      <c r="C216" s="360"/>
      <c r="D216" s="360"/>
      <c r="E216" s="360"/>
      <c r="F216" s="360"/>
      <c r="G216" s="360"/>
      <c r="H216" s="360"/>
      <c r="I216" s="360"/>
      <c r="J216" s="360"/>
      <c r="K216" s="360"/>
      <c r="L216" s="360"/>
    </row>
    <row r="217" spans="1:12" ht="14.25">
      <c r="A217" s="360"/>
      <c r="B217" s="360"/>
      <c r="C217" s="360"/>
      <c r="D217" s="360"/>
      <c r="E217" s="360"/>
      <c r="F217" s="360"/>
      <c r="G217" s="360"/>
      <c r="H217" s="360"/>
      <c r="I217" s="360"/>
      <c r="J217" s="360"/>
      <c r="K217" s="360"/>
      <c r="L217" s="360"/>
    </row>
    <row r="218" spans="1:12" ht="14.25">
      <c r="A218" s="360"/>
      <c r="B218" s="360"/>
      <c r="C218" s="360"/>
      <c r="D218" s="360"/>
      <c r="E218" s="360"/>
      <c r="F218" s="360"/>
      <c r="G218" s="360"/>
      <c r="H218" s="360"/>
      <c r="I218" s="360"/>
      <c r="J218" s="360"/>
      <c r="K218" s="360"/>
      <c r="L218" s="360"/>
    </row>
    <row r="219" spans="1:12" ht="14.25">
      <c r="A219" s="360"/>
      <c r="B219" s="360"/>
      <c r="C219" s="360"/>
      <c r="D219" s="360"/>
      <c r="E219" s="360"/>
      <c r="F219" s="360"/>
      <c r="G219" s="360"/>
      <c r="H219" s="360"/>
      <c r="I219" s="360"/>
      <c r="J219" s="360"/>
      <c r="K219" s="360"/>
      <c r="L219" s="360"/>
    </row>
    <row r="220" spans="1:12" ht="14.25">
      <c r="A220" s="360"/>
      <c r="B220" s="360"/>
      <c r="C220" s="360"/>
      <c r="D220" s="360"/>
      <c r="E220" s="360"/>
      <c r="F220" s="360"/>
      <c r="G220" s="360"/>
      <c r="H220" s="360"/>
      <c r="I220" s="360"/>
      <c r="J220" s="360"/>
      <c r="K220" s="360"/>
      <c r="L220" s="360"/>
    </row>
    <row r="221" spans="1:12" ht="14.25">
      <c r="A221" s="360"/>
      <c r="B221" s="360"/>
      <c r="C221" s="360"/>
      <c r="D221" s="360"/>
      <c r="E221" s="360"/>
      <c r="F221" s="360"/>
      <c r="G221" s="360"/>
      <c r="H221" s="360"/>
      <c r="I221" s="360"/>
      <c r="J221" s="360"/>
      <c r="K221" s="360"/>
      <c r="L221" s="360"/>
    </row>
    <row r="222" spans="1:12" ht="14.25">
      <c r="A222" s="360"/>
      <c r="B222" s="360"/>
      <c r="C222" s="360"/>
      <c r="D222" s="360"/>
      <c r="E222" s="360"/>
      <c r="F222" s="360"/>
      <c r="G222" s="360"/>
      <c r="H222" s="360"/>
      <c r="I222" s="360"/>
      <c r="J222" s="360"/>
      <c r="K222" s="360"/>
      <c r="L222" s="360"/>
    </row>
    <row r="223" spans="1:12" ht="14.25">
      <c r="A223" s="360"/>
      <c r="B223" s="360"/>
      <c r="C223" s="360"/>
      <c r="D223" s="360"/>
      <c r="E223" s="360"/>
      <c r="F223" s="360"/>
      <c r="G223" s="360"/>
      <c r="H223" s="360"/>
      <c r="I223" s="360"/>
      <c r="J223" s="360"/>
      <c r="K223" s="360"/>
      <c r="L223" s="360"/>
    </row>
    <row r="224" spans="1:12" ht="14.25">
      <c r="A224" s="360"/>
      <c r="B224" s="360"/>
      <c r="C224" s="360"/>
      <c r="D224" s="360"/>
      <c r="E224" s="360"/>
      <c r="F224" s="360"/>
      <c r="G224" s="360"/>
      <c r="H224" s="360"/>
      <c r="I224" s="360"/>
      <c r="J224" s="360"/>
      <c r="K224" s="360"/>
      <c r="L224" s="360"/>
    </row>
    <row r="225" spans="1:12" ht="14.25">
      <c r="A225" s="360"/>
      <c r="B225" s="360"/>
      <c r="C225" s="360"/>
      <c r="D225" s="360"/>
      <c r="E225" s="360"/>
      <c r="F225" s="360"/>
      <c r="G225" s="360"/>
      <c r="H225" s="360"/>
      <c r="I225" s="360"/>
      <c r="J225" s="360"/>
      <c r="K225" s="360"/>
      <c r="L225" s="360"/>
    </row>
    <row r="226" spans="1:12" ht="14.25">
      <c r="A226" s="360"/>
      <c r="B226" s="360"/>
      <c r="C226" s="360"/>
      <c r="D226" s="360"/>
      <c r="E226" s="360"/>
      <c r="F226" s="360"/>
      <c r="G226" s="360"/>
      <c r="H226" s="360"/>
      <c r="I226" s="360"/>
      <c r="J226" s="360"/>
      <c r="K226" s="360"/>
      <c r="L226" s="360"/>
    </row>
    <row r="227" spans="1:12" ht="14.25">
      <c r="A227" s="360"/>
      <c r="B227" s="360"/>
      <c r="C227" s="360"/>
      <c r="D227" s="360"/>
      <c r="E227" s="360"/>
      <c r="F227" s="360"/>
      <c r="G227" s="360"/>
      <c r="H227" s="360"/>
      <c r="I227" s="360"/>
      <c r="J227" s="360"/>
      <c r="K227" s="360"/>
      <c r="L227" s="360"/>
    </row>
    <row r="228" spans="1:12" ht="14.25">
      <c r="A228" s="360"/>
      <c r="B228" s="360"/>
      <c r="C228" s="360"/>
      <c r="D228" s="360"/>
      <c r="E228" s="360"/>
      <c r="F228" s="360"/>
      <c r="G228" s="360"/>
      <c r="H228" s="360"/>
      <c r="I228" s="360"/>
      <c r="J228" s="360"/>
      <c r="K228" s="360"/>
      <c r="L228" s="360"/>
    </row>
    <row r="229" spans="1:12" ht="14.25">
      <c r="A229" s="360"/>
      <c r="B229" s="360"/>
      <c r="C229" s="360"/>
      <c r="D229" s="360"/>
      <c r="E229" s="360"/>
      <c r="F229" s="360"/>
      <c r="G229" s="360"/>
      <c r="H229" s="360"/>
      <c r="I229" s="360"/>
      <c r="J229" s="360"/>
      <c r="K229" s="360"/>
      <c r="L229" s="360"/>
    </row>
    <row r="230" spans="1:12" ht="14.25">
      <c r="A230" s="360"/>
      <c r="B230" s="360"/>
      <c r="C230" s="360"/>
      <c r="D230" s="360"/>
      <c r="E230" s="360"/>
      <c r="F230" s="360"/>
      <c r="G230" s="360"/>
      <c r="H230" s="360"/>
      <c r="I230" s="360"/>
      <c r="J230" s="360"/>
      <c r="K230" s="360"/>
      <c r="L230" s="360"/>
    </row>
    <row r="231" spans="1:12" ht="14.25">
      <c r="A231" s="360"/>
      <c r="B231" s="360"/>
      <c r="C231" s="360"/>
      <c r="D231" s="360"/>
      <c r="E231" s="360"/>
      <c r="F231" s="360"/>
      <c r="G231" s="360"/>
      <c r="H231" s="360"/>
      <c r="I231" s="360"/>
      <c r="J231" s="360"/>
      <c r="K231" s="360"/>
      <c r="L231" s="360"/>
    </row>
    <row r="232" spans="1:12" ht="14.25">
      <c r="A232" s="360"/>
      <c r="B232" s="360"/>
      <c r="C232" s="360"/>
      <c r="D232" s="360"/>
      <c r="E232" s="360"/>
      <c r="F232" s="360"/>
      <c r="G232" s="360"/>
      <c r="H232" s="360"/>
      <c r="I232" s="360"/>
      <c r="J232" s="360"/>
      <c r="K232" s="360"/>
      <c r="L232" s="360"/>
    </row>
    <row r="233" spans="1:12" ht="14.25">
      <c r="A233" s="360"/>
      <c r="B233" s="360"/>
      <c r="C233" s="360"/>
      <c r="D233" s="360"/>
      <c r="E233" s="360"/>
      <c r="F233" s="360"/>
      <c r="G233" s="360"/>
      <c r="H233" s="360"/>
      <c r="I233" s="360"/>
      <c r="J233" s="360"/>
      <c r="K233" s="360"/>
      <c r="L233" s="360"/>
    </row>
    <row r="234" spans="1:12" ht="14.25">
      <c r="A234" s="360"/>
      <c r="B234" s="360"/>
      <c r="C234" s="360"/>
      <c r="D234" s="360"/>
      <c r="E234" s="360"/>
      <c r="F234" s="360"/>
      <c r="G234" s="360"/>
      <c r="H234" s="360"/>
      <c r="I234" s="360"/>
      <c r="J234" s="360"/>
      <c r="K234" s="360"/>
      <c r="L234" s="360"/>
    </row>
    <row r="235" spans="1:12" ht="14.25">
      <c r="A235" s="360"/>
      <c r="B235" s="360"/>
      <c r="C235" s="360"/>
      <c r="D235" s="360"/>
      <c r="E235" s="360"/>
      <c r="F235" s="360"/>
      <c r="G235" s="360"/>
      <c r="H235" s="360"/>
      <c r="I235" s="360"/>
      <c r="J235" s="360"/>
      <c r="K235" s="360"/>
      <c r="L235" s="360"/>
    </row>
    <row r="236" spans="1:12" ht="14.25">
      <c r="A236" s="360"/>
      <c r="B236" s="360"/>
      <c r="C236" s="360"/>
      <c r="D236" s="360"/>
      <c r="E236" s="360"/>
      <c r="F236" s="360"/>
      <c r="G236" s="360"/>
      <c r="H236" s="360"/>
      <c r="I236" s="360"/>
      <c r="J236" s="360"/>
      <c r="K236" s="360"/>
      <c r="L236" s="360"/>
    </row>
    <row r="237" spans="1:12" ht="14.25">
      <c r="A237" s="360"/>
      <c r="B237" s="360"/>
      <c r="C237" s="360"/>
      <c r="D237" s="360"/>
      <c r="E237" s="360"/>
      <c r="F237" s="360"/>
      <c r="G237" s="360"/>
      <c r="H237" s="360"/>
      <c r="I237" s="360"/>
      <c r="J237" s="360"/>
      <c r="K237" s="360"/>
      <c r="L237" s="360"/>
    </row>
    <row r="238" spans="1:12" ht="14.25">
      <c r="A238" s="360"/>
      <c r="B238" s="360"/>
      <c r="C238" s="360"/>
      <c r="D238" s="360"/>
      <c r="E238" s="360"/>
      <c r="F238" s="360"/>
      <c r="G238" s="360"/>
      <c r="H238" s="360"/>
      <c r="I238" s="360"/>
      <c r="J238" s="360"/>
      <c r="K238" s="360"/>
      <c r="L238" s="360"/>
    </row>
    <row r="239" spans="1:12" ht="14.25">
      <c r="A239" s="360"/>
      <c r="B239" s="360"/>
      <c r="C239" s="360"/>
      <c r="D239" s="360"/>
      <c r="E239" s="360"/>
      <c r="F239" s="360"/>
      <c r="G239" s="360"/>
      <c r="H239" s="360"/>
      <c r="I239" s="360"/>
      <c r="J239" s="360"/>
      <c r="K239" s="360"/>
      <c r="L239" s="360"/>
    </row>
    <row r="240" spans="1:12" ht="14.25">
      <c r="A240" s="360"/>
      <c r="B240" s="360"/>
      <c r="C240" s="360"/>
      <c r="D240" s="360"/>
      <c r="E240" s="360"/>
      <c r="F240" s="360"/>
      <c r="G240" s="360"/>
      <c r="H240" s="360"/>
      <c r="I240" s="360"/>
      <c r="J240" s="360"/>
      <c r="K240" s="360"/>
      <c r="L240" s="360"/>
    </row>
    <row r="241" spans="1:12" ht="14.25">
      <c r="A241" s="360"/>
      <c r="B241" s="360"/>
      <c r="C241" s="360"/>
      <c r="D241" s="360"/>
      <c r="E241" s="360"/>
      <c r="F241" s="360"/>
      <c r="G241" s="360"/>
      <c r="H241" s="360"/>
      <c r="I241" s="360"/>
      <c r="J241" s="360"/>
      <c r="K241" s="360"/>
      <c r="L241" s="360"/>
    </row>
    <row r="242" spans="1:12" ht="14.25">
      <c r="A242" s="360"/>
      <c r="B242" s="360"/>
      <c r="C242" s="360"/>
      <c r="D242" s="360"/>
      <c r="E242" s="360"/>
      <c r="F242" s="360"/>
      <c r="G242" s="360"/>
      <c r="H242" s="360"/>
      <c r="I242" s="360"/>
      <c r="J242" s="360"/>
      <c r="K242" s="360"/>
      <c r="L242" s="360"/>
    </row>
    <row r="243" spans="1:12" ht="14.25">
      <c r="A243" s="360"/>
      <c r="B243" s="360"/>
      <c r="C243" s="360"/>
      <c r="D243" s="360"/>
      <c r="E243" s="360"/>
      <c r="F243" s="360"/>
      <c r="G243" s="360"/>
      <c r="H243" s="360"/>
      <c r="I243" s="360"/>
      <c r="J243" s="360"/>
      <c r="K243" s="360"/>
      <c r="L243" s="360"/>
    </row>
    <row r="244" spans="1:12" ht="14.25">
      <c r="A244" s="360"/>
      <c r="B244" s="360"/>
      <c r="C244" s="360"/>
      <c r="D244" s="360"/>
      <c r="E244" s="360"/>
      <c r="F244" s="360"/>
      <c r="G244" s="360"/>
      <c r="H244" s="360"/>
      <c r="I244" s="360"/>
      <c r="J244" s="360"/>
      <c r="K244" s="360"/>
      <c r="L244" s="360"/>
    </row>
    <row r="245" spans="1:12" ht="14.25">
      <c r="A245" s="360"/>
      <c r="B245" s="360"/>
      <c r="C245" s="360"/>
      <c r="D245" s="360"/>
      <c r="E245" s="360"/>
      <c r="F245" s="360"/>
      <c r="G245" s="360"/>
      <c r="H245" s="360"/>
      <c r="I245" s="360"/>
      <c r="J245" s="360"/>
      <c r="K245" s="360"/>
      <c r="L245" s="360"/>
    </row>
    <row r="246" spans="1:12" ht="14.25">
      <c r="A246" s="360"/>
      <c r="B246" s="360"/>
      <c r="C246" s="360"/>
      <c r="D246" s="360"/>
      <c r="E246" s="360"/>
      <c r="F246" s="360"/>
      <c r="G246" s="360"/>
      <c r="H246" s="360"/>
      <c r="I246" s="360"/>
      <c r="J246" s="360"/>
      <c r="K246" s="360"/>
      <c r="L246" s="360"/>
    </row>
    <row r="247" spans="1:12" ht="14.25">
      <c r="A247" s="360"/>
      <c r="B247" s="360"/>
      <c r="C247" s="360"/>
      <c r="D247" s="360"/>
      <c r="E247" s="360"/>
      <c r="F247" s="360"/>
      <c r="G247" s="360"/>
      <c r="H247" s="360"/>
      <c r="I247" s="360"/>
      <c r="J247" s="360"/>
      <c r="K247" s="360"/>
      <c r="L247" s="360"/>
    </row>
    <row r="248" spans="1:12" ht="14.25">
      <c r="A248" s="360"/>
      <c r="B248" s="360"/>
      <c r="C248" s="360"/>
      <c r="D248" s="360"/>
      <c r="E248" s="360"/>
      <c r="F248" s="360"/>
      <c r="G248" s="360"/>
      <c r="H248" s="360"/>
      <c r="I248" s="360"/>
      <c r="J248" s="360"/>
      <c r="K248" s="360"/>
      <c r="L248" s="360"/>
    </row>
    <row r="249" spans="1:12" ht="14.25">
      <c r="A249" s="360"/>
      <c r="B249" s="360"/>
      <c r="C249" s="360"/>
      <c r="D249" s="360"/>
      <c r="E249" s="360"/>
      <c r="F249" s="360"/>
      <c r="G249" s="360"/>
      <c r="H249" s="360"/>
      <c r="I249" s="360"/>
      <c r="J249" s="360"/>
      <c r="K249" s="360"/>
      <c r="L249" s="360"/>
    </row>
    <row r="250" spans="1:12" ht="14.25">
      <c r="A250" s="360"/>
      <c r="B250" s="360"/>
      <c r="C250" s="360"/>
      <c r="D250" s="360"/>
      <c r="E250" s="360"/>
      <c r="F250" s="360"/>
      <c r="G250" s="360"/>
      <c r="H250" s="360"/>
      <c r="I250" s="360"/>
      <c r="J250" s="360"/>
      <c r="K250" s="360"/>
      <c r="L250" s="360"/>
    </row>
    <row r="251" spans="1:12" ht="14.25">
      <c r="A251" s="360"/>
      <c r="B251" s="360"/>
      <c r="C251" s="360"/>
      <c r="D251" s="360"/>
      <c r="E251" s="360"/>
      <c r="F251" s="360"/>
      <c r="G251" s="360"/>
      <c r="H251" s="360"/>
      <c r="I251" s="360"/>
      <c r="J251" s="360"/>
      <c r="K251" s="360"/>
      <c r="L251" s="360"/>
    </row>
    <row r="252" spans="1:12" ht="14.25">
      <c r="A252" s="360"/>
      <c r="B252" s="360"/>
      <c r="C252" s="360"/>
      <c r="D252" s="360"/>
      <c r="E252" s="360"/>
      <c r="F252" s="360"/>
      <c r="G252" s="360"/>
      <c r="H252" s="360"/>
      <c r="I252" s="360"/>
      <c r="J252" s="360"/>
      <c r="K252" s="360"/>
      <c r="L252" s="360"/>
    </row>
    <row r="253" spans="1:12" ht="14.25">
      <c r="A253" s="360"/>
      <c r="B253" s="360"/>
      <c r="C253" s="360"/>
      <c r="D253" s="360"/>
      <c r="E253" s="360"/>
      <c r="F253" s="360"/>
      <c r="G253" s="360"/>
      <c r="H253" s="360"/>
      <c r="I253" s="360"/>
      <c r="J253" s="360"/>
      <c r="K253" s="360"/>
      <c r="L253" s="360"/>
    </row>
    <row r="254" spans="1:12" ht="14.25">
      <c r="A254" s="360"/>
      <c r="B254" s="360"/>
      <c r="C254" s="360"/>
      <c r="D254" s="360"/>
      <c r="E254" s="360"/>
      <c r="F254" s="360"/>
      <c r="G254" s="360"/>
      <c r="H254" s="360"/>
      <c r="I254" s="360"/>
      <c r="J254" s="360"/>
      <c r="K254" s="360"/>
      <c r="L254" s="360"/>
    </row>
    <row r="255" spans="1:12" ht="14.25">
      <c r="A255" s="360"/>
      <c r="B255" s="360"/>
      <c r="C255" s="360"/>
      <c r="D255" s="360"/>
      <c r="E255" s="360"/>
      <c r="F255" s="360"/>
      <c r="G255" s="360"/>
      <c r="H255" s="360"/>
      <c r="I255" s="360"/>
      <c r="J255" s="360"/>
      <c r="K255" s="360"/>
      <c r="L255" s="360"/>
    </row>
    <row r="256" spans="1:12" ht="14.25">
      <c r="A256" s="360"/>
      <c r="B256" s="360"/>
      <c r="C256" s="360"/>
      <c r="D256" s="360"/>
      <c r="E256" s="360"/>
      <c r="F256" s="360"/>
      <c r="G256" s="360"/>
      <c r="H256" s="360"/>
      <c r="I256" s="360"/>
      <c r="J256" s="360"/>
      <c r="K256" s="360"/>
      <c r="L256" s="360"/>
    </row>
    <row r="257" spans="1:12" ht="14.25">
      <c r="A257" s="360"/>
      <c r="B257" s="360"/>
      <c r="C257" s="360"/>
      <c r="D257" s="360"/>
      <c r="E257" s="360"/>
      <c r="F257" s="360"/>
      <c r="G257" s="360"/>
      <c r="H257" s="360"/>
      <c r="I257" s="360"/>
      <c r="J257" s="360"/>
      <c r="K257" s="360"/>
      <c r="L257" s="360"/>
    </row>
    <row r="258" spans="1:12" ht="14.25">
      <c r="A258" s="360"/>
      <c r="B258" s="360"/>
      <c r="C258" s="360"/>
      <c r="D258" s="360"/>
      <c r="E258" s="360"/>
      <c r="F258" s="360"/>
      <c r="G258" s="360"/>
      <c r="H258" s="360"/>
      <c r="I258" s="360"/>
      <c r="J258" s="360"/>
      <c r="K258" s="360"/>
      <c r="L258" s="360"/>
    </row>
    <row r="259" spans="1:12" ht="14.25">
      <c r="A259" s="360"/>
      <c r="B259" s="360"/>
      <c r="C259" s="360"/>
      <c r="D259" s="360"/>
      <c r="E259" s="360"/>
      <c r="F259" s="360"/>
      <c r="G259" s="360"/>
      <c r="H259" s="360"/>
      <c r="I259" s="360"/>
      <c r="J259" s="360"/>
      <c r="K259" s="360"/>
      <c r="L259" s="360"/>
    </row>
    <row r="260" spans="1:12" ht="14.25">
      <c r="A260" s="360"/>
      <c r="B260" s="360"/>
      <c r="C260" s="360"/>
      <c r="D260" s="360"/>
      <c r="E260" s="360"/>
      <c r="F260" s="360"/>
      <c r="G260" s="360"/>
      <c r="H260" s="360"/>
      <c r="I260" s="360"/>
      <c r="J260" s="360"/>
      <c r="K260" s="360"/>
      <c r="L260" s="360"/>
    </row>
    <row r="261" spans="1:12" ht="14.25">
      <c r="A261" s="360"/>
      <c r="B261" s="360"/>
      <c r="C261" s="360"/>
      <c r="D261" s="360"/>
      <c r="E261" s="360"/>
      <c r="F261" s="360"/>
      <c r="G261" s="360"/>
      <c r="H261" s="360"/>
      <c r="I261" s="360"/>
      <c r="J261" s="360"/>
      <c r="K261" s="360"/>
      <c r="L261" s="360"/>
    </row>
    <row r="262" spans="1:12" ht="14.25">
      <c r="A262" s="360"/>
      <c r="B262" s="360"/>
      <c r="C262" s="360"/>
      <c r="D262" s="360"/>
      <c r="E262" s="360"/>
      <c r="F262" s="360"/>
      <c r="G262" s="360"/>
      <c r="H262" s="360"/>
      <c r="I262" s="360"/>
      <c r="J262" s="360"/>
      <c r="K262" s="360"/>
      <c r="L262" s="360"/>
    </row>
    <row r="263" spans="1:12" ht="14.25">
      <c r="A263" s="360"/>
      <c r="B263" s="360"/>
      <c r="C263" s="360"/>
      <c r="D263" s="360"/>
      <c r="E263" s="360"/>
      <c r="F263" s="360"/>
      <c r="G263" s="360"/>
      <c r="H263" s="360"/>
      <c r="I263" s="360"/>
      <c r="J263" s="360"/>
      <c r="K263" s="360"/>
      <c r="L263" s="360"/>
    </row>
    <row r="264" spans="1:12" ht="14.25">
      <c r="A264" s="360"/>
      <c r="B264" s="360"/>
      <c r="C264" s="360"/>
      <c r="D264" s="360"/>
      <c r="E264" s="360"/>
      <c r="F264" s="360"/>
      <c r="G264" s="360"/>
      <c r="H264" s="360"/>
      <c r="I264" s="360"/>
      <c r="J264" s="360"/>
      <c r="K264" s="360"/>
      <c r="L264" s="360"/>
    </row>
    <row r="265" spans="1:12" ht="14.25">
      <c r="A265" s="360"/>
      <c r="B265" s="360"/>
      <c r="C265" s="360"/>
      <c r="D265" s="360"/>
      <c r="E265" s="360"/>
      <c r="F265" s="360"/>
      <c r="G265" s="360"/>
      <c r="H265" s="360"/>
      <c r="I265" s="360"/>
      <c r="J265" s="360"/>
      <c r="K265" s="360"/>
      <c r="L265" s="360"/>
    </row>
    <row r="266" spans="1:12" ht="14.25">
      <c r="A266" s="360"/>
      <c r="B266" s="360"/>
      <c r="C266" s="360"/>
      <c r="D266" s="360"/>
      <c r="E266" s="360"/>
      <c r="F266" s="360"/>
      <c r="G266" s="360"/>
      <c r="H266" s="360"/>
      <c r="I266" s="360"/>
      <c r="J266" s="360"/>
      <c r="K266" s="360"/>
      <c r="L266" s="360"/>
    </row>
    <row r="267" spans="1:12" ht="14.25">
      <c r="A267" s="360"/>
      <c r="B267" s="360"/>
      <c r="C267" s="360"/>
      <c r="D267" s="360"/>
      <c r="E267" s="360"/>
      <c r="F267" s="360"/>
      <c r="G267" s="360"/>
      <c r="H267" s="360"/>
      <c r="I267" s="360"/>
      <c r="J267" s="360"/>
      <c r="K267" s="360"/>
      <c r="L267" s="360"/>
    </row>
    <row r="268" spans="1:12" ht="14.25">
      <c r="A268" s="360"/>
      <c r="B268" s="360"/>
      <c r="C268" s="360"/>
      <c r="D268" s="360"/>
      <c r="E268" s="360"/>
      <c r="F268" s="360"/>
      <c r="G268" s="360"/>
      <c r="H268" s="360"/>
      <c r="I268" s="360"/>
      <c r="J268" s="360"/>
      <c r="K268" s="360"/>
      <c r="L268" s="360"/>
    </row>
    <row r="269" spans="1:12" ht="14.25">
      <c r="A269" s="360"/>
      <c r="B269" s="360"/>
      <c r="C269" s="360"/>
      <c r="D269" s="360"/>
      <c r="E269" s="360"/>
      <c r="F269" s="360"/>
      <c r="G269" s="360"/>
      <c r="H269" s="360"/>
      <c r="I269" s="360"/>
      <c r="J269" s="360"/>
      <c r="K269" s="360"/>
      <c r="L269" s="360"/>
    </row>
    <row r="270" spans="1:12" ht="14.25">
      <c r="A270" s="360"/>
      <c r="B270" s="360"/>
      <c r="C270" s="360"/>
      <c r="D270" s="360"/>
      <c r="E270" s="360"/>
      <c r="F270" s="360"/>
      <c r="G270" s="360"/>
      <c r="H270" s="360"/>
      <c r="I270" s="360"/>
      <c r="J270" s="360"/>
      <c r="K270" s="360"/>
      <c r="L270" s="360"/>
    </row>
    <row r="271" spans="1:12" ht="14.25">
      <c r="A271" s="360"/>
      <c r="B271" s="360"/>
      <c r="C271" s="360"/>
      <c r="D271" s="360"/>
      <c r="E271" s="360"/>
      <c r="F271" s="360"/>
      <c r="G271" s="360"/>
      <c r="H271" s="360"/>
      <c r="I271" s="360"/>
      <c r="J271" s="360"/>
      <c r="K271" s="360"/>
      <c r="L271" s="360"/>
    </row>
    <row r="272" spans="1:12" ht="14.25">
      <c r="A272" s="360"/>
      <c r="B272" s="360"/>
      <c r="C272" s="360"/>
      <c r="D272" s="360"/>
      <c r="E272" s="360"/>
      <c r="F272" s="360"/>
      <c r="G272" s="360"/>
      <c r="H272" s="360"/>
      <c r="I272" s="360"/>
      <c r="J272" s="360"/>
      <c r="K272" s="360"/>
      <c r="L272" s="360"/>
    </row>
    <row r="273" spans="1:12" ht="14.25">
      <c r="A273" s="360"/>
      <c r="B273" s="360"/>
      <c r="C273" s="360"/>
      <c r="D273" s="360"/>
      <c r="E273" s="360"/>
      <c r="F273" s="360"/>
      <c r="G273" s="360"/>
      <c r="H273" s="360"/>
      <c r="I273" s="360"/>
      <c r="J273" s="360"/>
      <c r="K273" s="360"/>
      <c r="L273" s="360"/>
    </row>
    <row r="274" spans="1:12" ht="14.25">
      <c r="A274" s="360"/>
      <c r="B274" s="360"/>
      <c r="C274" s="360"/>
      <c r="D274" s="360"/>
      <c r="E274" s="360"/>
      <c r="F274" s="360"/>
      <c r="G274" s="360"/>
      <c r="H274" s="360"/>
      <c r="I274" s="360"/>
      <c r="J274" s="360"/>
      <c r="K274" s="360"/>
      <c r="L274" s="360"/>
    </row>
    <row r="275" spans="1:12" ht="14.25">
      <c r="A275" s="360"/>
      <c r="B275" s="360"/>
      <c r="C275" s="360"/>
      <c r="D275" s="360"/>
      <c r="E275" s="360"/>
      <c r="F275" s="360"/>
      <c r="G275" s="360"/>
      <c r="H275" s="360"/>
      <c r="I275" s="360"/>
      <c r="J275" s="360"/>
      <c r="K275" s="360"/>
      <c r="L275" s="360"/>
    </row>
    <row r="276" spans="1:12" ht="14.25">
      <c r="A276" s="360"/>
      <c r="B276" s="360"/>
      <c r="C276" s="360"/>
      <c r="D276" s="360"/>
      <c r="E276" s="360"/>
      <c r="F276" s="360"/>
      <c r="G276" s="360"/>
      <c r="H276" s="360"/>
      <c r="I276" s="360"/>
      <c r="J276" s="360"/>
      <c r="K276" s="360"/>
      <c r="L276" s="360"/>
    </row>
    <row r="277" spans="1:12" ht="14.25">
      <c r="A277" s="360"/>
      <c r="B277" s="360"/>
      <c r="C277" s="360"/>
      <c r="D277" s="360"/>
      <c r="E277" s="360"/>
      <c r="F277" s="360"/>
      <c r="G277" s="360"/>
      <c r="H277" s="360"/>
      <c r="I277" s="360"/>
      <c r="J277" s="360"/>
      <c r="K277" s="360"/>
      <c r="L277" s="360"/>
    </row>
    <row r="278" spans="1:12" ht="14.25">
      <c r="A278" s="360"/>
      <c r="B278" s="360"/>
      <c r="C278" s="360"/>
      <c r="D278" s="360"/>
      <c r="E278" s="360"/>
      <c r="F278" s="360"/>
      <c r="G278" s="360"/>
      <c r="H278" s="360"/>
      <c r="I278" s="360"/>
      <c r="J278" s="360"/>
      <c r="K278" s="360"/>
      <c r="L278" s="360"/>
    </row>
    <row r="279" spans="1:12" ht="14.25">
      <c r="A279" s="360"/>
      <c r="B279" s="360"/>
      <c r="C279" s="360"/>
      <c r="D279" s="360"/>
      <c r="E279" s="360"/>
      <c r="F279" s="360"/>
      <c r="G279" s="360"/>
      <c r="H279" s="360"/>
      <c r="I279" s="360"/>
      <c r="J279" s="360"/>
      <c r="K279" s="360"/>
      <c r="L279" s="360"/>
    </row>
    <row r="280" spans="1:12" ht="14.25">
      <c r="A280" s="360"/>
      <c r="B280" s="360"/>
      <c r="C280" s="360"/>
      <c r="D280" s="360"/>
      <c r="E280" s="360"/>
      <c r="F280" s="360"/>
      <c r="G280" s="360"/>
      <c r="H280" s="360"/>
      <c r="I280" s="360"/>
      <c r="J280" s="360"/>
      <c r="K280" s="360"/>
      <c r="L280" s="360"/>
    </row>
    <row r="281" spans="1:12" ht="14.25">
      <c r="A281" s="360"/>
      <c r="B281" s="360"/>
      <c r="C281" s="360"/>
      <c r="D281" s="360"/>
      <c r="E281" s="360"/>
      <c r="F281" s="360"/>
      <c r="G281" s="360"/>
      <c r="H281" s="360"/>
      <c r="I281" s="360"/>
      <c r="J281" s="360"/>
      <c r="K281" s="360"/>
      <c r="L281" s="360"/>
    </row>
    <row r="282" spans="1:12" ht="14.25">
      <c r="A282" s="360"/>
      <c r="B282" s="360"/>
      <c r="C282" s="360"/>
      <c r="D282" s="360"/>
      <c r="E282" s="360"/>
      <c r="F282" s="360"/>
      <c r="G282" s="360"/>
      <c r="H282" s="360"/>
      <c r="I282" s="360"/>
      <c r="J282" s="360"/>
      <c r="K282" s="360"/>
      <c r="L282" s="360"/>
    </row>
    <row r="283" spans="1:12" ht="14.25">
      <c r="A283" s="360"/>
      <c r="B283" s="360"/>
      <c r="C283" s="360"/>
      <c r="D283" s="360"/>
      <c r="E283" s="360"/>
      <c r="F283" s="360"/>
      <c r="G283" s="360"/>
      <c r="H283" s="360"/>
      <c r="I283" s="360"/>
      <c r="J283" s="360"/>
      <c r="K283" s="360"/>
      <c r="L283" s="360"/>
    </row>
    <row r="284" spans="1:12" ht="14.25">
      <c r="A284" s="360"/>
      <c r="B284" s="360"/>
      <c r="C284" s="360"/>
      <c r="D284" s="360"/>
      <c r="E284" s="360"/>
      <c r="F284" s="360"/>
      <c r="G284" s="360"/>
      <c r="H284" s="360"/>
      <c r="I284" s="360"/>
      <c r="J284" s="360"/>
      <c r="K284" s="360"/>
      <c r="L284" s="360"/>
    </row>
    <row r="285" spans="1:12" ht="14.25">
      <c r="A285" s="360"/>
      <c r="B285" s="360"/>
      <c r="C285" s="360"/>
      <c r="D285" s="360"/>
      <c r="E285" s="360"/>
      <c r="F285" s="360"/>
      <c r="G285" s="360"/>
      <c r="H285" s="360"/>
      <c r="I285" s="360"/>
      <c r="J285" s="360"/>
      <c r="K285" s="360"/>
      <c r="L285" s="360"/>
    </row>
    <row r="286" spans="1:12" ht="14.25">
      <c r="A286" s="360"/>
      <c r="B286" s="360"/>
      <c r="C286" s="360"/>
      <c r="D286" s="360"/>
      <c r="E286" s="360"/>
      <c r="F286" s="360"/>
      <c r="G286" s="360"/>
      <c r="H286" s="360"/>
      <c r="I286" s="360"/>
      <c r="J286" s="360"/>
      <c r="K286" s="360"/>
      <c r="L286" s="360"/>
    </row>
    <row r="287" spans="1:12" ht="14.25">
      <c r="A287" s="360"/>
      <c r="B287" s="360"/>
      <c r="C287" s="360"/>
      <c r="D287" s="360"/>
      <c r="E287" s="360"/>
      <c r="F287" s="360"/>
      <c r="G287" s="360"/>
      <c r="H287" s="360"/>
      <c r="I287" s="360"/>
      <c r="J287" s="360"/>
      <c r="K287" s="360"/>
      <c r="L287" s="360"/>
    </row>
    <row r="288" spans="1:12" ht="14.25">
      <c r="A288" s="360"/>
      <c r="B288" s="360"/>
      <c r="C288" s="360"/>
      <c r="D288" s="360"/>
      <c r="E288" s="360"/>
      <c r="F288" s="360"/>
      <c r="G288" s="360"/>
      <c r="H288" s="360"/>
      <c r="I288" s="360"/>
      <c r="J288" s="360"/>
      <c r="K288" s="360"/>
      <c r="L288" s="360"/>
    </row>
    <row r="289" spans="1:12" ht="14.25">
      <c r="A289" s="360"/>
      <c r="B289" s="360"/>
      <c r="C289" s="360"/>
      <c r="D289" s="360"/>
      <c r="E289" s="360"/>
      <c r="F289" s="360"/>
      <c r="G289" s="360"/>
      <c r="H289" s="360"/>
      <c r="I289" s="360"/>
      <c r="J289" s="360"/>
      <c r="K289" s="360"/>
      <c r="L289" s="360"/>
    </row>
    <row r="290" spans="1:12" ht="14.25">
      <c r="A290" s="360"/>
      <c r="B290" s="360"/>
      <c r="C290" s="360"/>
      <c r="D290" s="360"/>
      <c r="E290" s="360"/>
      <c r="F290" s="360"/>
      <c r="G290" s="360"/>
      <c r="H290" s="360"/>
      <c r="I290" s="360"/>
      <c r="J290" s="360"/>
      <c r="K290" s="360"/>
      <c r="L290" s="360"/>
    </row>
    <row r="291" spans="1:12" ht="14.25">
      <c r="A291" s="360"/>
      <c r="B291" s="360"/>
      <c r="C291" s="360"/>
      <c r="D291" s="360"/>
      <c r="E291" s="360"/>
      <c r="F291" s="360"/>
      <c r="G291" s="360"/>
      <c r="H291" s="360"/>
      <c r="I291" s="360"/>
      <c r="J291" s="360"/>
      <c r="K291" s="360"/>
      <c r="L291" s="360"/>
    </row>
    <row r="292" spans="1:12" ht="14.25">
      <c r="A292" s="360"/>
      <c r="B292" s="360"/>
      <c r="C292" s="360"/>
      <c r="D292" s="360"/>
      <c r="E292" s="360"/>
      <c r="F292" s="360"/>
      <c r="G292" s="360"/>
      <c r="H292" s="360"/>
      <c r="I292" s="360"/>
      <c r="J292" s="360"/>
      <c r="K292" s="360"/>
      <c r="L292" s="360"/>
    </row>
    <row r="293" spans="1:12" ht="14.25">
      <c r="A293" s="360"/>
      <c r="B293" s="360"/>
      <c r="C293" s="360"/>
      <c r="D293" s="360"/>
      <c r="E293" s="360"/>
      <c r="F293" s="360"/>
      <c r="G293" s="360"/>
      <c r="H293" s="360"/>
      <c r="I293" s="360"/>
      <c r="J293" s="360"/>
      <c r="K293" s="360"/>
      <c r="L293" s="360"/>
    </row>
    <row r="294" spans="1:12" ht="14.25">
      <c r="A294" s="360"/>
      <c r="B294" s="360"/>
      <c r="C294" s="360"/>
      <c r="D294" s="360"/>
      <c r="E294" s="360"/>
      <c r="F294" s="360"/>
      <c r="G294" s="360"/>
      <c r="H294" s="360"/>
      <c r="I294" s="360"/>
      <c r="J294" s="360"/>
      <c r="K294" s="360"/>
      <c r="L294" s="360"/>
    </row>
    <row r="295" spans="1:12" ht="14.25">
      <c r="A295" s="360"/>
      <c r="B295" s="360"/>
      <c r="C295" s="360"/>
      <c r="D295" s="360"/>
      <c r="E295" s="360"/>
      <c r="F295" s="360"/>
      <c r="G295" s="360"/>
      <c r="H295" s="360"/>
      <c r="I295" s="360"/>
      <c r="J295" s="360"/>
      <c r="K295" s="360"/>
      <c r="L295" s="360"/>
    </row>
    <row r="296" spans="1:12" ht="14.25">
      <c r="A296" s="360"/>
      <c r="B296" s="360"/>
      <c r="C296" s="360"/>
      <c r="D296" s="360"/>
      <c r="E296" s="360"/>
      <c r="F296" s="360"/>
      <c r="G296" s="360"/>
      <c r="H296" s="360"/>
      <c r="I296" s="360"/>
      <c r="J296" s="360"/>
      <c r="K296" s="360"/>
      <c r="L296" s="360"/>
    </row>
    <row r="297" spans="1:12" ht="14.25">
      <c r="A297" s="360"/>
      <c r="B297" s="360"/>
      <c r="C297" s="360"/>
      <c r="D297" s="360"/>
      <c r="E297" s="360"/>
      <c r="F297" s="360"/>
      <c r="G297" s="360"/>
      <c r="H297" s="360"/>
      <c r="I297" s="360"/>
      <c r="J297" s="360"/>
      <c r="K297" s="360"/>
      <c r="L297" s="360"/>
    </row>
    <row r="298" spans="1:12" ht="14.25">
      <c r="A298" s="360"/>
      <c r="B298" s="360"/>
      <c r="C298" s="360"/>
      <c r="D298" s="360"/>
      <c r="E298" s="360"/>
      <c r="F298" s="360"/>
      <c r="G298" s="360"/>
      <c r="H298" s="360"/>
      <c r="I298" s="360"/>
      <c r="J298" s="360"/>
      <c r="K298" s="360"/>
      <c r="L298" s="360"/>
    </row>
    <row r="299" spans="1:12" ht="14.25">
      <c r="A299" s="360"/>
      <c r="B299" s="360"/>
      <c r="C299" s="360"/>
      <c r="D299" s="360"/>
      <c r="E299" s="360"/>
      <c r="F299" s="360"/>
      <c r="G299" s="360"/>
      <c r="H299" s="360"/>
      <c r="I299" s="360"/>
      <c r="J299" s="360"/>
      <c r="K299" s="360"/>
      <c r="L299" s="360"/>
    </row>
    <row r="300" spans="1:12" ht="14.25">
      <c r="A300" s="360"/>
      <c r="B300" s="360"/>
      <c r="C300" s="360"/>
      <c r="D300" s="360"/>
      <c r="E300" s="360"/>
      <c r="F300" s="360"/>
      <c r="G300" s="360"/>
      <c r="H300" s="360"/>
      <c r="I300" s="360"/>
      <c r="J300" s="360"/>
      <c r="K300" s="360"/>
      <c r="L300" s="360"/>
    </row>
    <row r="301" spans="1:12" ht="14.25">
      <c r="A301" s="360"/>
      <c r="B301" s="360"/>
      <c r="C301" s="360"/>
      <c r="D301" s="360"/>
      <c r="E301" s="360"/>
      <c r="F301" s="360"/>
      <c r="G301" s="360"/>
      <c r="H301" s="360"/>
      <c r="I301" s="360"/>
      <c r="J301" s="360"/>
      <c r="K301" s="360"/>
      <c r="L301" s="360"/>
    </row>
    <row r="302" spans="1:12" ht="14.25">
      <c r="A302" s="360"/>
      <c r="B302" s="360"/>
      <c r="C302" s="360"/>
      <c r="D302" s="360"/>
      <c r="E302" s="360"/>
      <c r="F302" s="360"/>
      <c r="G302" s="360"/>
      <c r="H302" s="360"/>
      <c r="I302" s="360"/>
      <c r="J302" s="360"/>
      <c r="K302" s="360"/>
      <c r="L302" s="360"/>
    </row>
    <row r="303" spans="1:12" ht="14.25">
      <c r="A303" s="360"/>
      <c r="B303" s="360"/>
      <c r="C303" s="360"/>
      <c r="D303" s="360"/>
      <c r="E303" s="360"/>
      <c r="F303" s="360"/>
      <c r="G303" s="360"/>
      <c r="H303" s="360"/>
      <c r="I303" s="360"/>
      <c r="J303" s="360"/>
      <c r="K303" s="360"/>
      <c r="L303" s="360"/>
    </row>
    <row r="304" spans="1:12" ht="14.25">
      <c r="A304" s="360"/>
      <c r="B304" s="360"/>
      <c r="C304" s="360"/>
      <c r="D304" s="360"/>
      <c r="E304" s="360"/>
      <c r="F304" s="360"/>
      <c r="G304" s="360"/>
      <c r="H304" s="360"/>
      <c r="I304" s="360"/>
      <c r="J304" s="360"/>
      <c r="K304" s="360"/>
      <c r="L304" s="360"/>
    </row>
    <row r="305" spans="1:12" ht="14.25">
      <c r="A305" s="360"/>
      <c r="B305" s="360"/>
      <c r="C305" s="360"/>
      <c r="D305" s="360"/>
      <c r="E305" s="360"/>
      <c r="F305" s="360"/>
      <c r="G305" s="360"/>
      <c r="H305" s="360"/>
      <c r="I305" s="360"/>
      <c r="J305" s="360"/>
      <c r="K305" s="360"/>
      <c r="L305" s="360"/>
    </row>
    <row r="306" spans="1:12" ht="14.25">
      <c r="A306" s="360"/>
      <c r="B306" s="360"/>
      <c r="C306" s="360"/>
      <c r="D306" s="360"/>
      <c r="E306" s="360"/>
      <c r="F306" s="360"/>
      <c r="G306" s="360"/>
      <c r="H306" s="360"/>
      <c r="I306" s="360"/>
      <c r="J306" s="360"/>
      <c r="K306" s="360"/>
      <c r="L306" s="360"/>
    </row>
    <row r="307" spans="1:12" ht="14.25">
      <c r="A307" s="360"/>
      <c r="B307" s="360"/>
      <c r="C307" s="360"/>
      <c r="D307" s="360"/>
      <c r="E307" s="360"/>
      <c r="F307" s="360"/>
      <c r="G307" s="360"/>
      <c r="H307" s="360"/>
      <c r="I307" s="360"/>
      <c r="J307" s="360"/>
      <c r="K307" s="360"/>
      <c r="L307" s="360"/>
    </row>
    <row r="308" spans="1:12" ht="14.25">
      <c r="A308" s="360"/>
      <c r="B308" s="360"/>
      <c r="C308" s="360"/>
      <c r="D308" s="360"/>
      <c r="E308" s="360"/>
      <c r="F308" s="360"/>
      <c r="G308" s="360"/>
      <c r="H308" s="360"/>
      <c r="I308" s="360"/>
      <c r="J308" s="360"/>
      <c r="K308" s="360"/>
      <c r="L308" s="360"/>
    </row>
    <row r="309" spans="1:12" ht="14.25">
      <c r="A309" s="360"/>
      <c r="B309" s="360"/>
      <c r="C309" s="360"/>
      <c r="D309" s="360"/>
      <c r="E309" s="360"/>
      <c r="F309" s="360"/>
      <c r="G309" s="360"/>
      <c r="H309" s="360"/>
      <c r="I309" s="360"/>
      <c r="J309" s="360"/>
      <c r="K309" s="360"/>
      <c r="L309" s="360"/>
    </row>
    <row r="310" spans="1:12" ht="14.25">
      <c r="A310" s="360"/>
      <c r="B310" s="360"/>
      <c r="C310" s="360"/>
      <c r="D310" s="360"/>
      <c r="E310" s="360"/>
      <c r="F310" s="360"/>
      <c r="G310" s="360"/>
      <c r="H310" s="360"/>
      <c r="I310" s="360"/>
      <c r="J310" s="360"/>
      <c r="K310" s="360"/>
      <c r="L310" s="360"/>
    </row>
    <row r="311" spans="1:12" ht="14.25">
      <c r="A311" s="360"/>
      <c r="B311" s="360"/>
      <c r="C311" s="360"/>
      <c r="D311" s="360"/>
      <c r="E311" s="360"/>
      <c r="F311" s="360"/>
      <c r="G311" s="360"/>
      <c r="H311" s="360"/>
      <c r="I311" s="360"/>
      <c r="J311" s="360"/>
      <c r="K311" s="360"/>
      <c r="L311" s="360"/>
    </row>
    <row r="312" spans="1:12" ht="14.25">
      <c r="A312" s="360"/>
      <c r="B312" s="360"/>
      <c r="C312" s="360"/>
      <c r="D312" s="360"/>
      <c r="E312" s="360"/>
      <c r="F312" s="360"/>
      <c r="G312" s="360"/>
      <c r="H312" s="360"/>
      <c r="I312" s="360"/>
      <c r="J312" s="360"/>
      <c r="K312" s="360"/>
      <c r="L312" s="360"/>
    </row>
    <row r="313" spans="1:12" ht="14.25">
      <c r="A313" s="360"/>
      <c r="B313" s="360"/>
      <c r="C313" s="360"/>
      <c r="D313" s="360"/>
      <c r="E313" s="360"/>
      <c r="F313" s="360"/>
      <c r="G313" s="360"/>
      <c r="H313" s="360"/>
      <c r="I313" s="360"/>
      <c r="J313" s="360"/>
      <c r="K313" s="360"/>
      <c r="L313" s="360"/>
    </row>
    <row r="314" spans="1:12" ht="14.25">
      <c r="A314" s="360"/>
      <c r="B314" s="360"/>
      <c r="C314" s="360"/>
      <c r="D314" s="360"/>
      <c r="E314" s="360"/>
      <c r="F314" s="360"/>
      <c r="G314" s="360"/>
      <c r="H314" s="360"/>
      <c r="I314" s="360"/>
      <c r="J314" s="360"/>
      <c r="K314" s="360"/>
      <c r="L314" s="360"/>
    </row>
    <row r="315" spans="1:12" ht="14.25">
      <c r="A315" s="360"/>
      <c r="B315" s="360"/>
      <c r="C315" s="360"/>
      <c r="D315" s="360"/>
      <c r="E315" s="360"/>
      <c r="F315" s="360"/>
      <c r="G315" s="360"/>
      <c r="H315" s="360"/>
      <c r="I315" s="360"/>
      <c r="J315" s="360"/>
      <c r="K315" s="360"/>
      <c r="L315" s="360"/>
    </row>
    <row r="316" spans="1:12" ht="14.25">
      <c r="A316" s="360"/>
      <c r="B316" s="360"/>
      <c r="C316" s="360"/>
      <c r="D316" s="360"/>
      <c r="E316" s="360"/>
      <c r="F316" s="360"/>
      <c r="G316" s="360"/>
      <c r="H316" s="360"/>
      <c r="I316" s="360"/>
      <c r="J316" s="360"/>
      <c r="K316" s="360"/>
      <c r="L316" s="360"/>
    </row>
    <row r="317" spans="1:12" ht="14.25">
      <c r="A317" s="360"/>
      <c r="B317" s="360"/>
      <c r="C317" s="360"/>
      <c r="D317" s="360"/>
      <c r="E317" s="360"/>
      <c r="F317" s="360"/>
      <c r="G317" s="360"/>
      <c r="H317" s="360"/>
      <c r="I317" s="360"/>
      <c r="J317" s="360"/>
      <c r="K317" s="360"/>
      <c r="L317" s="360"/>
    </row>
    <row r="318" spans="1:12" ht="14.25">
      <c r="A318" s="360"/>
      <c r="B318" s="360"/>
      <c r="C318" s="360"/>
      <c r="D318" s="360"/>
      <c r="E318" s="360"/>
      <c r="F318" s="360"/>
      <c r="G318" s="360"/>
      <c r="H318" s="360"/>
      <c r="I318" s="360"/>
      <c r="J318" s="360"/>
      <c r="K318" s="360"/>
      <c r="L318" s="360"/>
    </row>
    <row r="319" spans="1:12" ht="14.25">
      <c r="A319" s="360"/>
      <c r="B319" s="360"/>
      <c r="C319" s="360"/>
      <c r="D319" s="360"/>
      <c r="E319" s="360"/>
      <c r="F319" s="360"/>
      <c r="G319" s="360"/>
      <c r="H319" s="360"/>
      <c r="I319" s="360"/>
      <c r="J319" s="360"/>
      <c r="K319" s="360"/>
      <c r="L319" s="360"/>
    </row>
    <row r="320" spans="1:12" ht="14.25">
      <c r="A320" s="360"/>
      <c r="B320" s="360"/>
      <c r="C320" s="360"/>
      <c r="D320" s="360"/>
      <c r="E320" s="360"/>
      <c r="F320" s="360"/>
      <c r="G320" s="360"/>
      <c r="H320" s="360"/>
      <c r="I320" s="360"/>
      <c r="J320" s="360"/>
      <c r="K320" s="360"/>
      <c r="L320" s="360"/>
    </row>
    <row r="321" spans="1:12" ht="14.25">
      <c r="A321" s="360"/>
      <c r="B321" s="360"/>
      <c r="C321" s="360"/>
      <c r="D321" s="360"/>
      <c r="E321" s="360"/>
      <c r="F321" s="360"/>
      <c r="G321" s="360"/>
      <c r="H321" s="360"/>
      <c r="I321" s="360"/>
      <c r="J321" s="360"/>
      <c r="K321" s="360"/>
      <c r="L321" s="360"/>
    </row>
    <row r="322" spans="1:12" ht="14.25">
      <c r="A322" s="360"/>
      <c r="B322" s="360"/>
      <c r="C322" s="360"/>
      <c r="D322" s="360"/>
      <c r="E322" s="360"/>
      <c r="F322" s="360"/>
      <c r="G322" s="360"/>
      <c r="H322" s="360"/>
      <c r="I322" s="360"/>
      <c r="J322" s="360"/>
      <c r="K322" s="360"/>
      <c r="L322" s="360"/>
    </row>
    <row r="323" spans="1:12" ht="14.25">
      <c r="A323" s="360"/>
      <c r="B323" s="360"/>
      <c r="C323" s="360"/>
      <c r="D323" s="360"/>
      <c r="E323" s="360"/>
      <c r="F323" s="360"/>
      <c r="G323" s="360"/>
      <c r="H323" s="360"/>
      <c r="I323" s="360"/>
      <c r="J323" s="360"/>
      <c r="K323" s="360"/>
      <c r="L323" s="360"/>
    </row>
    <row r="324" spans="1:12" ht="14.25">
      <c r="A324" s="360"/>
      <c r="B324" s="360"/>
      <c r="C324" s="360"/>
      <c r="D324" s="360"/>
      <c r="E324" s="360"/>
      <c r="F324" s="360"/>
      <c r="G324" s="360"/>
      <c r="H324" s="360"/>
      <c r="I324" s="360"/>
      <c r="J324" s="360"/>
      <c r="K324" s="360"/>
      <c r="L324" s="360"/>
    </row>
    <row r="325" spans="1:12" ht="14.25">
      <c r="A325" s="360"/>
      <c r="B325" s="360"/>
      <c r="C325" s="360"/>
      <c r="D325" s="360"/>
      <c r="E325" s="360"/>
      <c r="F325" s="360"/>
      <c r="G325" s="360"/>
      <c r="H325" s="360"/>
      <c r="I325" s="360"/>
      <c r="J325" s="360"/>
      <c r="K325" s="360"/>
      <c r="L325" s="360"/>
    </row>
    <row r="326" spans="1:12" ht="14.25">
      <c r="A326" s="360"/>
      <c r="B326" s="360"/>
      <c r="C326" s="360"/>
      <c r="D326" s="360"/>
      <c r="E326" s="360"/>
      <c r="F326" s="360"/>
      <c r="G326" s="360"/>
      <c r="H326" s="360"/>
      <c r="I326" s="360"/>
      <c r="J326" s="360"/>
      <c r="K326" s="360"/>
      <c r="L326" s="360"/>
    </row>
    <row r="327" spans="1:12" ht="14.25">
      <c r="A327" s="360"/>
      <c r="B327" s="360"/>
      <c r="C327" s="360"/>
      <c r="D327" s="360"/>
      <c r="E327" s="360"/>
      <c r="F327" s="360"/>
      <c r="G327" s="360"/>
      <c r="H327" s="360"/>
      <c r="I327" s="360"/>
      <c r="J327" s="360"/>
      <c r="K327" s="360"/>
      <c r="L327" s="360"/>
    </row>
    <row r="328" spans="1:12" ht="14.25">
      <c r="A328" s="360"/>
      <c r="B328" s="360"/>
      <c r="C328" s="360"/>
      <c r="D328" s="360"/>
      <c r="E328" s="360"/>
      <c r="F328" s="360"/>
      <c r="G328" s="360"/>
      <c r="H328" s="360"/>
      <c r="I328" s="360"/>
      <c r="J328" s="360"/>
      <c r="K328" s="360"/>
      <c r="L328" s="360"/>
    </row>
    <row r="329" spans="1:12" ht="14.25">
      <c r="A329" s="360"/>
      <c r="B329" s="360"/>
      <c r="C329" s="360"/>
      <c r="D329" s="360"/>
      <c r="E329" s="360"/>
      <c r="F329" s="360"/>
      <c r="G329" s="360"/>
      <c r="H329" s="360"/>
      <c r="I329" s="360"/>
      <c r="J329" s="360"/>
      <c r="K329" s="360"/>
      <c r="L329" s="360"/>
    </row>
    <row r="330" spans="1:12" ht="14.25">
      <c r="A330" s="360"/>
      <c r="B330" s="360"/>
      <c r="C330" s="360"/>
      <c r="D330" s="360"/>
      <c r="E330" s="360"/>
      <c r="F330" s="360"/>
      <c r="G330" s="360"/>
      <c r="H330" s="360"/>
      <c r="I330" s="360"/>
      <c r="J330" s="360"/>
      <c r="K330" s="360"/>
      <c r="L330" s="360"/>
    </row>
    <row r="331" spans="1:12" ht="14.25">
      <c r="A331" s="360"/>
      <c r="B331" s="360"/>
      <c r="C331" s="360"/>
      <c r="D331" s="360"/>
      <c r="E331" s="360"/>
      <c r="F331" s="360"/>
      <c r="G331" s="360"/>
      <c r="H331" s="360"/>
      <c r="I331" s="360"/>
      <c r="J331" s="360"/>
      <c r="K331" s="360"/>
      <c r="L331" s="360"/>
    </row>
    <row r="332" spans="1:12" ht="14.25">
      <c r="A332" s="360"/>
      <c r="B332" s="360"/>
      <c r="C332" s="360"/>
      <c r="D332" s="360"/>
      <c r="E332" s="360"/>
      <c r="F332" s="360"/>
      <c r="G332" s="360"/>
      <c r="H332" s="360"/>
      <c r="I332" s="360"/>
      <c r="J332" s="360"/>
      <c r="K332" s="360"/>
      <c r="L332" s="360"/>
    </row>
    <row r="333" spans="1:12" ht="14.25">
      <c r="A333" s="360"/>
      <c r="B333" s="360"/>
      <c r="C333" s="360"/>
      <c r="D333" s="360"/>
      <c r="E333" s="360"/>
      <c r="F333" s="360"/>
      <c r="G333" s="360"/>
      <c r="H333" s="360"/>
      <c r="I333" s="360"/>
      <c r="J333" s="360"/>
      <c r="K333" s="360"/>
      <c r="L333" s="360"/>
    </row>
    <row r="334" spans="1:12" ht="14.25">
      <c r="A334" s="360"/>
      <c r="B334" s="360"/>
      <c r="C334" s="360"/>
      <c r="D334" s="360"/>
      <c r="E334" s="360"/>
      <c r="F334" s="360"/>
      <c r="G334" s="360"/>
      <c r="H334" s="360"/>
      <c r="I334" s="360"/>
      <c r="J334" s="360"/>
      <c r="K334" s="360"/>
      <c r="L334" s="360"/>
    </row>
    <row r="335" spans="1:12" ht="14.25">
      <c r="A335" s="360"/>
      <c r="B335" s="360"/>
      <c r="C335" s="360"/>
      <c r="D335" s="360"/>
      <c r="E335" s="360"/>
      <c r="F335" s="360"/>
      <c r="G335" s="360"/>
      <c r="H335" s="360"/>
      <c r="I335" s="360"/>
      <c r="J335" s="360"/>
      <c r="K335" s="360"/>
      <c r="L335" s="360"/>
    </row>
    <row r="336" spans="1:12" ht="14.25">
      <c r="A336" s="360"/>
      <c r="B336" s="360"/>
      <c r="C336" s="360"/>
      <c r="D336" s="360"/>
      <c r="E336" s="360"/>
      <c r="F336" s="360"/>
      <c r="G336" s="360"/>
      <c r="H336" s="360"/>
      <c r="I336" s="360"/>
      <c r="J336" s="360"/>
      <c r="K336" s="360"/>
      <c r="L336" s="360"/>
    </row>
    <row r="337" spans="1:12" ht="14.25">
      <c r="A337" s="360"/>
      <c r="B337" s="360"/>
      <c r="C337" s="360"/>
      <c r="D337" s="360"/>
      <c r="E337" s="360"/>
      <c r="F337" s="360"/>
      <c r="G337" s="360"/>
      <c r="H337" s="360"/>
      <c r="I337" s="360"/>
      <c r="J337" s="360"/>
      <c r="K337" s="360"/>
      <c r="L337" s="360"/>
    </row>
    <row r="338" spans="1:12" ht="14.25">
      <c r="A338" s="360"/>
      <c r="B338" s="360"/>
      <c r="C338" s="360"/>
      <c r="D338" s="360"/>
      <c r="E338" s="360"/>
      <c r="F338" s="360"/>
      <c r="G338" s="360"/>
      <c r="H338" s="360"/>
      <c r="I338" s="360"/>
      <c r="J338" s="360"/>
      <c r="K338" s="360"/>
      <c r="L338" s="360"/>
    </row>
    <row r="339" spans="1:12" ht="14.25">
      <c r="A339" s="360"/>
      <c r="B339" s="360"/>
      <c r="C339" s="360"/>
      <c r="D339" s="360"/>
      <c r="E339" s="360"/>
      <c r="F339" s="360"/>
      <c r="G339" s="360"/>
      <c r="H339" s="360"/>
      <c r="I339" s="360"/>
      <c r="J339" s="360"/>
      <c r="K339" s="360"/>
      <c r="L339" s="360"/>
    </row>
    <row r="340" spans="1:12" ht="14.25">
      <c r="A340" s="360"/>
      <c r="B340" s="360"/>
      <c r="C340" s="360"/>
      <c r="D340" s="360"/>
      <c r="E340" s="360"/>
      <c r="F340" s="360"/>
      <c r="G340" s="360"/>
      <c r="H340" s="360"/>
      <c r="I340" s="360"/>
      <c r="J340" s="360"/>
      <c r="K340" s="360"/>
      <c r="L340" s="360"/>
    </row>
    <row r="341" spans="1:12" ht="14.25">
      <c r="A341" s="360"/>
      <c r="B341" s="360"/>
      <c r="C341" s="360"/>
      <c r="D341" s="360"/>
      <c r="E341" s="360"/>
      <c r="F341" s="360"/>
      <c r="G341" s="360"/>
      <c r="H341" s="360"/>
      <c r="I341" s="360"/>
      <c r="J341" s="360"/>
      <c r="K341" s="360"/>
      <c r="L341" s="360"/>
    </row>
    <row r="342" spans="1:12" ht="14.25">
      <c r="A342" s="360"/>
      <c r="B342" s="360"/>
      <c r="C342" s="360"/>
      <c r="D342" s="360"/>
      <c r="E342" s="360"/>
      <c r="F342" s="360"/>
      <c r="G342" s="360"/>
      <c r="H342" s="360"/>
      <c r="I342" s="360"/>
      <c r="J342" s="360"/>
      <c r="K342" s="360"/>
      <c r="L342" s="360"/>
    </row>
    <row r="343" spans="1:12" ht="14.25">
      <c r="A343" s="360"/>
      <c r="B343" s="360"/>
      <c r="C343" s="360"/>
      <c r="D343" s="360"/>
      <c r="E343" s="360"/>
      <c r="F343" s="360"/>
      <c r="G343" s="360"/>
      <c r="H343" s="360"/>
      <c r="I343" s="360"/>
      <c r="J343" s="360"/>
      <c r="K343" s="360"/>
      <c r="L343" s="360"/>
    </row>
    <row r="344" spans="1:12" ht="14.25">
      <c r="A344" s="360"/>
      <c r="B344" s="360"/>
      <c r="C344" s="360"/>
      <c r="D344" s="360"/>
      <c r="E344" s="360"/>
      <c r="F344" s="360"/>
      <c r="G344" s="360"/>
      <c r="H344" s="360"/>
      <c r="I344" s="360"/>
      <c r="J344" s="360"/>
      <c r="K344" s="360"/>
      <c r="L344" s="360"/>
    </row>
    <row r="345" spans="1:12" ht="14.25">
      <c r="A345" s="360"/>
      <c r="B345" s="360"/>
      <c r="C345" s="360"/>
      <c r="D345" s="360"/>
      <c r="E345" s="360"/>
      <c r="F345" s="360"/>
      <c r="G345" s="360"/>
      <c r="H345" s="360"/>
      <c r="I345" s="360"/>
      <c r="J345" s="360"/>
      <c r="K345" s="360"/>
      <c r="L345" s="360"/>
    </row>
    <row r="346" spans="1:12" ht="14.25">
      <c r="A346" s="360"/>
      <c r="B346" s="360"/>
      <c r="C346" s="360"/>
      <c r="D346" s="360"/>
      <c r="E346" s="360"/>
      <c r="F346" s="360"/>
      <c r="G346" s="360"/>
      <c r="H346" s="360"/>
      <c r="I346" s="360"/>
      <c r="J346" s="360"/>
      <c r="K346" s="360"/>
      <c r="L346" s="360"/>
    </row>
    <row r="347" spans="1:12" ht="14.25">
      <c r="A347" s="360"/>
      <c r="B347" s="360"/>
      <c r="C347" s="360"/>
      <c r="D347" s="360"/>
      <c r="E347" s="360"/>
      <c r="F347" s="360"/>
      <c r="G347" s="360"/>
      <c r="H347" s="360"/>
      <c r="I347" s="360"/>
      <c r="J347" s="360"/>
      <c r="K347" s="360"/>
      <c r="L347" s="360"/>
    </row>
    <row r="348" spans="1:12" ht="14.25">
      <c r="A348" s="360"/>
      <c r="B348" s="360"/>
      <c r="C348" s="360"/>
      <c r="D348" s="360"/>
      <c r="E348" s="360"/>
      <c r="F348" s="360"/>
      <c r="G348" s="360"/>
      <c r="H348" s="360"/>
      <c r="I348" s="360"/>
      <c r="J348" s="360"/>
      <c r="K348" s="360"/>
      <c r="L348" s="360"/>
    </row>
    <row r="349" spans="1:12" ht="14.25">
      <c r="A349" s="360"/>
      <c r="B349" s="360"/>
      <c r="C349" s="360"/>
      <c r="D349" s="360"/>
      <c r="E349" s="360"/>
      <c r="F349" s="360"/>
      <c r="G349" s="360"/>
      <c r="H349" s="360"/>
      <c r="I349" s="360"/>
      <c r="J349" s="360"/>
      <c r="K349" s="360"/>
      <c r="L349" s="360"/>
    </row>
    <row r="350" spans="1:12" ht="14.25">
      <c r="A350" s="360"/>
      <c r="B350" s="360"/>
      <c r="C350" s="360"/>
      <c r="D350" s="360"/>
      <c r="E350" s="360"/>
      <c r="F350" s="360"/>
      <c r="G350" s="360"/>
      <c r="H350" s="360"/>
      <c r="I350" s="360"/>
      <c r="J350" s="360"/>
      <c r="K350" s="360"/>
      <c r="L350" s="360"/>
    </row>
    <row r="351" spans="1:12" ht="14.25">
      <c r="A351" s="360"/>
      <c r="B351" s="360"/>
      <c r="C351" s="360"/>
      <c r="D351" s="360"/>
      <c r="E351" s="360"/>
      <c r="F351" s="360"/>
      <c r="G351" s="360"/>
      <c r="H351" s="360"/>
      <c r="I351" s="360"/>
      <c r="J351" s="360"/>
      <c r="K351" s="360"/>
      <c r="L351" s="360"/>
    </row>
    <row r="352" spans="1:12" ht="14.25">
      <c r="A352" s="360"/>
      <c r="B352" s="360"/>
      <c r="C352" s="360"/>
      <c r="D352" s="360"/>
      <c r="E352" s="360"/>
      <c r="F352" s="360"/>
      <c r="G352" s="360"/>
      <c r="H352" s="360"/>
      <c r="I352" s="360"/>
      <c r="J352" s="360"/>
      <c r="K352" s="360"/>
      <c r="L352" s="360"/>
    </row>
    <row r="353" spans="1:12" ht="14.25">
      <c r="A353" s="360"/>
      <c r="B353" s="360"/>
      <c r="C353" s="360"/>
      <c r="D353" s="360"/>
      <c r="E353" s="360"/>
      <c r="F353" s="360"/>
      <c r="G353" s="360"/>
      <c r="H353" s="360"/>
      <c r="I353" s="360"/>
      <c r="J353" s="360"/>
      <c r="K353" s="360"/>
      <c r="L353" s="360"/>
    </row>
    <row r="354" spans="1:12" ht="14.25">
      <c r="A354" s="360"/>
      <c r="B354" s="360"/>
      <c r="C354" s="360"/>
      <c r="D354" s="360"/>
      <c r="E354" s="360"/>
      <c r="F354" s="360"/>
      <c r="G354" s="360"/>
      <c r="H354" s="360"/>
      <c r="I354" s="360"/>
      <c r="J354" s="360"/>
      <c r="K354" s="360"/>
      <c r="L354" s="360"/>
    </row>
  </sheetData>
  <sheetProtection sheet="1" objects="1" scenarios="1"/>
  <mergeCells count="56">
    <mergeCell ref="C136:D136"/>
    <mergeCell ref="C137:D137"/>
    <mergeCell ref="B144:K144"/>
    <mergeCell ref="C147:D147"/>
    <mergeCell ref="J147:K147"/>
    <mergeCell ref="C148:D148"/>
    <mergeCell ref="J148:K148"/>
    <mergeCell ref="F148:G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M75" sqref="M75"/>
    </sheetView>
  </sheetViews>
  <sheetFormatPr defaultColWidth="8.796875" defaultRowHeight="15.75"/>
  <cols>
    <col min="1" max="1" width="64.09765625" style="1" customWidth="1"/>
    <col min="2" max="16384" width="8.796875" style="1" customWidth="1"/>
  </cols>
  <sheetData>
    <row r="1" ht="16.5">
      <c r="A1" s="430" t="s">
        <v>615</v>
      </c>
    </row>
    <row r="3" ht="31.5">
      <c r="A3" s="2" t="s">
        <v>616</v>
      </c>
    </row>
    <row r="4" ht="15.75">
      <c r="A4" s="431" t="s">
        <v>617</v>
      </c>
    </row>
    <row r="7" ht="31.5">
      <c r="A7" s="2" t="s">
        <v>618</v>
      </c>
    </row>
    <row r="8" ht="15.75">
      <c r="A8" s="431" t="s">
        <v>619</v>
      </c>
    </row>
    <row r="11" ht="15.75">
      <c r="A11" s="1" t="s">
        <v>620</v>
      </c>
    </row>
    <row r="12" ht="15.75">
      <c r="A12" s="431" t="s">
        <v>621</v>
      </c>
    </row>
    <row r="15" ht="15.75">
      <c r="A15" s="1" t="s">
        <v>622</v>
      </c>
    </row>
    <row r="16" ht="15.75">
      <c r="A16" s="431" t="s">
        <v>623</v>
      </c>
    </row>
    <row r="19" ht="15.75">
      <c r="A19" s="1" t="s">
        <v>624</v>
      </c>
    </row>
    <row r="20" ht="15.75">
      <c r="A20" s="431" t="s">
        <v>625</v>
      </c>
    </row>
    <row r="23" ht="15.75">
      <c r="A23" s="1" t="s">
        <v>626</v>
      </c>
    </row>
    <row r="24" ht="15.75">
      <c r="A24" s="431" t="s">
        <v>627</v>
      </c>
    </row>
    <row r="27" ht="15.75">
      <c r="A27" s="1" t="s">
        <v>628</v>
      </c>
    </row>
    <row r="28" ht="15.75">
      <c r="A28" s="431" t="s">
        <v>629</v>
      </c>
    </row>
    <row r="31" ht="15.75">
      <c r="A31" s="1" t="s">
        <v>630</v>
      </c>
    </row>
    <row r="32" ht="15.75">
      <c r="A32" s="431" t="s">
        <v>631</v>
      </c>
    </row>
    <row r="35" ht="15.75">
      <c r="A35" s="1" t="s">
        <v>632</v>
      </c>
    </row>
    <row r="36" ht="15.75">
      <c r="A36" s="431" t="s">
        <v>633</v>
      </c>
    </row>
    <row r="39" ht="15.75">
      <c r="A39" s="1" t="s">
        <v>634</v>
      </c>
    </row>
    <row r="40" ht="15.75">
      <c r="A40" s="431" t="s">
        <v>635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240"/>
  <sheetViews>
    <sheetView zoomScalePageLayoutView="0" workbookViewId="0" topLeftCell="A1">
      <selection activeCell="C64" sqref="C64"/>
    </sheetView>
  </sheetViews>
  <sheetFormatPr defaultColWidth="8.796875" defaultRowHeight="15.75"/>
  <cols>
    <col min="1" max="1" width="73.296875" style="1" customWidth="1"/>
    <col min="2" max="16384" width="8.796875" style="1" customWidth="1"/>
  </cols>
  <sheetData>
    <row r="1" ht="15.75">
      <c r="A1" s="310" t="s">
        <v>986</v>
      </c>
    </row>
    <row r="2" ht="15.75">
      <c r="A2" s="1" t="s">
        <v>987</v>
      </c>
    </row>
    <row r="3" ht="15.75">
      <c r="A3" s="1" t="s">
        <v>988</v>
      </c>
    </row>
    <row r="4" ht="15.75">
      <c r="A4" s="1" t="s">
        <v>989</v>
      </c>
    </row>
    <row r="5" ht="15.75">
      <c r="A5" s="1" t="s">
        <v>990</v>
      </c>
    </row>
    <row r="6" ht="15.75">
      <c r="A6" s="1" t="s">
        <v>991</v>
      </c>
    </row>
    <row r="8" ht="15.75">
      <c r="A8" s="813" t="s">
        <v>977</v>
      </c>
    </row>
    <row r="9" ht="15.75">
      <c r="A9" s="1" t="s">
        <v>981</v>
      </c>
    </row>
    <row r="11" ht="15.75">
      <c r="A11" s="813" t="s">
        <v>852</v>
      </c>
    </row>
    <row r="12" ht="15.75">
      <c r="A12" s="814" t="s">
        <v>853</v>
      </c>
    </row>
    <row r="14" ht="15.75">
      <c r="A14" s="813" t="s">
        <v>850</v>
      </c>
    </row>
    <row r="15" ht="15.75">
      <c r="A15" s="812" t="s">
        <v>851</v>
      </c>
    </row>
    <row r="17" ht="15.75">
      <c r="A17" s="813" t="s">
        <v>844</v>
      </c>
    </row>
    <row r="18" ht="15.75">
      <c r="A18" s="812" t="s">
        <v>845</v>
      </c>
    </row>
    <row r="19" ht="15.75">
      <c r="A19" s="812" t="s">
        <v>846</v>
      </c>
    </row>
    <row r="20" ht="15.75">
      <c r="A20" s="812" t="s">
        <v>847</v>
      </c>
    </row>
    <row r="21" ht="15.75">
      <c r="A21" s="812" t="s">
        <v>848</v>
      </c>
    </row>
    <row r="22" ht="15.75">
      <c r="A22" s="812" t="s">
        <v>849</v>
      </c>
    </row>
    <row r="24" ht="15.75">
      <c r="A24" s="331" t="s">
        <v>854</v>
      </c>
    </row>
    <row r="25" ht="15.75">
      <c r="A25" s="684" t="s">
        <v>834</v>
      </c>
    </row>
    <row r="26" ht="15.75">
      <c r="A26" s="767" t="s">
        <v>835</v>
      </c>
    </row>
    <row r="28" ht="15.75">
      <c r="A28" s="331" t="s">
        <v>855</v>
      </c>
    </row>
    <row r="29" ht="15.75">
      <c r="A29" s="684" t="s">
        <v>833</v>
      </c>
    </row>
    <row r="31" ht="15.75">
      <c r="A31" s="331" t="s">
        <v>856</v>
      </c>
    </row>
    <row r="32" ht="15.75">
      <c r="A32" s="684" t="s">
        <v>814</v>
      </c>
    </row>
    <row r="34" ht="15.75">
      <c r="A34" s="331" t="s">
        <v>857</v>
      </c>
    </row>
    <row r="35" ht="15.75">
      <c r="A35" s="1" t="s">
        <v>978</v>
      </c>
    </row>
    <row r="37" ht="15.75">
      <c r="A37" s="331" t="s">
        <v>858</v>
      </c>
    </row>
    <row r="38" ht="15.75">
      <c r="A38" s="1" t="s">
        <v>803</v>
      </c>
    </row>
    <row r="40" ht="15.75">
      <c r="A40" s="331" t="s">
        <v>859</v>
      </c>
    </row>
    <row r="41" ht="15.75">
      <c r="A41" s="684" t="s">
        <v>802</v>
      </c>
    </row>
    <row r="43" ht="15.75">
      <c r="A43" s="331" t="s">
        <v>860</v>
      </c>
    </row>
    <row r="44" ht="15.75">
      <c r="A44" s="699" t="s">
        <v>782</v>
      </c>
    </row>
    <row r="46" ht="15.75">
      <c r="A46" s="331" t="s">
        <v>861</v>
      </c>
    </row>
    <row r="47" ht="15.75">
      <c r="A47" s="686" t="s">
        <v>862</v>
      </c>
    </row>
    <row r="49" ht="15.75">
      <c r="A49" s="331" t="s">
        <v>863</v>
      </c>
    </row>
    <row r="50" ht="15.75">
      <c r="A50" s="684" t="s">
        <v>864</v>
      </c>
    </row>
    <row r="52" ht="15.75">
      <c r="A52" s="331" t="s">
        <v>865</v>
      </c>
    </row>
    <row r="53" ht="15.75">
      <c r="A53" s="682" t="s">
        <v>866</v>
      </c>
    </row>
    <row r="55" ht="15.75">
      <c r="A55" s="331" t="s">
        <v>867</v>
      </c>
    </row>
    <row r="56" ht="15.75">
      <c r="A56" s="683" t="s">
        <v>868</v>
      </c>
    </row>
    <row r="58" ht="15.75">
      <c r="A58" s="331" t="s">
        <v>867</v>
      </c>
    </row>
    <row r="59" ht="15.75">
      <c r="A59" s="683" t="s">
        <v>869</v>
      </c>
    </row>
    <row r="61" ht="15.75">
      <c r="A61" s="331" t="s">
        <v>870</v>
      </c>
    </row>
    <row r="62" ht="15.75">
      <c r="A62" s="682" t="s">
        <v>871</v>
      </c>
    </row>
    <row r="64" ht="15.75">
      <c r="A64" s="331" t="s">
        <v>872</v>
      </c>
    </row>
    <row r="65" ht="15.75">
      <c r="A65" s="672" t="s">
        <v>873</v>
      </c>
    </row>
    <row r="66" ht="15.75">
      <c r="A66" s="672" t="s">
        <v>874</v>
      </c>
    </row>
    <row r="67" ht="15.75">
      <c r="A67" s="672" t="s">
        <v>875</v>
      </c>
    </row>
    <row r="68" ht="15.75">
      <c r="A68" s="672" t="s">
        <v>876</v>
      </c>
    </row>
    <row r="69" ht="15.75">
      <c r="A69" s="672" t="s">
        <v>877</v>
      </c>
    </row>
    <row r="70" ht="15.75">
      <c r="A70" s="672" t="s">
        <v>878</v>
      </c>
    </row>
    <row r="71" ht="15.75">
      <c r="A71" s="672" t="s">
        <v>879</v>
      </c>
    </row>
    <row r="72" ht="15.75">
      <c r="A72" s="672" t="s">
        <v>880</v>
      </c>
    </row>
    <row r="73" ht="15.75">
      <c r="A73" s="672" t="s">
        <v>881</v>
      </c>
    </row>
    <row r="74" ht="15.75">
      <c r="A74" s="672" t="s">
        <v>882</v>
      </c>
    </row>
    <row r="75" ht="15.75">
      <c r="A75" s="672" t="s">
        <v>883</v>
      </c>
    </row>
    <row r="76" ht="15.75">
      <c r="A76" s="672" t="s">
        <v>884</v>
      </c>
    </row>
    <row r="77" ht="15.75">
      <c r="A77" s="672" t="s">
        <v>885</v>
      </c>
    </row>
    <row r="78" ht="15.75">
      <c r="A78" s="672" t="s">
        <v>979</v>
      </c>
    </row>
    <row r="79" ht="15.75">
      <c r="A79" s="672" t="s">
        <v>886</v>
      </c>
    </row>
    <row r="80" ht="15.75">
      <c r="A80" s="672" t="s">
        <v>887</v>
      </c>
    </row>
    <row r="81" ht="15.75">
      <c r="A81" s="672" t="s">
        <v>888</v>
      </c>
    </row>
    <row r="82" ht="15.75">
      <c r="A82" s="672" t="s">
        <v>889</v>
      </c>
    </row>
    <row r="83" ht="15.75">
      <c r="A83" s="672" t="s">
        <v>890</v>
      </c>
    </row>
    <row r="84" ht="15.75">
      <c r="A84" s="672" t="s">
        <v>891</v>
      </c>
    </row>
    <row r="85" ht="15.75">
      <c r="A85" s="672" t="s">
        <v>892</v>
      </c>
    </row>
    <row r="86" ht="15.75">
      <c r="A86" s="672" t="s">
        <v>893</v>
      </c>
    </row>
    <row r="87" ht="15.75">
      <c r="A87" s="672" t="s">
        <v>894</v>
      </c>
    </row>
    <row r="88" ht="15.75">
      <c r="A88" s="672" t="s">
        <v>895</v>
      </c>
    </row>
    <row r="89" ht="15.75">
      <c r="A89" s="672" t="s">
        <v>896</v>
      </c>
    </row>
    <row r="90" ht="15.75">
      <c r="A90" s="672" t="s">
        <v>897</v>
      </c>
    </row>
    <row r="91" ht="15.75">
      <c r="A91" s="672" t="s">
        <v>898</v>
      </c>
    </row>
    <row r="92" ht="15.75">
      <c r="A92" s="672" t="s">
        <v>899</v>
      </c>
    </row>
    <row r="93" ht="15.75">
      <c r="A93" s="672" t="s">
        <v>900</v>
      </c>
    </row>
    <row r="95" ht="15.75">
      <c r="A95" s="331" t="s">
        <v>901</v>
      </c>
    </row>
    <row r="96" ht="15.75">
      <c r="A96" s="1" t="s">
        <v>903</v>
      </c>
    </row>
    <row r="98" ht="15.75">
      <c r="A98" s="331" t="s">
        <v>902</v>
      </c>
    </row>
    <row r="99" ht="15.75">
      <c r="A99" s="479" t="s">
        <v>904</v>
      </c>
    </row>
    <row r="101" ht="15.75">
      <c r="A101" s="331" t="s">
        <v>905</v>
      </c>
    </row>
    <row r="102" ht="15.75">
      <c r="A102" s="479" t="s">
        <v>906</v>
      </c>
    </row>
    <row r="103" ht="15.75">
      <c r="A103" s="479" t="s">
        <v>907</v>
      </c>
    </row>
    <row r="104" ht="31.5">
      <c r="A104" s="478" t="s">
        <v>908</v>
      </c>
    </row>
    <row r="105" ht="15.75">
      <c r="A105" s="479" t="s">
        <v>909</v>
      </c>
    </row>
    <row r="106" ht="15.75">
      <c r="A106" s="479" t="s">
        <v>910</v>
      </c>
    </row>
    <row r="107" ht="15.75">
      <c r="A107" s="479" t="s">
        <v>911</v>
      </c>
    </row>
    <row r="108" ht="15.75">
      <c r="A108" s="479" t="s">
        <v>912</v>
      </c>
    </row>
    <row r="109" ht="15.75">
      <c r="A109" s="479" t="s">
        <v>913</v>
      </c>
    </row>
    <row r="110" ht="15.75">
      <c r="A110" s="479" t="s">
        <v>914</v>
      </c>
    </row>
    <row r="111" ht="15.75">
      <c r="A111" s="479" t="s">
        <v>915</v>
      </c>
    </row>
    <row r="112" ht="15.75">
      <c r="A112" s="479" t="s">
        <v>916</v>
      </c>
    </row>
    <row r="113" ht="15.75">
      <c r="A113" s="479" t="s">
        <v>917</v>
      </c>
    </row>
    <row r="114" ht="15.75">
      <c r="A114" s="479" t="s">
        <v>918</v>
      </c>
    </row>
    <row r="115" ht="15.75">
      <c r="A115" s="479" t="s">
        <v>919</v>
      </c>
    </row>
    <row r="116" ht="15.75">
      <c r="A116" s="479" t="s">
        <v>920</v>
      </c>
    </row>
    <row r="117" ht="15.75">
      <c r="A117" s="479" t="s">
        <v>921</v>
      </c>
    </row>
    <row r="118" ht="15.75">
      <c r="A118" s="479" t="s">
        <v>922</v>
      </c>
    </row>
    <row r="119" ht="15.75">
      <c r="A119" s="479" t="s">
        <v>923</v>
      </c>
    </row>
    <row r="120" ht="15.75">
      <c r="A120" s="479" t="s">
        <v>924</v>
      </c>
    </row>
    <row r="121" ht="15.75">
      <c r="A121" s="479" t="s">
        <v>925</v>
      </c>
    </row>
    <row r="122" ht="15.75">
      <c r="A122" s="479" t="s">
        <v>926</v>
      </c>
    </row>
    <row r="124" ht="15.75">
      <c r="A124" s="331" t="s">
        <v>927</v>
      </c>
    </row>
    <row r="125" ht="34.5" customHeight="1">
      <c r="A125" s="7" t="s">
        <v>928</v>
      </c>
    </row>
    <row r="127" ht="15.75">
      <c r="A127" s="331" t="s">
        <v>929</v>
      </c>
    </row>
    <row r="128" ht="15.75">
      <c r="A128" s="5" t="s">
        <v>930</v>
      </c>
    </row>
    <row r="129" ht="15.75">
      <c r="A129" s="5" t="s">
        <v>931</v>
      </c>
    </row>
    <row r="130" ht="15.75">
      <c r="A130" s="5" t="s">
        <v>932</v>
      </c>
    </row>
    <row r="132" ht="15.75">
      <c r="A132" s="335" t="s">
        <v>933</v>
      </c>
    </row>
    <row r="133" ht="15.75">
      <c r="A133" s="5" t="s">
        <v>934</v>
      </c>
    </row>
    <row r="135" ht="15.75">
      <c r="A135" s="331" t="s">
        <v>935</v>
      </c>
    </row>
    <row r="136" ht="15.75">
      <c r="A136" s="332" t="s">
        <v>936</v>
      </c>
    </row>
    <row r="137" ht="15.75">
      <c r="A137" s="332" t="s">
        <v>937</v>
      </c>
    </row>
    <row r="138" ht="15.75">
      <c r="A138" s="332" t="s">
        <v>938</v>
      </c>
    </row>
    <row r="139" ht="15.75">
      <c r="A139" s="313" t="s">
        <v>939</v>
      </c>
    </row>
    <row r="140" ht="15.75">
      <c r="A140" s="313" t="s">
        <v>940</v>
      </c>
    </row>
    <row r="141" ht="15.75">
      <c r="A141" s="313"/>
    </row>
    <row r="142" ht="15.75">
      <c r="A142" s="310" t="s">
        <v>941</v>
      </c>
    </row>
    <row r="143" ht="15.75">
      <c r="A143" s="1" t="s">
        <v>942</v>
      </c>
    </row>
    <row r="144" ht="15.75">
      <c r="A144" s="1" t="s">
        <v>943</v>
      </c>
    </row>
    <row r="145" ht="15.75">
      <c r="A145" s="1" t="s">
        <v>944</v>
      </c>
    </row>
    <row r="146" ht="15.75">
      <c r="A146" s="1" t="s">
        <v>945</v>
      </c>
    </row>
    <row r="147" ht="15.75">
      <c r="A147" s="1" t="s">
        <v>946</v>
      </c>
    </row>
    <row r="148" ht="15.75">
      <c r="A148" s="1" t="s">
        <v>947</v>
      </c>
    </row>
    <row r="149" ht="15.75">
      <c r="A149" s="1" t="s">
        <v>948</v>
      </c>
    </row>
    <row r="150" ht="15.75">
      <c r="A150" s="1" t="s">
        <v>949</v>
      </c>
    </row>
    <row r="151" ht="15.75">
      <c r="A151" s="1" t="s">
        <v>950</v>
      </c>
    </row>
    <row r="152" ht="15.75">
      <c r="A152" s="1" t="s">
        <v>951</v>
      </c>
    </row>
    <row r="153" ht="15.75">
      <c r="A153" s="1" t="s">
        <v>952</v>
      </c>
    </row>
    <row r="154" ht="15.75">
      <c r="A154" s="1" t="s">
        <v>953</v>
      </c>
    </row>
    <row r="155" ht="15.75">
      <c r="A155" s="1" t="s">
        <v>954</v>
      </c>
    </row>
    <row r="156" ht="15.75">
      <c r="A156" s="1" t="s">
        <v>955</v>
      </c>
    </row>
    <row r="157" ht="15.75">
      <c r="A157" s="1" t="s">
        <v>956</v>
      </c>
    </row>
    <row r="158" ht="15.75">
      <c r="A158" s="1" t="s">
        <v>957</v>
      </c>
    </row>
    <row r="159" ht="15.75">
      <c r="A159" s="1" t="s">
        <v>958</v>
      </c>
    </row>
    <row r="160" ht="15.75">
      <c r="A160" s="1" t="s">
        <v>959</v>
      </c>
    </row>
    <row r="161" ht="15.75">
      <c r="A161" s="312" t="s">
        <v>960</v>
      </c>
    </row>
    <row r="162" ht="15.75">
      <c r="A162" s="313" t="s">
        <v>961</v>
      </c>
    </row>
    <row r="164" ht="15.75">
      <c r="A164" s="310" t="s">
        <v>962</v>
      </c>
    </row>
    <row r="165" ht="15.75">
      <c r="A165" s="1" t="s">
        <v>963</v>
      </c>
    </row>
    <row r="167" ht="15.75">
      <c r="A167" s="310" t="s">
        <v>968</v>
      </c>
    </row>
    <row r="168" ht="15.75">
      <c r="A168" s="1" t="s">
        <v>964</v>
      </c>
    </row>
    <row r="170" ht="15.75">
      <c r="A170" s="310" t="s">
        <v>969</v>
      </c>
    </row>
    <row r="171" ht="15.75">
      <c r="A171" s="1" t="s">
        <v>965</v>
      </c>
    </row>
    <row r="172" ht="15.75">
      <c r="A172" s="1" t="s">
        <v>966</v>
      </c>
    </row>
    <row r="173" ht="15.75">
      <c r="A173" s="1" t="s">
        <v>967</v>
      </c>
    </row>
    <row r="175" ht="15.75">
      <c r="A175" s="310" t="s">
        <v>970</v>
      </c>
    </row>
    <row r="176" ht="15.75">
      <c r="A176" s="1" t="s">
        <v>266</v>
      </c>
    </row>
    <row r="177" ht="15.75">
      <c r="A177" s="1" t="s">
        <v>267</v>
      </c>
    </row>
    <row r="179" ht="15.75">
      <c r="A179" s="310" t="s">
        <v>971</v>
      </c>
    </row>
    <row r="180" ht="15.75">
      <c r="A180" s="1" t="s">
        <v>61</v>
      </c>
    </row>
    <row r="181" ht="31.5">
      <c r="A181" s="2" t="s">
        <v>62</v>
      </c>
    </row>
    <row r="182" ht="15.75">
      <c r="A182" s="1" t="s">
        <v>63</v>
      </c>
    </row>
    <row r="183" ht="15.75">
      <c r="A183" s="1" t="s">
        <v>75</v>
      </c>
    </row>
    <row r="184" ht="15.75">
      <c r="A184" s="1" t="s">
        <v>64</v>
      </c>
    </row>
    <row r="185" ht="15.75">
      <c r="A185" s="1" t="s">
        <v>65</v>
      </c>
    </row>
    <row r="186" ht="31.5">
      <c r="A186" s="2" t="s">
        <v>84</v>
      </c>
    </row>
    <row r="187" ht="31.5">
      <c r="A187" s="2" t="s">
        <v>66</v>
      </c>
    </row>
    <row r="188" ht="31.5">
      <c r="A188" s="2" t="s">
        <v>67</v>
      </c>
    </row>
    <row r="189" ht="15.75">
      <c r="A189" s="2" t="s">
        <v>68</v>
      </c>
    </row>
    <row r="190" ht="31.5">
      <c r="A190" s="2" t="s">
        <v>69</v>
      </c>
    </row>
    <row r="191" ht="15.75">
      <c r="A191" s="1" t="s">
        <v>70</v>
      </c>
    </row>
    <row r="192" ht="15.75">
      <c r="A192" s="1" t="s">
        <v>71</v>
      </c>
    </row>
    <row r="193" ht="15.75">
      <c r="A193" s="1" t="s">
        <v>72</v>
      </c>
    </row>
    <row r="194" ht="15.75">
      <c r="A194" s="1" t="s">
        <v>73</v>
      </c>
    </row>
    <row r="195" ht="31.5">
      <c r="A195" s="2" t="s">
        <v>74</v>
      </c>
    </row>
    <row r="196" ht="15.75">
      <c r="A196" s="2" t="s">
        <v>76</v>
      </c>
    </row>
    <row r="197" ht="31.5">
      <c r="A197" s="2" t="s">
        <v>972</v>
      </c>
    </row>
    <row r="198" ht="15.75">
      <c r="A198" s="2" t="s">
        <v>973</v>
      </c>
    </row>
    <row r="199" ht="15.75">
      <c r="A199" s="2" t="s">
        <v>77</v>
      </c>
    </row>
    <row r="200" ht="15.75">
      <c r="A200" s="2" t="s">
        <v>78</v>
      </c>
    </row>
    <row r="201" ht="31.5">
      <c r="A201" s="2" t="s">
        <v>79</v>
      </c>
    </row>
    <row r="202" ht="31.5">
      <c r="A202" s="2" t="s">
        <v>81</v>
      </c>
    </row>
    <row r="203" ht="31.5">
      <c r="A203" s="2" t="s">
        <v>80</v>
      </c>
    </row>
    <row r="204" ht="31.5">
      <c r="A204" s="2" t="s">
        <v>974</v>
      </c>
    </row>
    <row r="205" ht="15.75">
      <c r="A205" s="2" t="s">
        <v>86</v>
      </c>
    </row>
    <row r="206" ht="15.75">
      <c r="A206" s="2"/>
    </row>
    <row r="207" ht="15.75">
      <c r="A207" s="310" t="s">
        <v>975</v>
      </c>
    </row>
    <row r="208" ht="15.75">
      <c r="A208" s="1" t="s">
        <v>54</v>
      </c>
    </row>
    <row r="210" ht="15.75">
      <c r="A210" s="310" t="s">
        <v>976</v>
      </c>
    </row>
    <row r="211" ht="47.25">
      <c r="A211" s="2" t="s">
        <v>27</v>
      </c>
    </row>
    <row r="212" ht="15.75">
      <c r="A212" s="1" t="s">
        <v>3</v>
      </c>
    </row>
    <row r="213" ht="15.75">
      <c r="A213" s="1" t="s">
        <v>7</v>
      </c>
    </row>
    <row r="214" ht="15.75">
      <c r="A214" s="1" t="s">
        <v>8</v>
      </c>
    </row>
    <row r="215" ht="15.75">
      <c r="A215" s="1" t="s">
        <v>4</v>
      </c>
    </row>
    <row r="216" ht="15.75">
      <c r="A216" s="1" t="s">
        <v>5</v>
      </c>
    </row>
    <row r="217" ht="15.75">
      <c r="A217" s="1" t="s">
        <v>6</v>
      </c>
    </row>
    <row r="218" ht="15.75">
      <c r="A218" s="2" t="s">
        <v>9</v>
      </c>
    </row>
    <row r="219" ht="15.75">
      <c r="A219" s="1" t="s">
        <v>10</v>
      </c>
    </row>
    <row r="220" ht="15.75">
      <c r="A220" s="1" t="s">
        <v>11</v>
      </c>
    </row>
    <row r="221" ht="15.75">
      <c r="A221" s="1" t="s">
        <v>28</v>
      </c>
    </row>
    <row r="222" ht="15.75">
      <c r="A222" s="1" t="s">
        <v>12</v>
      </c>
    </row>
    <row r="223" ht="15.75">
      <c r="A223" s="1" t="s">
        <v>29</v>
      </c>
    </row>
    <row r="224" ht="15.75">
      <c r="A224" s="1" t="s">
        <v>13</v>
      </c>
    </row>
    <row r="225" ht="15.75">
      <c r="A225" s="1" t="s">
        <v>30</v>
      </c>
    </row>
    <row r="226" ht="15.75">
      <c r="A226" s="1" t="s">
        <v>14</v>
      </c>
    </row>
    <row r="227" ht="15.75">
      <c r="A227" s="1" t="s">
        <v>23</v>
      </c>
    </row>
    <row r="228" ht="15.75">
      <c r="A228" s="1" t="s">
        <v>21</v>
      </c>
    </row>
    <row r="229" ht="15.75">
      <c r="A229" s="1" t="s">
        <v>22</v>
      </c>
    </row>
    <row r="230" ht="15.75">
      <c r="A230" s="1" t="s">
        <v>24</v>
      </c>
    </row>
    <row r="231" ht="15.75">
      <c r="A231" s="1" t="s">
        <v>31</v>
      </c>
    </row>
    <row r="232" ht="15.75">
      <c r="A232" s="1" t="s">
        <v>82</v>
      </c>
    </row>
    <row r="233" ht="15.75">
      <c r="A233" s="1" t="s">
        <v>83</v>
      </c>
    </row>
    <row r="234" ht="15.75">
      <c r="A234" s="1" t="s">
        <v>33</v>
      </c>
    </row>
    <row r="235" ht="15.75">
      <c r="A235" s="1" t="s">
        <v>34</v>
      </c>
    </row>
    <row r="236" ht="15.75">
      <c r="A236" s="1" t="s">
        <v>35</v>
      </c>
    </row>
    <row r="237" ht="15.75">
      <c r="A237" s="1" t="s">
        <v>40</v>
      </c>
    </row>
    <row r="238" ht="15.75">
      <c r="A238" s="1" t="s">
        <v>41</v>
      </c>
    </row>
    <row r="239" ht="15.75">
      <c r="A239" s="1" t="s">
        <v>50</v>
      </c>
    </row>
    <row r="240" ht="15.75">
      <c r="A240" s="1" t="s">
        <v>52</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R99" sqref="R99"/>
    </sheetView>
  </sheetViews>
  <sheetFormatPr defaultColWidth="8.796875" defaultRowHeight="15.75"/>
  <cols>
    <col min="1" max="1" width="13.69921875" style="0" customWidth="1"/>
    <col min="2" max="2" width="16" style="0" customWidth="1"/>
  </cols>
  <sheetData>
    <row r="1" ht="15.75">
      <c r="J1" s="667" t="s">
        <v>729</v>
      </c>
    </row>
    <row r="2" spans="1:10" ht="54" customHeight="1">
      <c r="A2" s="884" t="s">
        <v>313</v>
      </c>
      <c r="B2" s="885"/>
      <c r="C2" s="885"/>
      <c r="D2" s="885"/>
      <c r="E2" s="885"/>
      <c r="F2" s="885"/>
      <c r="J2" s="667" t="s">
        <v>730</v>
      </c>
    </row>
    <row r="3" ht="15.75">
      <c r="J3" s="667" t="s">
        <v>731</v>
      </c>
    </row>
    <row r="4" spans="1:10" ht="15.75">
      <c r="A4" s="1" t="s">
        <v>720</v>
      </c>
      <c r="B4" s="690"/>
      <c r="J4" s="667" t="s">
        <v>732</v>
      </c>
    </row>
    <row r="5" spans="1:10" ht="15.75">
      <c r="A5" s="1"/>
      <c r="B5" s="654"/>
      <c r="J5" s="667" t="s">
        <v>733</v>
      </c>
    </row>
    <row r="6" spans="1:10" ht="15.75">
      <c r="A6" s="1" t="s">
        <v>721</v>
      </c>
      <c r="B6" s="690"/>
      <c r="J6" s="667" t="s">
        <v>734</v>
      </c>
    </row>
    <row r="7" spans="1:10" ht="15.75">
      <c r="A7" s="315"/>
      <c r="B7" s="315"/>
      <c r="C7" s="315"/>
      <c r="D7" s="316"/>
      <c r="E7" s="315"/>
      <c r="F7" s="315"/>
      <c r="J7" s="667" t="s">
        <v>735</v>
      </c>
    </row>
    <row r="8" spans="1:10" ht="15.75">
      <c r="A8" s="317" t="s">
        <v>314</v>
      </c>
      <c r="B8" s="690"/>
      <c r="C8" s="318"/>
      <c r="D8" s="317" t="s">
        <v>722</v>
      </c>
      <c r="E8" s="315"/>
      <c r="F8" s="315"/>
      <c r="J8" s="667" t="s">
        <v>736</v>
      </c>
    </row>
    <row r="9" spans="1:10" ht="15.75">
      <c r="A9" s="317"/>
      <c r="B9" s="319"/>
      <c r="C9" s="320"/>
      <c r="D9" s="317">
        <f>IF(B8="","",CONCATENATE("Latest date for notice to be published in your newspaper: ",G19," ",G23,", ",G24))</f>
      </c>
      <c r="E9" s="315"/>
      <c r="F9" s="315"/>
      <c r="J9" s="667" t="s">
        <v>737</v>
      </c>
    </row>
    <row r="10" spans="1:10" ht="15.75">
      <c r="A10" s="317" t="s">
        <v>315</v>
      </c>
      <c r="B10" s="690"/>
      <c r="C10" s="321"/>
      <c r="D10" s="317"/>
      <c r="E10" s="315"/>
      <c r="F10" s="315"/>
      <c r="J10" s="667" t="s">
        <v>738</v>
      </c>
    </row>
    <row r="11" spans="1:10" ht="15.75">
      <c r="A11" s="317"/>
      <c r="B11" s="317"/>
      <c r="C11" s="317"/>
      <c r="D11" s="317"/>
      <c r="E11" s="315"/>
      <c r="F11" s="315"/>
      <c r="J11" s="667" t="s">
        <v>739</v>
      </c>
    </row>
    <row r="12" spans="1:10" ht="15.75">
      <c r="A12" s="317" t="s">
        <v>316</v>
      </c>
      <c r="B12" s="691"/>
      <c r="C12" s="692"/>
      <c r="D12" s="692"/>
      <c r="E12" s="693"/>
      <c r="F12" s="315"/>
      <c r="J12" s="667" t="s">
        <v>740</v>
      </c>
    </row>
    <row r="13" spans="1:6" ht="15.75">
      <c r="A13" s="317"/>
      <c r="B13" s="317"/>
      <c r="C13" s="317"/>
      <c r="D13" s="317"/>
      <c r="E13" s="315"/>
      <c r="F13" s="315"/>
    </row>
    <row r="14" spans="1:6" ht="15.75">
      <c r="A14" s="317"/>
      <c r="B14" s="317"/>
      <c r="C14" s="317"/>
      <c r="D14" s="317"/>
      <c r="E14" s="315"/>
      <c r="F14" s="315"/>
    </row>
    <row r="15" spans="1:6" ht="15.75">
      <c r="A15" s="317" t="s">
        <v>317</v>
      </c>
      <c r="B15" s="691"/>
      <c r="C15" s="692"/>
      <c r="D15" s="692"/>
      <c r="E15" s="693"/>
      <c r="F15" s="315"/>
    </row>
    <row r="18" spans="1:6" ht="15.75">
      <c r="A18" s="886" t="s">
        <v>318</v>
      </c>
      <c r="B18" s="886"/>
      <c r="C18" s="317"/>
      <c r="D18" s="317"/>
      <c r="E18" s="317"/>
      <c r="F18" s="315"/>
    </row>
    <row r="19" spans="1:7" ht="15.75">
      <c r="A19" s="317"/>
      <c r="B19" s="317"/>
      <c r="C19" s="317"/>
      <c r="D19" s="317"/>
      <c r="E19" s="317"/>
      <c r="F19" s="315"/>
      <c r="G19" s="667">
        <f ca="1">IF(B8="","",INDIRECT(G20))</f>
      </c>
    </row>
    <row r="20" spans="1:7" ht="15.75">
      <c r="A20" s="317" t="s">
        <v>314</v>
      </c>
      <c r="B20" s="319" t="s">
        <v>319</v>
      </c>
      <c r="C20" s="317"/>
      <c r="D20" s="317"/>
      <c r="E20" s="317"/>
      <c r="G20" s="668">
        <f>IF(B8="","",CONCATENATE("J",G22))</f>
      </c>
    </row>
    <row r="21" spans="1:7" ht="15.75">
      <c r="A21" s="317"/>
      <c r="B21" s="317"/>
      <c r="C21" s="317"/>
      <c r="D21" s="317"/>
      <c r="E21" s="317"/>
      <c r="G21" s="669">
        <f>B8-10</f>
        <v>-10</v>
      </c>
    </row>
    <row r="22" spans="1:7" ht="15.75">
      <c r="A22" s="317" t="s">
        <v>315</v>
      </c>
      <c r="B22" s="317" t="s">
        <v>320</v>
      </c>
      <c r="C22" s="317"/>
      <c r="D22" s="317"/>
      <c r="E22" s="317"/>
      <c r="G22" s="670">
        <f>IF(B8="","",MONTH(G21))</f>
      </c>
    </row>
    <row r="23" spans="1:7" ht="15.75">
      <c r="A23" s="317"/>
      <c r="B23" s="317"/>
      <c r="C23" s="317"/>
      <c r="D23" s="317"/>
      <c r="E23" s="317"/>
      <c r="G23" s="671">
        <f>IF(B8="","",DAY(G21))</f>
      </c>
    </row>
    <row r="24" spans="1:5" ht="15.75">
      <c r="A24" s="317" t="s">
        <v>316</v>
      </c>
      <c r="B24" s="317" t="s">
        <v>321</v>
      </c>
      <c r="C24" s="317"/>
      <c r="D24" s="317"/>
      <c r="E24" s="317"/>
    </row>
    <row r="25" spans="1:5" ht="15.75">
      <c r="A25" s="317"/>
      <c r="B25" s="317"/>
      <c r="C25" s="317"/>
      <c r="D25" s="317"/>
      <c r="E25" s="317"/>
    </row>
    <row r="26" spans="1:5" ht="15.75">
      <c r="A26" s="317" t="s">
        <v>317</v>
      </c>
      <c r="B26" s="317" t="s">
        <v>322</v>
      </c>
      <c r="C26" s="317"/>
      <c r="D26" s="317"/>
      <c r="E26" s="31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6"/>
  <sheetViews>
    <sheetView zoomScalePageLayoutView="0" workbookViewId="0" topLeftCell="A1">
      <selection activeCell="A82" sqref="A82"/>
    </sheetView>
  </sheetViews>
  <sheetFormatPr defaultColWidth="8.796875" defaultRowHeight="15.75"/>
  <cols>
    <col min="1" max="1" width="87.8984375" style="0" customWidth="1"/>
  </cols>
  <sheetData>
    <row r="1" ht="15.75">
      <c r="A1" s="17" t="s">
        <v>983</v>
      </c>
    </row>
    <row r="2" ht="15.75">
      <c r="A2" s="861"/>
    </row>
    <row r="3" ht="15.75">
      <c r="A3" s="861"/>
    </row>
    <row r="4" ht="15.75">
      <c r="A4" s="861"/>
    </row>
    <row r="5" ht="15.75">
      <c r="A5" s="861"/>
    </row>
    <row r="6" ht="15.75">
      <c r="A6" s="861"/>
    </row>
    <row r="7" ht="15.75">
      <c r="A7" s="861"/>
    </row>
    <row r="8" ht="15.75">
      <c r="A8" s="861"/>
    </row>
    <row r="9" ht="15.75">
      <c r="A9" s="861"/>
    </row>
    <row r="10" ht="15.75">
      <c r="A10" s="861"/>
    </row>
    <row r="11" ht="15.75">
      <c r="A11" s="861"/>
    </row>
    <row r="12" ht="15.75">
      <c r="A12" s="861"/>
    </row>
    <row r="13" ht="15.75">
      <c r="A13" s="861"/>
    </row>
    <row r="14" ht="15.75">
      <c r="A14" s="861"/>
    </row>
    <row r="15" ht="15.75">
      <c r="A15" s="861"/>
    </row>
    <row r="16" ht="15.75">
      <c r="A16" s="861"/>
    </row>
    <row r="17" ht="15.75">
      <c r="A17" s="861"/>
    </row>
    <row r="18" ht="15.75">
      <c r="A18" s="861"/>
    </row>
    <row r="19" ht="15.75">
      <c r="A19" s="861"/>
    </row>
    <row r="20" ht="15.75">
      <c r="A20" s="861"/>
    </row>
    <row r="21" ht="15.75">
      <c r="A21" s="861"/>
    </row>
    <row r="22" ht="15.75">
      <c r="A22" s="861"/>
    </row>
    <row r="23" ht="15.75">
      <c r="A23" s="861"/>
    </row>
    <row r="24" ht="15.75">
      <c r="A24" s="861"/>
    </row>
    <row r="25" ht="15.75">
      <c r="A25" s="861"/>
    </row>
    <row r="26" ht="15.75">
      <c r="A26" s="861"/>
    </row>
    <row r="27" ht="15.75">
      <c r="A27" s="861"/>
    </row>
    <row r="28" ht="15.75">
      <c r="A28" s="861"/>
    </row>
    <row r="29" ht="15.75">
      <c r="A29" s="861"/>
    </row>
    <row r="30" ht="15.75">
      <c r="A30" s="861"/>
    </row>
    <row r="31" ht="15.75">
      <c r="A31" s="861"/>
    </row>
    <row r="32" ht="15.75">
      <c r="A32" s="861"/>
    </row>
    <row r="33" ht="15.75">
      <c r="A33" s="861"/>
    </row>
    <row r="34" ht="15.75">
      <c r="A34" s="861"/>
    </row>
    <row r="35" ht="15.75">
      <c r="A35" s="861"/>
    </row>
    <row r="36" ht="15.75">
      <c r="A36" s="861"/>
    </row>
    <row r="37" ht="15.75">
      <c r="A37" s="861"/>
    </row>
    <row r="38" ht="15.75">
      <c r="A38" s="861"/>
    </row>
    <row r="39" ht="15.75">
      <c r="A39" s="861"/>
    </row>
    <row r="40" ht="15.75">
      <c r="A40" s="861"/>
    </row>
    <row r="41" ht="15.75">
      <c r="A41" s="861"/>
    </row>
    <row r="42" ht="15.75">
      <c r="A42" s="861"/>
    </row>
    <row r="43" ht="15.75">
      <c r="A43" s="861"/>
    </row>
    <row r="44" ht="15.75">
      <c r="A44" s="861"/>
    </row>
    <row r="45" ht="15.75">
      <c r="A45" s="861"/>
    </row>
    <row r="46" ht="15.75">
      <c r="A46" s="86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6"/>
  <sheetViews>
    <sheetView zoomScale="90" zoomScaleNormal="90" zoomScalePageLayoutView="0" workbookViewId="0" topLeftCell="A1">
      <selection activeCell="W76" sqref="W76"/>
    </sheetView>
  </sheetViews>
  <sheetFormatPr defaultColWidth="8.796875" defaultRowHeight="15.75"/>
  <cols>
    <col min="1" max="1" width="20.69921875" style="5" customWidth="1"/>
    <col min="2" max="2" width="9.69921875" style="5" customWidth="1"/>
    <col min="3" max="3" width="5.69921875" style="5" customWidth="1"/>
    <col min="4" max="4" width="15.69921875" style="5" customWidth="1"/>
    <col min="5" max="5" width="12.69921875" style="5" customWidth="1"/>
    <col min="6" max="6" width="10.69921875" style="5" customWidth="1"/>
    <col min="7" max="16384" width="8.796875" style="5" customWidth="1"/>
  </cols>
  <sheetData>
    <row r="1" spans="1:7" s="17" customFormat="1" ht="15.75">
      <c r="A1" s="889" t="s">
        <v>176</v>
      </c>
      <c r="B1" s="889"/>
      <c r="C1" s="889"/>
      <c r="D1" s="889"/>
      <c r="E1" s="889"/>
      <c r="F1" s="889"/>
      <c r="G1" s="17">
        <f>inputPrYr!D7</f>
        <v>0</v>
      </c>
    </row>
    <row r="2" spans="2:6" s="17" customFormat="1" ht="15.75">
      <c r="B2" s="18"/>
      <c r="C2" s="18"/>
      <c r="D2" s="18"/>
      <c r="E2" s="18"/>
      <c r="F2" s="19"/>
    </row>
    <row r="3" spans="1:7" s="17" customFormat="1" ht="15.75">
      <c r="A3" s="893" t="str">
        <f>CONCATENATE("To the Clerk of ",inputPrYr!D4,", State of Kansas")</f>
        <v>To the Clerk of , State of Kansas</v>
      </c>
      <c r="B3" s="894"/>
      <c r="C3" s="894"/>
      <c r="D3" s="894"/>
      <c r="E3" s="894"/>
      <c r="F3" s="894"/>
      <c r="G3" s="894"/>
    </row>
    <row r="4" spans="1:6" s="17" customFormat="1" ht="15.75">
      <c r="A4" s="21" t="s">
        <v>235</v>
      </c>
      <c r="B4" s="18"/>
      <c r="C4" s="18"/>
      <c r="D4" s="18"/>
      <c r="E4" s="18"/>
      <c r="F4" s="18"/>
    </row>
    <row r="5" s="17" customFormat="1" ht="15.75">
      <c r="C5" s="22">
        <f>inputPrYr!D3</f>
        <v>0</v>
      </c>
    </row>
    <row r="6" spans="1:6" s="17" customFormat="1" ht="15.75">
      <c r="A6" s="898" t="s">
        <v>233</v>
      </c>
      <c r="B6" s="894"/>
      <c r="C6" s="894"/>
      <c r="D6" s="894"/>
      <c r="E6" s="894"/>
      <c r="F6" s="894"/>
    </row>
    <row r="7" spans="1:6" s="17" customFormat="1" ht="15.75" customHeight="1">
      <c r="A7" s="893" t="s">
        <v>234</v>
      </c>
      <c r="B7" s="899"/>
      <c r="C7" s="899"/>
      <c r="D7" s="899"/>
      <c r="E7" s="899"/>
      <c r="F7" s="899"/>
    </row>
    <row r="8" spans="1:6" s="17" customFormat="1" ht="15.75" customHeight="1">
      <c r="A8" s="21" t="str">
        <f>CONCATENATE("maximum expenditures for the various funds for the year ",G1,"; and (3) the")</f>
        <v>maximum expenditures for the various funds for the year 0; and (3) the</v>
      </c>
      <c r="B8" s="18"/>
      <c r="C8" s="18"/>
      <c r="D8" s="18"/>
      <c r="E8" s="18"/>
      <c r="F8" s="18"/>
    </row>
    <row r="9" spans="1:6" s="17" customFormat="1" ht="15.75" customHeight="1">
      <c r="A9" s="21" t="str">
        <f>CONCATENATE("Amount(s) of ",G1-1," Ad Valorem Tax are within statutory limitations for the ",G1," Budget.")</f>
        <v>Amount(s) of -1 Ad Valorem Tax are within statutory limitations for the 0 Budget.</v>
      </c>
      <c r="B9" s="18"/>
      <c r="C9" s="18"/>
      <c r="D9" s="18"/>
      <c r="E9" s="18"/>
      <c r="F9" s="18"/>
    </row>
    <row r="10" spans="4:6" s="17" customFormat="1" ht="15.75" customHeight="1">
      <c r="D10" s="23"/>
      <c r="E10" s="23"/>
      <c r="F10" s="23"/>
    </row>
    <row r="11" spans="3:6" s="17" customFormat="1" ht="15.75">
      <c r="C11" s="24"/>
      <c r="D11" s="895" t="str">
        <f>CONCATENATE("",G1," Adopted Budget")</f>
        <v>0 Adopted Budget</v>
      </c>
      <c r="E11" s="896"/>
      <c r="F11" s="897"/>
    </row>
    <row r="12" spans="1:6" s="17" customFormat="1" ht="15.75">
      <c r="A12" s="25"/>
      <c r="C12" s="23"/>
      <c r="D12" s="26" t="s">
        <v>94</v>
      </c>
      <c r="E12" s="890" t="str">
        <f>CONCATENATE("Amount of ",G1-1," Ad Valorem Tax")</f>
        <v>Amount of -1 Ad Valorem Tax</v>
      </c>
      <c r="F12" s="27" t="s">
        <v>95</v>
      </c>
    </row>
    <row r="13" spans="3:6" s="17" customFormat="1" ht="15.75">
      <c r="C13" s="27" t="s">
        <v>96</v>
      </c>
      <c r="D13" s="437" t="s">
        <v>37</v>
      </c>
      <c r="E13" s="891"/>
      <c r="F13" s="29" t="s">
        <v>97</v>
      </c>
    </row>
    <row r="14" spans="1:6" s="17" customFormat="1" ht="15.75">
      <c r="A14" s="30" t="s">
        <v>98</v>
      </c>
      <c r="B14" s="31"/>
      <c r="C14" s="32" t="s">
        <v>99</v>
      </c>
      <c r="D14" s="438" t="s">
        <v>636</v>
      </c>
      <c r="E14" s="892"/>
      <c r="F14" s="32" t="s">
        <v>101</v>
      </c>
    </row>
    <row r="15" spans="1:6" s="17" customFormat="1" ht="15.75">
      <c r="A15" s="33" t="str">
        <f>CONCATENATE("Computation to Determine Limit ",G1," (Spec)")</f>
        <v>Computation to Determine Limit 0 (Spec)</v>
      </c>
      <c r="B15" s="34"/>
      <c r="C15" s="27">
        <v>2</v>
      </c>
      <c r="D15" s="24"/>
      <c r="E15" s="24"/>
      <c r="F15" s="35"/>
    </row>
    <row r="16" spans="1:6" s="17" customFormat="1" ht="15.75">
      <c r="A16" s="33" t="str">
        <f>CONCATENATE("Computation to Determine Limit ",G1," (Town)")</f>
        <v>Computation to Determine Limit 0 (Town)</v>
      </c>
      <c r="B16" s="34"/>
      <c r="C16" s="27">
        <v>3</v>
      </c>
      <c r="D16" s="24"/>
      <c r="E16" s="24"/>
      <c r="F16" s="36"/>
    </row>
    <row r="17" spans="1:6" s="17" customFormat="1" ht="15.75">
      <c r="A17" s="33" t="s">
        <v>727</v>
      </c>
      <c r="B17" s="34"/>
      <c r="C17" s="37">
        <v>4</v>
      </c>
      <c r="D17" s="24"/>
      <c r="E17" s="24"/>
      <c r="F17" s="36"/>
    </row>
    <row r="18" spans="1:6" s="17" customFormat="1" ht="15.75">
      <c r="A18" s="38" t="s">
        <v>249</v>
      </c>
      <c r="B18" s="34"/>
      <c r="C18" s="37">
        <v>5</v>
      </c>
      <c r="D18" s="24"/>
      <c r="E18" s="24"/>
      <c r="F18" s="36"/>
    </row>
    <row r="19" spans="1:6" s="17" customFormat="1" ht="15.75">
      <c r="A19" s="38" t="s">
        <v>226</v>
      </c>
      <c r="B19" s="34"/>
      <c r="C19" s="37">
        <v>6</v>
      </c>
      <c r="D19" s="24"/>
      <c r="E19" s="24"/>
      <c r="F19" s="36"/>
    </row>
    <row r="20" spans="1:6" s="17" customFormat="1" ht="15.75">
      <c r="A20" s="38">
        <f>IF(inputPrYr!D26="","","Computation to Determine State Library Grant")</f>
      </c>
      <c r="B20" s="34"/>
      <c r="C20" s="37">
        <f>IF(inputPrYr!D26&gt;0,7,"")</f>
      </c>
      <c r="D20" s="24"/>
      <c r="E20" s="24"/>
      <c r="F20" s="36"/>
    </row>
    <row r="21" spans="1:6" s="17" customFormat="1" ht="15.75">
      <c r="A21" s="432" t="s">
        <v>102</v>
      </c>
      <c r="B21" s="39" t="s">
        <v>103</v>
      </c>
      <c r="C21" s="40"/>
      <c r="D21" s="41"/>
      <c r="E21" s="42"/>
      <c r="F21" s="34"/>
    </row>
    <row r="22" spans="1:6" s="17" customFormat="1" ht="15.75">
      <c r="A22" s="43">
        <f>inputPrYr!B20</f>
        <v>0</v>
      </c>
      <c r="B22" s="44" t="str">
        <f>inputPrYr!C20</f>
        <v>19-2716</v>
      </c>
      <c r="C22" s="45">
        <f>IF(Special!$C$47&gt;0,Special!C47,"  ")</f>
        <v>7</v>
      </c>
      <c r="D22" s="214" t="str">
        <f>IF(Special!$E$34&lt;&gt;0,Special!$E$34,"  ")</f>
        <v>  </v>
      </c>
      <c r="E22" s="214" t="str">
        <f>IF(Special!$E$41&lt;&gt;0,Special!$E$41,"  ")</f>
        <v>  </v>
      </c>
      <c r="F22" s="661" t="str">
        <f>IF(AND(Special!E41=0,$B$50&gt;=0)," ",IF(AND(E22&gt;0,$B$50=0)," ",IF(AND(E22&gt;0,$B$50&gt;0),ROUND(E22/$B$50*1000,3))))</f>
        <v> </v>
      </c>
    </row>
    <row r="23" spans="1:6" s="17" customFormat="1" ht="15.75">
      <c r="A23" s="432"/>
      <c r="B23" s="37"/>
      <c r="C23" s="47"/>
      <c r="D23" s="662"/>
      <c r="E23" s="662"/>
      <c r="F23" s="663"/>
    </row>
    <row r="24" spans="1:6" s="17" customFormat="1" ht="16.5" thickBot="1">
      <c r="A24" s="43" t="s">
        <v>92</v>
      </c>
      <c r="B24" s="50"/>
      <c r="C24" s="47" t="s">
        <v>19</v>
      </c>
      <c r="D24" s="205">
        <f>SUM(D22:D23)</f>
        <v>0</v>
      </c>
      <c r="E24" s="205">
        <f>SUM(E22:E23)</f>
        <v>0</v>
      </c>
      <c r="F24" s="768">
        <f>SUM(F22:F23)</f>
        <v>0</v>
      </c>
    </row>
    <row r="25" spans="1:6" s="17" customFormat="1" ht="16.5" thickTop="1">
      <c r="A25" s="432" t="s">
        <v>102</v>
      </c>
      <c r="B25" s="39" t="s">
        <v>103</v>
      </c>
      <c r="C25" s="52"/>
      <c r="D25" s="900" t="s">
        <v>836</v>
      </c>
      <c r="E25" s="901"/>
      <c r="F25" s="769" t="str">
        <f>IF(E24&gt;1000,IF(E24&gt;computationSpecial!J41,"Yes","No"),"No")</f>
        <v>No</v>
      </c>
    </row>
    <row r="26" spans="1:6" s="17" customFormat="1" ht="15.75">
      <c r="A26" s="53" t="str">
        <f>inputPrYr!B24</f>
        <v>General</v>
      </c>
      <c r="B26" s="44" t="str">
        <f>inputPrYr!C24</f>
        <v>79-1962</v>
      </c>
      <c r="C26" s="45">
        <f>IF(gen!$C$62&gt;0,gen!$C$62,"  ")</f>
        <v>8</v>
      </c>
      <c r="D26" s="214" t="str">
        <f>IF(gen!$E$49&lt;&gt;0,gen!$E$49,"  ")</f>
        <v>  </v>
      </c>
      <c r="E26" s="214">
        <f>IF(gen!$E$56&lt;&gt;0,gen!$E$56,0)</f>
        <v>0</v>
      </c>
      <c r="F26" s="661" t="str">
        <f>IF(AND(gen!E56=0,$B$49&gt;=0)," ",IF(AND(E26&gt;0,$B$49=0)," ",IF(AND(E26&gt;0,$B$49&gt;0),ROUND(E26/$B$49*1000,3))))</f>
        <v> </v>
      </c>
    </row>
    <row r="27" spans="1:6" s="17" customFormat="1" ht="15.75">
      <c r="A27" s="53" t="s">
        <v>268</v>
      </c>
      <c r="B27" s="44" t="str">
        <f>inputPrYr!C25</f>
        <v>10-113</v>
      </c>
      <c r="C27" s="45" t="str">
        <f>IF('DebtSvs-Library'!C88&gt;0,'DebtSvs-Library'!C88,"  ")</f>
        <v>  </v>
      </c>
      <c r="D27" s="214" t="str">
        <f>IF('DebtSvs-Library'!E34&lt;&gt;0,'DebtSvs-Library'!E34,"  ")</f>
        <v>  </v>
      </c>
      <c r="E27" s="214" t="str">
        <f>IF('DebtSvs-Library'!E41&lt;&gt;0,'DebtSvs-Library'!E41,"  ")</f>
        <v>  </v>
      </c>
      <c r="F27" s="661" t="str">
        <f>IF(AND('DebtSvs-Library'!E41=0,$B$49&gt;=0)," ",IF(AND(E27&gt;0,$B$49=0)," ",IF(AND(E27&gt;0,$B$49&gt;0),ROUND(E27/$B$49*1000,3))))</f>
        <v> </v>
      </c>
    </row>
    <row r="28" spans="1:6" s="17" customFormat="1" ht="15.75">
      <c r="A28" s="53" t="str">
        <f>IF(inputPrYr!$B26&gt;"  ",inputPrYr!$B26,"  ")</f>
        <v>Library</v>
      </c>
      <c r="B28" s="44" t="str">
        <f>inputPrYr!C26</f>
        <v>12-1220</v>
      </c>
      <c r="C28" s="45" t="str">
        <f>IF('DebtSvs-Library'!C88&gt;0,'DebtSvs-Library'!C88,"  ")</f>
        <v>  </v>
      </c>
      <c r="D28" s="214" t="str">
        <f>IF('DebtSvs-Library'!E75&lt;&gt;0,'DebtSvs-Library'!E75,"  ")</f>
        <v>  </v>
      </c>
      <c r="E28" s="214" t="str">
        <f>IF('DebtSvs-Library'!E82&lt;&gt;0,'DebtSvs-Library'!E82,"  ")</f>
        <v>  </v>
      </c>
      <c r="F28" s="661" t="str">
        <f>IF(AND('DebtSvs-Library'!E82=0,$B$49&gt;=0)," ",IF(AND(E28&gt;0,$B$49=0)," ",IF(AND(E28&gt;0,$B$49&gt;0),ROUND(E28/$B$49*1000,3))))</f>
        <v> </v>
      </c>
    </row>
    <row r="29" spans="1:6" s="17" customFormat="1" ht="15.75">
      <c r="A29" s="53" t="str">
        <f>IF(inputPrYr!$B27&gt;"  ",inputPrYr!$B27,"  ")</f>
        <v>Road</v>
      </c>
      <c r="B29" s="44" t="str">
        <f>IF(inputPrYr!C27&gt;0,inputPrYr!C27,"  ")</f>
        <v>68-518c</v>
      </c>
      <c r="C29" s="45" t="str">
        <f>IF(road!$C$70&gt;0,road!$C$70,"  ")</f>
        <v>  </v>
      </c>
      <c r="D29" s="214" t="str">
        <f>IF(road!$E$43&lt;&gt;0,road!$E$43,"  ")</f>
        <v>  </v>
      </c>
      <c r="E29" s="214" t="str">
        <f>IF(road!$E$50&lt;&gt;0,road!$E$50,"  ")</f>
        <v>  </v>
      </c>
      <c r="F29" s="661" t="str">
        <f>IF(AND(road!E50=0,$B$49&gt;=0)," ",IF(AND(E29&gt;0,$B$49=0)," ",IF(AND(E29&gt;0,$B$49&gt;0),ROUND(E29/$B$49*1000,3))))</f>
        <v> </v>
      </c>
    </row>
    <row r="30" spans="1:6" s="17" customFormat="1" ht="15.75">
      <c r="A30" s="53" t="str">
        <f>IF(inputPrYr!$B28&gt;"  ",inputPrYr!$B28,"  ")</f>
        <v>Special Road</v>
      </c>
      <c r="B30" s="44" t="str">
        <f>IF(inputPrYr!C28&gt;0,inputPrYr!C28,"  ")</f>
        <v>80-1413</v>
      </c>
      <c r="C30" s="45" t="str">
        <f>IF(levypage11!$C$88&gt;0,levypage11!$C$88,"  ")</f>
        <v>  </v>
      </c>
      <c r="D30" s="214" t="str">
        <f>IF(levypage11!$E$34&lt;&gt;0,levypage11!$E$34,"  ")</f>
        <v>  </v>
      </c>
      <c r="E30" s="214" t="str">
        <f>IF(levypage11!$E$41&lt;&gt;0,levypage11!$E$41,"  ")</f>
        <v>  </v>
      </c>
      <c r="F30" s="661" t="str">
        <f>IF(AND(levypage11!E41=0,$B$49&gt;=0)," ",IF(AND(E30&gt;0,$B$49=0)," ",IF(AND(E30&gt;0,$B$49&gt;0),ROUND(E30/$B$49*1000,3))))</f>
        <v> </v>
      </c>
    </row>
    <row r="31" spans="1:6" s="17" customFormat="1" ht="15.75">
      <c r="A31" s="53" t="str">
        <f>IF(inputPrYr!$B29&gt;"  ",inputPrYr!$B29,"  ")</f>
        <v>Noxious Weed</v>
      </c>
      <c r="B31" s="44" t="str">
        <f>IF(inputPrYr!C29&gt;0,inputPrYr!C29,"  ")</f>
        <v>2-1318</v>
      </c>
      <c r="C31" s="45" t="str">
        <f>IF(levypage11!$C$88&gt;0,levypage11!$C$88,"  ")</f>
        <v>  </v>
      </c>
      <c r="D31" s="214" t="str">
        <f>IF(levypage11!$E$75&lt;&gt;0,levypage11!$E$75,"  ")</f>
        <v>  </v>
      </c>
      <c r="E31" s="214" t="str">
        <f>IF(levypage11!$E$82&lt;&gt;0,levypage11!$E$82,"  ")</f>
        <v>  </v>
      </c>
      <c r="F31" s="661" t="str">
        <f>IF(AND(levypage11!E82=0,$B$49&gt;=0)," ",IF(AND(E31&gt;0,$B$49=0)," ",IF(AND(E31&gt;0,$B$49&gt;0),ROUND(E31/$B$49*1000,3))))</f>
        <v> </v>
      </c>
    </row>
    <row r="32" spans="1:6" s="17" customFormat="1" ht="15.75">
      <c r="A32" s="53" t="str">
        <f>IF(inputPrYr!$B30&gt;"  ",inputPrYr!$B30,"  ")</f>
        <v>  </v>
      </c>
      <c r="B32" s="44" t="str">
        <f>IF(inputPrYr!C30&gt;0,inputPrYr!C30,"  ")</f>
        <v>  </v>
      </c>
      <c r="C32" s="45" t="str">
        <f>IF(levypage12!$C$88&gt;0,levypage12!$C$88,"  ")</f>
        <v>  </v>
      </c>
      <c r="D32" s="214" t="str">
        <f>IF(levypage12!$E$34&lt;&gt;0,levypage12!$E$34,"  ")</f>
        <v>  </v>
      </c>
      <c r="E32" s="214" t="str">
        <f>IF(levypage12!$E$41&lt;&gt;0,levypage12!$E$41,"  ")</f>
        <v>  </v>
      </c>
      <c r="F32" s="661" t="str">
        <f>IF(AND(levypage12!$E$41=0,$B$49&gt;=0)," ",IF(AND(E32&gt;0,$B$49=0)," ",IF(AND(E32&gt;0,$B$49&gt;0),ROUND(E32/$B$49*1000,3))))</f>
        <v> </v>
      </c>
    </row>
    <row r="33" spans="1:6" s="17" customFormat="1" ht="15.75">
      <c r="A33" s="53" t="str">
        <f>IF(inputPrYr!$B31&gt;"  ",inputPrYr!$B31,"  ")</f>
        <v>  </v>
      </c>
      <c r="B33" s="44" t="str">
        <f>IF(inputPrYr!C31&gt;0,inputPrYr!C31,"  ")</f>
        <v>  </v>
      </c>
      <c r="C33" s="45" t="str">
        <f>IF(levypage12!$C$88&gt;0,levypage12!$C$88,"  ")</f>
        <v>  </v>
      </c>
      <c r="D33" s="214" t="str">
        <f>IF(levypage12!$E$75&lt;&gt;0,levypage12!$E$75,"  ")</f>
        <v>  </v>
      </c>
      <c r="E33" s="214" t="str">
        <f>IF(levypage12!$E$82&lt;&gt;0,levypage12!$E$82,"  ")</f>
        <v>  </v>
      </c>
      <c r="F33" s="661" t="str">
        <f>IF(AND(levypage12!$E$82=0,$B$49&gt;=0)," ",IF(AND(E33&gt;0,$B$49=0)," ",IF(AND(E33&gt;0,$B$49&gt;0),ROUND(E33/$B$49*1000,3))))</f>
        <v> </v>
      </c>
    </row>
    <row r="34" spans="1:6" s="17" customFormat="1" ht="15.75">
      <c r="A34" s="53" t="str">
        <f>IF(inputPrYr!$B32&gt;"  ",inputPrYr!$B32,"  ")</f>
        <v>  </v>
      </c>
      <c r="B34" s="44" t="str">
        <f>IF(inputPrYr!C32&gt;0,inputPrYr!C32,"  ")</f>
        <v>  </v>
      </c>
      <c r="C34" s="45" t="str">
        <f>IF(levypage13!$C$88&gt;0,levypage13!$C$88,"  ")</f>
        <v>  </v>
      </c>
      <c r="D34" s="214" t="str">
        <f>IF(levypage13!$E$34&lt;&gt;0,levypage13!$E$34,"  ")</f>
        <v>  </v>
      </c>
      <c r="E34" s="214" t="str">
        <f>IF(levypage13!$E$41&lt;&gt;0,levypage13!$E$41,"  ")</f>
        <v>  </v>
      </c>
      <c r="F34" s="661" t="str">
        <f>IF(AND(levypage13!$E$41=0,$B$49&gt;=0)," ",IF(AND(E34&gt;0,$B$49=0)," ",IF(AND(E34&gt;0,$B$49&gt;0),ROUND(E34/$B$49*1000,3))))</f>
        <v> </v>
      </c>
    </row>
    <row r="35" spans="1:6" s="17" customFormat="1" ht="15.75">
      <c r="A35" s="53" t="str">
        <f>IF(inputPrYr!$B33&gt;"  ",inputPrYr!$B33,"  ")</f>
        <v>  </v>
      </c>
      <c r="B35" s="44" t="str">
        <f>IF(inputPrYr!C33&gt;0,inputPrYr!C33,"  ")</f>
        <v>  </v>
      </c>
      <c r="C35" s="45" t="str">
        <f>IF(levypage13!$C$88&gt;0,levypage13!$C$88,"  ")</f>
        <v>  </v>
      </c>
      <c r="D35" s="214" t="str">
        <f>IF(levypage13!$E$75&lt;&gt;0,levypage13!$E$75,"  ")</f>
        <v>  </v>
      </c>
      <c r="E35" s="214" t="str">
        <f>IF(levypage13!$E$82&lt;&gt;0,levypage13!$E$82,"  ")</f>
        <v>  </v>
      </c>
      <c r="F35" s="661" t="str">
        <f>IF(AND(levypage13!$E$82=0,$B$49&gt;=0)," ",IF(AND(E35&gt;0,$B$49=0)," ",IF(AND(E35&gt;0,$B$49&gt;0),ROUND(E35/$B$49*1000,3))))</f>
        <v> </v>
      </c>
    </row>
    <row r="36" spans="1:6" s="17" customFormat="1" ht="15.75">
      <c r="A36" s="53" t="str">
        <f>IF(inputPrYr!$B34&gt;"  ",inputPrYr!$B34,"  ")</f>
        <v>  </v>
      </c>
      <c r="B36" s="44" t="str">
        <f>IF(inputPrYr!C34&gt;0,inputPrYr!C34,"  ")</f>
        <v>  </v>
      </c>
      <c r="C36" s="45" t="str">
        <f>IF(levypage14!$C$88&gt;0,levypage14!$C$88,"  ")</f>
        <v>  </v>
      </c>
      <c r="D36" s="214" t="str">
        <f>IF(levypage14!$E$34&lt;&gt;0,levypage14!$E$34,"  ")</f>
        <v>  </v>
      </c>
      <c r="E36" s="214" t="str">
        <f>IF(levypage14!$E$41&lt;&gt;0,levypage14!$E$41,"  ")</f>
        <v>  </v>
      </c>
      <c r="F36" s="661" t="str">
        <f>IF(AND(levypage14!$E$41=0,$B$49&gt;=0)," ",IF(AND(E36&gt;0,$B$49=0)," ",IF(AND(E36&gt;0,$B$49&gt;0),ROUND(E36/$B$49*1000,3))))</f>
        <v> </v>
      </c>
    </row>
    <row r="37" spans="1:6" s="17" customFormat="1" ht="15.75">
      <c r="A37" s="53" t="str">
        <f>IF(inputPrYr!$B35&gt;"  ",inputPrYr!$B35,"  ")</f>
        <v>  </v>
      </c>
      <c r="B37" s="44" t="str">
        <f>IF(inputPrYr!C35&gt;0,inputPrYr!C35,"  ")</f>
        <v>  </v>
      </c>
      <c r="C37" s="45" t="str">
        <f>IF(levypage14!$C$88&gt;0,levypage14!$C$88,"  ")</f>
        <v>  </v>
      </c>
      <c r="D37" s="214" t="str">
        <f>IF(levypage14!$E$75&lt;&gt;0,levypage14!$E$75,"  ")</f>
        <v>  </v>
      </c>
      <c r="E37" s="214" t="str">
        <f>IF(levypage14!$E$82&lt;&gt;0,levypage14!$E$82,"  ")</f>
        <v>  </v>
      </c>
      <c r="F37" s="661" t="str">
        <f>IF(AND(levypage14!$E$82=0,$B$49&gt;=0)," ",IF(AND(E37&gt;0,$B$49=0)," ",IF(AND(E37&gt;0,$B$49&gt;0),ROUND(E37/$B$49*1000,3))))</f>
        <v> </v>
      </c>
    </row>
    <row r="38" spans="1:6" s="17" customFormat="1" ht="15.75">
      <c r="A38" s="54" t="str">
        <f>IF(inputPrYr!$B39&gt;"  ",inputPrYr!$B39,"  ")</f>
        <v>  </v>
      </c>
      <c r="B38" s="55"/>
      <c r="C38" s="56" t="str">
        <f>IF(nolevypage15!$C$65&gt;0,nolevypage15!$C$65,"  ")</f>
        <v>  </v>
      </c>
      <c r="D38" s="214" t="str">
        <f>IF(nolevypage15!$E$27&lt;&gt;0,nolevypage15!$E$27,"  ")</f>
        <v>  </v>
      </c>
      <c r="E38" s="214"/>
      <c r="F38" s="661"/>
    </row>
    <row r="39" spans="1:6" s="17" customFormat="1" ht="15.75">
      <c r="A39" s="54" t="str">
        <f>IF(inputPrYr!$B40&gt;"  ",inputPrYr!$B40,"  ")</f>
        <v>  </v>
      </c>
      <c r="B39" s="55"/>
      <c r="C39" s="56" t="str">
        <f>IF(nolevypage15!$C$65&gt;0,nolevypage15!$C$65,"  ")</f>
        <v>  </v>
      </c>
      <c r="D39" s="214" t="str">
        <f>IF(nolevypage15!$E$57&lt;&gt;0,nolevypage15!$E$57,"  ")</f>
        <v>  </v>
      </c>
      <c r="E39" s="214"/>
      <c r="F39" s="661"/>
    </row>
    <row r="40" spans="1:6" s="17" customFormat="1" ht="15.75">
      <c r="A40" s="54" t="str">
        <f>IF(inputPrYr!$B41&gt;"  ",inputPrYr!$B41,"  ")</f>
        <v>  </v>
      </c>
      <c r="B40" s="57"/>
      <c r="C40" s="56" t="str">
        <f>IF(nolevypage16!$C$65&gt;0,nolevypage16!$C$65,"  ")</f>
        <v>  </v>
      </c>
      <c r="D40" s="214" t="str">
        <f>IF(nolevypage16!$E$27&lt;&gt;0,nolevypage16!$E$27,"  ")</f>
        <v>  </v>
      </c>
      <c r="E40" s="214"/>
      <c r="F40" s="661"/>
    </row>
    <row r="41" spans="1:6" s="17" customFormat="1" ht="15.75">
      <c r="A41" s="54" t="str">
        <f>IF(inputPrYr!$B42&gt;"  ",inputPrYr!$B42,"  ")</f>
        <v>  </v>
      </c>
      <c r="B41" s="58"/>
      <c r="C41" s="56" t="str">
        <f>IF(nolevypage16!$C$65&gt;0,nolevypage16!$C$65,"  ")</f>
        <v>  </v>
      </c>
      <c r="D41" s="214" t="str">
        <f>IF(nolevypage16!$E$57&lt;&gt;0,nolevypage16!$E$57,"  ")</f>
        <v>  </v>
      </c>
      <c r="E41" s="214"/>
      <c r="F41" s="661"/>
    </row>
    <row r="42" spans="1:6" s="17" customFormat="1" ht="15.75">
      <c r="A42" s="54" t="str">
        <f>IF((inputPrYr!$B45&gt;"  "),(nonbud!$A3),"  ")</f>
        <v>  </v>
      </c>
      <c r="B42" s="58"/>
      <c r="C42" s="56" t="str">
        <f>IF(nonbud!$F$37&gt;0,nonbud!$F$37,"  ")</f>
        <v>  </v>
      </c>
      <c r="D42" s="214"/>
      <c r="E42" s="214"/>
      <c r="F42" s="661"/>
    </row>
    <row r="43" spans="1:6" s="17" customFormat="1" ht="15.75">
      <c r="A43" s="33" t="s">
        <v>104</v>
      </c>
      <c r="B43" s="55"/>
      <c r="C43" s="56" t="str">
        <f>IF(road!$C$70&gt;0,road!$C$70,"  ")</f>
        <v>  </v>
      </c>
      <c r="D43" s="662"/>
      <c r="E43" s="662"/>
      <c r="F43" s="661"/>
    </row>
    <row r="44" spans="1:6" s="17" customFormat="1" ht="16.5" thickBot="1">
      <c r="A44" s="59" t="s">
        <v>105</v>
      </c>
      <c r="B44" s="34"/>
      <c r="C44" s="60" t="s">
        <v>106</v>
      </c>
      <c r="D44" s="205">
        <f>SUM(D26:D43)</f>
        <v>0</v>
      </c>
      <c r="E44" s="205">
        <f>SUM(E26:E43)</f>
        <v>0</v>
      </c>
      <c r="F44" s="206">
        <f>IF(SUM(F26:F43)&gt;0,SUM(F26:F43),"")</f>
      </c>
    </row>
    <row r="45" spans="1:3" s="17" customFormat="1" ht="16.5" thickTop="1">
      <c r="A45" s="33" t="s">
        <v>248</v>
      </c>
      <c r="B45" s="34"/>
      <c r="C45" s="56">
        <f>summ!D64</f>
        <v>0</v>
      </c>
    </row>
    <row r="46" spans="1:6" s="17" customFormat="1" ht="15.75">
      <c r="A46" s="700" t="s">
        <v>32</v>
      </c>
      <c r="B46" s="35"/>
      <c r="C46" s="712">
        <f>IF(nhood!C41&gt;0,nhood!C41,"")</f>
      </c>
      <c r="D46" s="902" t="s">
        <v>836</v>
      </c>
      <c r="E46" s="903"/>
      <c r="F46" s="770" t="str">
        <f>IF(E44&gt;1000,IF(E44&gt;computationTown!J41,"Yes","No"),"No")</f>
        <v>No</v>
      </c>
    </row>
    <row r="47" spans="1:5" s="17" customFormat="1" ht="15.75">
      <c r="A47" s="286"/>
      <c r="B47" s="42"/>
      <c r="C47" s="711"/>
      <c r="D47" s="61"/>
      <c r="E47" s="62"/>
    </row>
    <row r="48" spans="1:6" s="17" customFormat="1" ht="15.75">
      <c r="A48" s="38" t="s">
        <v>204</v>
      </c>
      <c r="B48" s="904" t="s">
        <v>221</v>
      </c>
      <c r="C48" s="905"/>
      <c r="D48" s="63"/>
      <c r="F48" s="25" t="s">
        <v>107</v>
      </c>
    </row>
    <row r="49" spans="1:6" s="17" customFormat="1" ht="15.75">
      <c r="A49" s="33" t="s">
        <v>15</v>
      </c>
      <c r="B49" s="906"/>
      <c r="C49" s="907"/>
      <c r="D49" s="64"/>
      <c r="F49" s="25"/>
    </row>
    <row r="50" spans="1:6" s="17" customFormat="1" ht="15.75">
      <c r="A50" s="33">
        <f>inputPrYr!D5</f>
        <v>0</v>
      </c>
      <c r="B50" s="910"/>
      <c r="C50" s="911"/>
      <c r="D50" s="64"/>
      <c r="F50" s="25"/>
    </row>
    <row r="51" spans="1:6" s="17" customFormat="1" ht="15.75">
      <c r="A51" s="65"/>
      <c r="B51" s="908" t="str">
        <f>CONCATENATE("Nov. 1, ",G1-1," Valuation")</f>
        <v>Nov. 1, -1 Valuation</v>
      </c>
      <c r="C51" s="909"/>
      <c r="D51" s="63"/>
      <c r="F51" s="25"/>
    </row>
    <row r="52" spans="1:6" s="17" customFormat="1" ht="15.75">
      <c r="A52" s="65" t="s">
        <v>108</v>
      </c>
      <c r="D52" s="24"/>
      <c r="F52" s="25"/>
    </row>
    <row r="53" spans="1:6" s="17" customFormat="1" ht="15.75">
      <c r="A53" s="68"/>
      <c r="D53" s="63"/>
      <c r="E53" s="24"/>
      <c r="F53" s="24"/>
    </row>
    <row r="54" spans="1:2" s="17" customFormat="1" ht="15.75">
      <c r="A54" s="69"/>
      <c r="B54" s="23"/>
    </row>
    <row r="55" spans="1:6" s="17" customFormat="1" ht="15.75">
      <c r="A55" s="65" t="s">
        <v>230</v>
      </c>
      <c r="D55" s="31"/>
      <c r="E55" s="31"/>
      <c r="F55" s="31"/>
    </row>
    <row r="56" spans="1:3" s="17" customFormat="1" ht="15.75">
      <c r="A56" s="68"/>
      <c r="C56" s="25"/>
    </row>
    <row r="57" spans="1:6" s="17" customFormat="1" ht="15.75">
      <c r="A57" s="69"/>
      <c r="B57" s="25"/>
      <c r="D57" s="31"/>
      <c r="E57" s="67"/>
      <c r="F57" s="67"/>
    </row>
    <row r="58" spans="1:10" ht="15.75">
      <c r="A58" s="65" t="s">
        <v>728</v>
      </c>
      <c r="B58" s="23"/>
      <c r="C58" s="17"/>
      <c r="D58" s="17"/>
      <c r="E58" s="17"/>
      <c r="F58" s="17"/>
      <c r="G58" s="70"/>
      <c r="H58" s="70"/>
      <c r="I58" s="70"/>
      <c r="J58" s="70"/>
    </row>
    <row r="59" spans="1:10" ht="15.75">
      <c r="A59" s="68"/>
      <c r="B59" s="23"/>
      <c r="C59" s="17"/>
      <c r="D59" s="31"/>
      <c r="E59" s="67"/>
      <c r="F59" s="67"/>
      <c r="G59" s="70"/>
      <c r="H59" s="70"/>
      <c r="I59" s="70"/>
      <c r="J59" s="70"/>
    </row>
    <row r="60" spans="1:10" ht="15.75">
      <c r="A60" s="23"/>
      <c r="B60" s="17"/>
      <c r="C60" s="17"/>
      <c r="D60" s="17"/>
      <c r="E60" s="17"/>
      <c r="F60" s="17"/>
      <c r="G60" s="70"/>
      <c r="H60" s="70"/>
      <c r="I60" s="70"/>
      <c r="J60" s="70"/>
    </row>
    <row r="61" spans="1:10" ht="15.75">
      <c r="A61" s="435" t="s">
        <v>232</v>
      </c>
      <c r="B61" s="73">
        <f>G1-1</f>
        <v>-1</v>
      </c>
      <c r="C61" s="17"/>
      <c r="D61" s="31"/>
      <c r="E61" s="67"/>
      <c r="F61" s="67"/>
      <c r="G61" s="70"/>
      <c r="H61" s="70"/>
      <c r="I61" s="70"/>
      <c r="J61" s="70"/>
    </row>
    <row r="62" spans="1:10" ht="15.75">
      <c r="A62" s="17"/>
      <c r="B62" s="17"/>
      <c r="C62" s="17"/>
      <c r="D62" s="17"/>
      <c r="E62" s="25"/>
      <c r="F62" s="17"/>
      <c r="G62" s="70"/>
      <c r="H62" s="70"/>
      <c r="I62" s="70"/>
      <c r="J62" s="70"/>
    </row>
    <row r="63" spans="1:10" ht="15.75">
      <c r="A63" s="434"/>
      <c r="B63" s="17"/>
      <c r="C63" s="17"/>
      <c r="D63" s="31"/>
      <c r="E63" s="31"/>
      <c r="F63" s="31"/>
      <c r="G63" s="70"/>
      <c r="H63" s="70"/>
      <c r="I63" s="70"/>
      <c r="J63" s="70"/>
    </row>
    <row r="64" spans="1:10" ht="15.75">
      <c r="A64" s="20" t="s">
        <v>110</v>
      </c>
      <c r="B64" s="17"/>
      <c r="C64" s="17"/>
      <c r="D64" s="887" t="s">
        <v>109</v>
      </c>
      <c r="E64" s="888"/>
      <c r="F64" s="888"/>
      <c r="G64" s="70"/>
      <c r="H64" s="70"/>
      <c r="I64" s="70"/>
      <c r="J64" s="70"/>
    </row>
    <row r="65" spans="1:10" ht="15.75">
      <c r="A65" s="17"/>
      <c r="B65" s="17"/>
      <c r="C65" s="17"/>
      <c r="D65" s="17"/>
      <c r="E65" s="17"/>
      <c r="F65" s="17"/>
      <c r="G65" s="70"/>
      <c r="H65" s="70"/>
      <c r="I65" s="70"/>
      <c r="J65" s="70"/>
    </row>
    <row r="66" spans="1:10" ht="15.75">
      <c r="A66" s="817" t="s">
        <v>983</v>
      </c>
      <c r="B66" s="84"/>
      <c r="C66" s="84"/>
      <c r="D66" s="84"/>
      <c r="E66" s="84"/>
      <c r="F66" s="35"/>
      <c r="G66" s="70"/>
      <c r="H66" s="70"/>
      <c r="I66" s="70"/>
      <c r="J66" s="70"/>
    </row>
    <row r="67" spans="1:10" ht="15.75">
      <c r="A67" s="440"/>
      <c r="B67" s="24"/>
      <c r="C67" s="24"/>
      <c r="D67" s="24"/>
      <c r="E67" s="24"/>
      <c r="F67" s="36"/>
      <c r="G67" s="70"/>
      <c r="H67" s="70"/>
      <c r="I67" s="70"/>
      <c r="J67" s="70"/>
    </row>
    <row r="68" spans="1:10" ht="15.75">
      <c r="A68" s="818"/>
      <c r="B68" s="31"/>
      <c r="C68" s="31"/>
      <c r="D68" s="31"/>
      <c r="E68" s="31"/>
      <c r="F68" s="49"/>
      <c r="G68" s="70"/>
      <c r="H68" s="70"/>
      <c r="I68" s="70"/>
      <c r="J68" s="70"/>
    </row>
    <row r="69" spans="1:10" ht="15.75">
      <c r="A69" s="17"/>
      <c r="B69" s="17"/>
      <c r="C69" s="17"/>
      <c r="D69" s="17"/>
      <c r="E69" s="17"/>
      <c r="F69" s="17"/>
      <c r="G69" s="70"/>
      <c r="H69" s="70"/>
      <c r="I69" s="70"/>
      <c r="J69" s="70"/>
    </row>
    <row r="70" spans="1:10" ht="15.75">
      <c r="A70" s="72" t="s">
        <v>111</v>
      </c>
      <c r="B70" s="71"/>
      <c r="C70" s="71"/>
      <c r="D70" s="71"/>
      <c r="E70" s="71"/>
      <c r="F70" s="17"/>
      <c r="G70" s="70"/>
      <c r="H70" s="70"/>
      <c r="I70" s="70"/>
      <c r="J70" s="70"/>
    </row>
    <row r="71" spans="1:10" ht="15.75">
      <c r="A71" s="72" t="s">
        <v>112</v>
      </c>
      <c r="B71" s="71"/>
      <c r="C71" s="71"/>
      <c r="D71" s="71"/>
      <c r="E71" s="71"/>
      <c r="F71" s="17"/>
      <c r="G71" s="70"/>
      <c r="H71" s="70"/>
      <c r="I71" s="70"/>
      <c r="J71" s="70"/>
    </row>
    <row r="72" spans="1:10" ht="15.75">
      <c r="A72" s="72"/>
      <c r="B72" s="71"/>
      <c r="C72" s="71"/>
      <c r="D72" s="71"/>
      <c r="E72" s="71"/>
      <c r="F72" s="17"/>
      <c r="G72" s="70"/>
      <c r="H72" s="70"/>
      <c r="I72" s="70"/>
      <c r="J72" s="70"/>
    </row>
    <row r="73" spans="1:10" ht="15.75">
      <c r="A73" s="17"/>
      <c r="B73" s="17"/>
      <c r="C73" s="17"/>
      <c r="D73" s="17"/>
      <c r="E73" s="17"/>
      <c r="F73" s="17"/>
      <c r="G73" s="70"/>
      <c r="H73" s="70"/>
      <c r="I73" s="70"/>
      <c r="J73" s="70"/>
    </row>
    <row r="74" spans="1:6" ht="15.75">
      <c r="A74" s="484"/>
      <c r="B74" s="485"/>
      <c r="C74" s="485"/>
      <c r="D74" s="485"/>
      <c r="E74" s="485"/>
      <c r="F74" s="485"/>
    </row>
    <row r="75" spans="1:6" ht="15.75">
      <c r="A75" s="484"/>
      <c r="B75" s="485"/>
      <c r="C75" s="485"/>
      <c r="D75" s="485"/>
      <c r="E75" s="485"/>
      <c r="F75" s="485"/>
    </row>
    <row r="76" spans="1:6" ht="15.75">
      <c r="A76" s="484"/>
      <c r="B76" s="485"/>
      <c r="C76" s="485"/>
      <c r="D76" s="485"/>
      <c r="E76" s="486"/>
      <c r="F76" s="485"/>
    </row>
  </sheetData>
  <sheetProtection sheet="1"/>
  <mergeCells count="13">
    <mergeCell ref="B49:C49"/>
    <mergeCell ref="B51:C51"/>
    <mergeCell ref="B50:C50"/>
    <mergeCell ref="D64:F64"/>
    <mergeCell ref="A1:F1"/>
    <mergeCell ref="E12:E14"/>
    <mergeCell ref="A3:G3"/>
    <mergeCell ref="D11:F11"/>
    <mergeCell ref="A6:F6"/>
    <mergeCell ref="A7:F7"/>
    <mergeCell ref="D25:E25"/>
    <mergeCell ref="D46:E46"/>
    <mergeCell ref="B48:C48"/>
  </mergeCells>
  <conditionalFormatting sqref="E26">
    <cfRule type="cellIs" priority="1" dxfId="178" operator="equal" stopIfTrue="1">
      <formula>0</formula>
    </cfRule>
  </conditionalFormatting>
  <printOptions/>
  <pageMargins left="0.4" right="0.4" top="0.83" bottom="0.85" header="0.3" footer="0.6"/>
  <pageSetup blackAndWhite="1" fitToHeight="1" fitToWidth="1" horizontalDpi="300" verticalDpi="300" orientation="portrait" scale="67"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75" zoomScaleNormal="75" zoomScalePageLayoutView="0" workbookViewId="0" topLeftCell="A1">
      <selection activeCell="L40" sqref="L40"/>
    </sheetView>
  </sheetViews>
  <sheetFormatPr defaultColWidth="8.796875" defaultRowHeight="15.75"/>
  <cols>
    <col min="1" max="2" width="3" style="5" customWidth="1"/>
    <col min="3" max="3" width="28.19921875" style="5" customWidth="1"/>
    <col min="4" max="4" width="2.09765625" style="5" customWidth="1"/>
    <col min="5" max="5" width="15.69921875" style="5" customWidth="1"/>
    <col min="6" max="6" width="1.796875" style="5" customWidth="1"/>
    <col min="7" max="7" width="15.69921875" style="5" customWidth="1"/>
    <col min="8" max="8" width="1.69921875" style="5" customWidth="1"/>
    <col min="9" max="9" width="1.59765625" style="5" customWidth="1"/>
    <col min="10" max="10" width="15.69921875" style="5" customWidth="1"/>
    <col min="11" max="16384" width="8.796875" style="5" customWidth="1"/>
  </cols>
  <sheetData>
    <row r="1" spans="1:10" ht="15.75">
      <c r="A1" s="17"/>
      <c r="B1" s="17"/>
      <c r="C1" s="74">
        <f>inputPrYr!D3</f>
        <v>0</v>
      </c>
      <c r="D1" s="17"/>
      <c r="E1" s="17"/>
      <c r="F1" s="17"/>
      <c r="G1" s="17"/>
      <c r="H1" s="17"/>
      <c r="I1" s="17"/>
      <c r="J1" s="17">
        <f>inputPrYr!D7</f>
        <v>0</v>
      </c>
    </row>
    <row r="2" spans="1:10" ht="15.75">
      <c r="A2" s="17"/>
      <c r="B2" s="17"/>
      <c r="C2" s="17"/>
      <c r="D2" s="17"/>
      <c r="E2" s="17"/>
      <c r="F2" s="17"/>
      <c r="G2" s="17"/>
      <c r="H2" s="17"/>
      <c r="I2" s="17"/>
      <c r="J2" s="17"/>
    </row>
    <row r="3" spans="1:10" ht="15.75">
      <c r="A3" s="912" t="str">
        <f>CONCATENATE("Computation to Determine Limit for ",J1," (Special)")</f>
        <v>Computation to Determine Limit for 0 (Special)</v>
      </c>
      <c r="B3" s="889"/>
      <c r="C3" s="889"/>
      <c r="D3" s="889"/>
      <c r="E3" s="889"/>
      <c r="F3" s="889"/>
      <c r="G3" s="889"/>
      <c r="H3" s="889"/>
      <c r="I3" s="889"/>
      <c r="J3" s="889"/>
    </row>
    <row r="4" spans="1:10" ht="15.75">
      <c r="A4" s="17"/>
      <c r="B4" s="17"/>
      <c r="C4" s="17"/>
      <c r="D4" s="17"/>
      <c r="E4" s="889"/>
      <c r="F4" s="889"/>
      <c r="G4" s="889"/>
      <c r="H4" s="16"/>
      <c r="I4" s="17"/>
      <c r="J4" s="75" t="s">
        <v>186</v>
      </c>
    </row>
    <row r="5" spans="1:10" ht="15.75">
      <c r="A5" s="76" t="s">
        <v>187</v>
      </c>
      <c r="B5" s="17" t="str">
        <f>CONCATENATE("Total tax levy amount in ",J1-1,"")</f>
        <v>Total tax levy amount in -1</v>
      </c>
      <c r="C5" s="17"/>
      <c r="D5" s="17"/>
      <c r="E5" s="77"/>
      <c r="F5" s="77"/>
      <c r="G5" s="77"/>
      <c r="H5" s="78" t="s">
        <v>122</v>
      </c>
      <c r="I5" s="77" t="s">
        <v>113</v>
      </c>
      <c r="J5" s="79">
        <f>inputPrYr!E20</f>
        <v>0</v>
      </c>
    </row>
    <row r="6" spans="1:10" ht="15.75">
      <c r="A6" s="76" t="s">
        <v>188</v>
      </c>
      <c r="B6" s="17" t="str">
        <f>CONCATENATE("Debt service levy in ",J1-1,"")</f>
        <v>Debt service levy in -1</v>
      </c>
      <c r="C6" s="17"/>
      <c r="D6" s="17"/>
      <c r="E6" s="77"/>
      <c r="F6" s="77"/>
      <c r="G6" s="77"/>
      <c r="H6" s="78" t="s">
        <v>189</v>
      </c>
      <c r="I6" s="77" t="s">
        <v>113</v>
      </c>
      <c r="J6" s="80">
        <v>0</v>
      </c>
    </row>
    <row r="7" spans="1:10" ht="15.75">
      <c r="A7" s="76" t="s">
        <v>190</v>
      </c>
      <c r="B7" s="17" t="s">
        <v>795</v>
      </c>
      <c r="C7" s="17"/>
      <c r="D7" s="17"/>
      <c r="E7" s="77"/>
      <c r="F7" s="77"/>
      <c r="G7" s="77"/>
      <c r="H7" s="77"/>
      <c r="I7" s="77" t="s">
        <v>113</v>
      </c>
      <c r="J7" s="80">
        <f>J5-J6</f>
        <v>0</v>
      </c>
    </row>
    <row r="8" spans="1:10" ht="15.75">
      <c r="A8" s="17"/>
      <c r="B8" s="17"/>
      <c r="C8" s="17"/>
      <c r="D8" s="17"/>
      <c r="E8" s="77"/>
      <c r="F8" s="77"/>
      <c r="G8" s="77"/>
      <c r="H8" s="77"/>
      <c r="I8" s="77"/>
      <c r="J8" s="77"/>
    </row>
    <row r="9" spans="1:10" ht="15.75">
      <c r="A9" s="889" t="str">
        <f>CONCATENATE("",J1-1," Valuation Information for Valuation Adjustments")</f>
        <v>-1 Valuation Information for Valuation Adjustments</v>
      </c>
      <c r="B9" s="867"/>
      <c r="C9" s="867"/>
      <c r="D9" s="867"/>
      <c r="E9" s="867"/>
      <c r="F9" s="867"/>
      <c r="G9" s="867"/>
      <c r="H9" s="867"/>
      <c r="I9" s="867"/>
      <c r="J9" s="867"/>
    </row>
    <row r="10" spans="1:10" ht="15.75">
      <c r="A10" s="17"/>
      <c r="B10" s="17"/>
      <c r="C10" s="17"/>
      <c r="D10" s="17"/>
      <c r="E10" s="77"/>
      <c r="F10" s="77"/>
      <c r="G10" s="77"/>
      <c r="H10" s="77"/>
      <c r="I10" s="77"/>
      <c r="J10" s="77"/>
    </row>
    <row r="11" spans="1:10" ht="15.75">
      <c r="A11" s="76" t="s">
        <v>191</v>
      </c>
      <c r="B11" s="17" t="str">
        <f>CONCATENATE("New improvements for ",J1-1,":")</f>
        <v>New improvements for -1:</v>
      </c>
      <c r="C11" s="17"/>
      <c r="D11" s="17"/>
      <c r="E11" s="78"/>
      <c r="F11" s="78" t="s">
        <v>122</v>
      </c>
      <c r="G11" s="82">
        <f>inputOth!E12</f>
        <v>0</v>
      </c>
      <c r="H11" s="83"/>
      <c r="I11" s="77"/>
      <c r="J11" s="77"/>
    </row>
    <row r="12" spans="1:10" ht="15.75">
      <c r="A12" s="76"/>
      <c r="B12" s="76"/>
      <c r="C12" s="17"/>
      <c r="D12" s="17"/>
      <c r="E12" s="78"/>
      <c r="F12" s="78"/>
      <c r="G12" s="83"/>
      <c r="H12" s="83"/>
      <c r="I12" s="77"/>
      <c r="J12" s="77"/>
    </row>
    <row r="13" spans="1:10" ht="15.75">
      <c r="A13" s="76" t="s">
        <v>192</v>
      </c>
      <c r="B13" s="17" t="str">
        <f>CONCATENATE("Increase in personal property for ",J1-1,":")</f>
        <v>Increase in personal property for -1:</v>
      </c>
      <c r="C13" s="17"/>
      <c r="D13" s="17"/>
      <c r="E13" s="78"/>
      <c r="F13" s="78"/>
      <c r="G13" s="83"/>
      <c r="H13" s="83"/>
      <c r="I13" s="77"/>
      <c r="J13" s="77"/>
    </row>
    <row r="14" spans="1:10" ht="15.75">
      <c r="A14" s="17"/>
      <c r="B14" s="17" t="s">
        <v>193</v>
      </c>
      <c r="C14" s="17" t="str">
        <f>CONCATENATE("Personal property ",J1-1,"")</f>
        <v>Personal property -1</v>
      </c>
      <c r="D14" s="76" t="s">
        <v>122</v>
      </c>
      <c r="E14" s="82">
        <f>inputOth!E15</f>
        <v>0</v>
      </c>
      <c r="F14" s="78"/>
      <c r="G14" s="77"/>
      <c r="H14" s="77"/>
      <c r="I14" s="83"/>
      <c r="J14" s="77"/>
    </row>
    <row r="15" spans="1:10" ht="15.75">
      <c r="A15" s="76"/>
      <c r="B15" s="17" t="s">
        <v>194</v>
      </c>
      <c r="C15" s="17" t="str">
        <f>CONCATENATE("Personal property ",J1-2,"")</f>
        <v>Personal property -2</v>
      </c>
      <c r="D15" s="76" t="s">
        <v>189</v>
      </c>
      <c r="E15" s="80">
        <f>inputOth!E21</f>
        <v>0</v>
      </c>
      <c r="F15" s="78"/>
      <c r="G15" s="83"/>
      <c r="H15" s="83"/>
      <c r="I15" s="77"/>
      <c r="J15" s="77"/>
    </row>
    <row r="16" spans="1:10" ht="15.75">
      <c r="A16" s="76"/>
      <c r="B16" s="17" t="s">
        <v>195</v>
      </c>
      <c r="C16" s="17" t="s">
        <v>796</v>
      </c>
      <c r="D16" s="17"/>
      <c r="E16" s="77"/>
      <c r="F16" s="77" t="s">
        <v>122</v>
      </c>
      <c r="G16" s="82">
        <f>IF(E14&gt;E15,E14-E15,0)</f>
        <v>0</v>
      </c>
      <c r="H16" s="83"/>
      <c r="I16" s="77"/>
      <c r="J16" s="77"/>
    </row>
    <row r="17" spans="1:10" ht="15.75">
      <c r="A17" s="76"/>
      <c r="B17" s="76"/>
      <c r="C17" s="17"/>
      <c r="D17" s="17"/>
      <c r="E17" s="77"/>
      <c r="F17" s="77"/>
      <c r="G17" s="83" t="s">
        <v>203</v>
      </c>
      <c r="H17" s="83"/>
      <c r="I17" s="77"/>
      <c r="J17" s="77"/>
    </row>
    <row r="18" spans="1:10" ht="15.75">
      <c r="A18" s="76" t="s">
        <v>196</v>
      </c>
      <c r="B18" s="17" t="str">
        <f>CONCATENATE("Valuation of property that has changed in use during ",J1-1,":")</f>
        <v>Valuation of property that has changed in use during -1:</v>
      </c>
      <c r="C18" s="17"/>
      <c r="D18" s="17"/>
      <c r="E18" s="77"/>
      <c r="F18" s="78" t="s">
        <v>122</v>
      </c>
      <c r="G18" s="82">
        <f>inputOth!E18</f>
        <v>0</v>
      </c>
      <c r="H18" s="77"/>
      <c r="I18" s="77"/>
      <c r="J18" s="77"/>
    </row>
    <row r="19" spans="1:10" ht="15.75">
      <c r="A19" s="17" t="s">
        <v>94</v>
      </c>
      <c r="B19" s="17"/>
      <c r="C19" s="17"/>
      <c r="D19" s="76"/>
      <c r="E19" s="83"/>
      <c r="F19" s="83"/>
      <c r="G19" s="83"/>
      <c r="H19" s="77"/>
      <c r="I19" s="77"/>
      <c r="J19" s="77"/>
    </row>
    <row r="20" spans="1:10" ht="15.75">
      <c r="A20" s="76" t="s">
        <v>197</v>
      </c>
      <c r="B20" s="17" t="s">
        <v>797</v>
      </c>
      <c r="C20" s="17"/>
      <c r="D20" s="17"/>
      <c r="E20" s="77"/>
      <c r="F20" s="77"/>
      <c r="G20" s="82">
        <f>G11+G16+G18</f>
        <v>0</v>
      </c>
      <c r="H20" s="83"/>
      <c r="I20" s="77"/>
      <c r="J20" s="77"/>
    </row>
    <row r="21" spans="1:10" ht="15.75">
      <c r="A21" s="76"/>
      <c r="B21" s="76"/>
      <c r="C21" s="17"/>
      <c r="D21" s="17"/>
      <c r="E21" s="77"/>
      <c r="F21" s="77"/>
      <c r="G21" s="83"/>
      <c r="H21" s="83"/>
      <c r="I21" s="77"/>
      <c r="J21" s="77"/>
    </row>
    <row r="22" spans="1:10" ht="15.75">
      <c r="A22" s="76" t="s">
        <v>198</v>
      </c>
      <c r="B22" s="17" t="str">
        <f>CONCATENATE("Total estimated valuation July 1,",J1-1,"")</f>
        <v>Total estimated valuation July 1,-1</v>
      </c>
      <c r="C22" s="17"/>
      <c r="D22" s="17"/>
      <c r="E22" s="82">
        <f>inputOth!E9</f>
        <v>0</v>
      </c>
      <c r="F22" s="77"/>
      <c r="G22" s="77"/>
      <c r="H22" s="77"/>
      <c r="I22" s="78"/>
      <c r="J22" s="77"/>
    </row>
    <row r="23" spans="1:10" ht="15.75">
      <c r="A23" s="76"/>
      <c r="B23" s="76"/>
      <c r="C23" s="17"/>
      <c r="D23" s="17"/>
      <c r="E23" s="83"/>
      <c r="F23" s="77"/>
      <c r="G23" s="77"/>
      <c r="H23" s="77"/>
      <c r="I23" s="78"/>
      <c r="J23" s="77"/>
    </row>
    <row r="24" spans="1:10" ht="15.75">
      <c r="A24" s="76" t="s">
        <v>199</v>
      </c>
      <c r="B24" s="17" t="s">
        <v>798</v>
      </c>
      <c r="C24" s="17"/>
      <c r="D24" s="17"/>
      <c r="E24" s="77"/>
      <c r="F24" s="77"/>
      <c r="G24" s="82">
        <f>E22-G20</f>
        <v>0</v>
      </c>
      <c r="H24" s="83"/>
      <c r="I24" s="78"/>
      <c r="J24" s="77"/>
    </row>
    <row r="25" spans="1:10" ht="15.75">
      <c r="A25" s="76"/>
      <c r="B25" s="76"/>
      <c r="C25" s="17"/>
      <c r="D25" s="17"/>
      <c r="E25" s="17"/>
      <c r="F25" s="17"/>
      <c r="G25" s="84"/>
      <c r="H25" s="24"/>
      <c r="I25" s="76"/>
      <c r="J25" s="17"/>
    </row>
    <row r="26" spans="1:10" ht="15.75">
      <c r="A26" s="76" t="s">
        <v>200</v>
      </c>
      <c r="B26" s="17" t="s">
        <v>799</v>
      </c>
      <c r="C26" s="17"/>
      <c r="D26" s="17"/>
      <c r="E26" s="17"/>
      <c r="F26" s="17"/>
      <c r="G26" s="85">
        <f>IF(G20&gt;0,G20/G24,0)</f>
        <v>0</v>
      </c>
      <c r="H26" s="24"/>
      <c r="I26" s="17"/>
      <c r="J26" s="17"/>
    </row>
    <row r="27" spans="1:10" ht="15.75">
      <c r="A27" s="76"/>
      <c r="B27" s="76"/>
      <c r="C27" s="17"/>
      <c r="D27" s="17"/>
      <c r="E27" s="17"/>
      <c r="F27" s="17"/>
      <c r="G27" s="24"/>
      <c r="H27" s="24"/>
      <c r="I27" s="17"/>
      <c r="J27" s="17"/>
    </row>
    <row r="28" spans="1:10" ht="15.75">
      <c r="A28" s="76" t="s">
        <v>201</v>
      </c>
      <c r="B28" s="17" t="s">
        <v>800</v>
      </c>
      <c r="C28" s="17"/>
      <c r="D28" s="17"/>
      <c r="E28" s="17"/>
      <c r="F28" s="17"/>
      <c r="G28" s="24"/>
      <c r="H28" s="86" t="s">
        <v>122</v>
      </c>
      <c r="I28" s="17" t="s">
        <v>113</v>
      </c>
      <c r="J28" s="82">
        <f>ROUND(G26*J7,0)</f>
        <v>0</v>
      </c>
    </row>
    <row r="29" spans="1:10" ht="15.75">
      <c r="A29" s="76"/>
      <c r="B29" s="76"/>
      <c r="C29" s="17"/>
      <c r="D29" s="17"/>
      <c r="E29" s="17"/>
      <c r="F29" s="17"/>
      <c r="G29" s="24"/>
      <c r="H29" s="86"/>
      <c r="I29" s="17"/>
      <c r="J29" s="83"/>
    </row>
    <row r="30" spans="1:10" ht="16.5" thickBot="1">
      <c r="A30" s="76" t="s">
        <v>202</v>
      </c>
      <c r="B30" s="17" t="str">
        <f>CONCATENATE(J1," budget tax levy, excluding debt service,  prior to CPI adjustment (3 plus 11)")</f>
        <v>0 budget tax levy, excluding debt service,  prior to CPI adjustment (3 plus 11)</v>
      </c>
      <c r="C30" s="17"/>
      <c r="D30" s="17"/>
      <c r="E30" s="17"/>
      <c r="F30" s="17"/>
      <c r="G30" s="17"/>
      <c r="H30" s="17"/>
      <c r="I30" s="17" t="s">
        <v>113</v>
      </c>
      <c r="J30" s="87">
        <f>J7+J28</f>
        <v>0</v>
      </c>
    </row>
    <row r="31" spans="1:10" ht="16.5" thickTop="1">
      <c r="A31" s="17"/>
      <c r="B31" s="17"/>
      <c r="C31" s="17"/>
      <c r="D31" s="17"/>
      <c r="E31" s="17"/>
      <c r="F31" s="17"/>
      <c r="G31" s="17"/>
      <c r="H31" s="17"/>
      <c r="I31" s="17"/>
      <c r="J31" s="17"/>
    </row>
    <row r="32" spans="1:10" ht="15.75">
      <c r="A32" s="76" t="s">
        <v>213</v>
      </c>
      <c r="B32" s="17" t="str">
        <f>CONCATENATE("Debt service levy in this ",J1," budget")</f>
        <v>Debt service levy in this 0 budget</v>
      </c>
      <c r="C32" s="17"/>
      <c r="D32" s="17"/>
      <c r="E32" s="17"/>
      <c r="F32" s="17"/>
      <c r="G32" s="17"/>
      <c r="H32" s="17"/>
      <c r="I32" s="17"/>
      <c r="J32" s="82">
        <v>0</v>
      </c>
    </row>
    <row r="33" spans="1:10" ht="15.75">
      <c r="A33" s="76"/>
      <c r="B33" s="17"/>
      <c r="C33" s="17"/>
      <c r="D33" s="17"/>
      <c r="E33" s="17"/>
      <c r="F33" s="17"/>
      <c r="G33" s="17"/>
      <c r="H33" s="17"/>
      <c r="I33" s="17"/>
      <c r="J33" s="24"/>
    </row>
    <row r="34" spans="1:10" ht="16.5" thickBot="1">
      <c r="A34" s="76" t="s">
        <v>214</v>
      </c>
      <c r="B34" s="17" t="str">
        <f>CONCATENATE(J1," budget tax levy, including debt service, prior to CPI adjustment (12 plus 13)")</f>
        <v>0 budget tax levy, including debt service, prior to CPI adjustment (12 plus 13)</v>
      </c>
      <c r="C34" s="17"/>
      <c r="D34" s="17"/>
      <c r="E34" s="17"/>
      <c r="F34" s="17"/>
      <c r="G34" s="17"/>
      <c r="H34" s="17"/>
      <c r="I34" s="17"/>
      <c r="J34" s="88">
        <f>J30+J32</f>
        <v>0</v>
      </c>
    </row>
    <row r="35" spans="1:10" ht="16.5" thickTop="1">
      <c r="A35" s="706"/>
      <c r="B35" s="705"/>
      <c r="C35" s="705"/>
      <c r="D35" s="705"/>
      <c r="E35" s="705"/>
      <c r="F35" s="705"/>
      <c r="G35" s="705"/>
      <c r="H35" s="705"/>
      <c r="I35" s="705"/>
      <c r="J35" s="704"/>
    </row>
    <row r="36" spans="1:10" ht="15.75">
      <c r="A36" s="708" t="s">
        <v>789</v>
      </c>
      <c r="B36" s="705" t="str">
        <f>CONCATENATE("Consumer Price Index for all urban consumers for calendar year ",J1-2)</f>
        <v>Consumer Price Index for all urban consumers for calendar year -2</v>
      </c>
      <c r="C36" s="705"/>
      <c r="D36" s="705"/>
      <c r="E36" s="705"/>
      <c r="F36" s="705"/>
      <c r="G36" s="705"/>
      <c r="H36" s="705"/>
      <c r="I36" s="705"/>
      <c r="J36" s="816">
        <f>inputPrYr!D9</f>
        <v>0</v>
      </c>
    </row>
    <row r="37" spans="1:10" ht="15.75">
      <c r="A37" s="708"/>
      <c r="B37" s="705"/>
      <c r="C37" s="705"/>
      <c r="D37" s="705"/>
      <c r="E37" s="705"/>
      <c r="F37" s="705"/>
      <c r="G37" s="705"/>
      <c r="H37" s="705"/>
      <c r="I37" s="705"/>
      <c r="J37" s="709"/>
    </row>
    <row r="38" spans="1:10" ht="15.75">
      <c r="A38" s="708" t="s">
        <v>790</v>
      </c>
      <c r="B38" s="705" t="s">
        <v>791</v>
      </c>
      <c r="C38" s="705"/>
      <c r="D38" s="705"/>
      <c r="E38" s="705"/>
      <c r="F38" s="705"/>
      <c r="G38" s="705"/>
      <c r="H38" s="705"/>
      <c r="I38" s="696" t="s">
        <v>113</v>
      </c>
      <c r="J38" s="703">
        <f>ROUND(J7*J36,0)</f>
        <v>0</v>
      </c>
    </row>
    <row r="39" spans="1:10" ht="15.75">
      <c r="A39" s="706"/>
      <c r="B39" s="705"/>
      <c r="C39" s="705"/>
      <c r="D39" s="705"/>
      <c r="E39" s="705"/>
      <c r="F39" s="705"/>
      <c r="G39" s="705"/>
      <c r="H39" s="705"/>
      <c r="I39" s="705"/>
      <c r="J39" s="704"/>
    </row>
    <row r="40" spans="1:10" ht="15.75">
      <c r="A40" s="706" t="s">
        <v>792</v>
      </c>
      <c r="B40" s="705" t="str">
        <f>CONCATENATE("Maximum levy for budget year ",J1,", including debt service, not requiring 'notice of vote publication'")</f>
        <v>Maximum levy for budget year 0, including debt service, not requiring 'notice of vote publication'</v>
      </c>
      <c r="C40" s="705"/>
      <c r="D40" s="705"/>
      <c r="E40" s="705"/>
      <c r="F40" s="705"/>
      <c r="G40" s="705"/>
      <c r="H40" s="705"/>
      <c r="I40" s="705"/>
      <c r="J40" s="702"/>
    </row>
    <row r="41" spans="1:10" ht="19.5" thickBot="1">
      <c r="A41" s="701"/>
      <c r="B41" s="696" t="s">
        <v>837</v>
      </c>
      <c r="C41" s="701"/>
      <c r="D41" s="701"/>
      <c r="E41" s="701"/>
      <c r="F41" s="701"/>
      <c r="G41" s="701"/>
      <c r="H41" s="701"/>
      <c r="I41" s="696" t="s">
        <v>113</v>
      </c>
      <c r="J41" s="707">
        <f>J34+J38</f>
        <v>0</v>
      </c>
    </row>
    <row r="42" spans="1:10" ht="19.5" thickTop="1">
      <c r="A42" s="701"/>
      <c r="B42" s="710"/>
      <c r="C42" s="701"/>
      <c r="D42" s="701"/>
      <c r="E42" s="701"/>
      <c r="F42" s="701"/>
      <c r="G42" s="701"/>
      <c r="H42" s="701"/>
      <c r="I42" s="696"/>
      <c r="J42" s="704"/>
    </row>
    <row r="43" spans="1:10" ht="18.75">
      <c r="A43" s="701"/>
      <c r="B43" s="710"/>
      <c r="C43" s="701"/>
      <c r="D43" s="701"/>
      <c r="E43" s="701"/>
      <c r="F43" s="701"/>
      <c r="G43" s="701"/>
      <c r="H43" s="701"/>
      <c r="I43" s="696"/>
      <c r="J43" s="704"/>
    </row>
    <row r="44" spans="1:10" ht="15" customHeight="1">
      <c r="A44" s="915" t="str">
        <f>CONCATENATE("If the ",J1," adopted budget includes a total property tax levy exceeding the dollar amount in line 17")</f>
        <v>If the 0 adopted budget includes a total property tax levy exceeding the dollar amount in line 17</v>
      </c>
      <c r="B44" s="915"/>
      <c r="C44" s="915"/>
      <c r="D44" s="915"/>
      <c r="E44" s="915"/>
      <c r="F44" s="915"/>
      <c r="G44" s="915"/>
      <c r="H44" s="915"/>
      <c r="I44" s="915"/>
      <c r="J44" s="915"/>
    </row>
    <row r="45" spans="1:10" ht="31.5" customHeight="1">
      <c r="A45" s="914" t="s">
        <v>838</v>
      </c>
      <c r="B45" s="914"/>
      <c r="C45" s="914"/>
      <c r="D45" s="914"/>
      <c r="E45" s="914"/>
      <c r="F45" s="914"/>
      <c r="G45" s="914"/>
      <c r="H45" s="914"/>
      <c r="I45" s="914"/>
      <c r="J45" s="914"/>
    </row>
    <row r="46" spans="1:10" ht="15" customHeight="1">
      <c r="A46" s="913" t="s">
        <v>793</v>
      </c>
      <c r="B46" s="913"/>
      <c r="C46" s="913"/>
      <c r="D46" s="913"/>
      <c r="E46" s="913"/>
      <c r="F46" s="913"/>
      <c r="G46" s="913"/>
      <c r="H46" s="913"/>
      <c r="I46" s="913"/>
      <c r="J46" s="913"/>
    </row>
    <row r="47" spans="1:10" ht="15" customHeight="1">
      <c r="A47" s="913" t="s">
        <v>794</v>
      </c>
      <c r="B47" s="913"/>
      <c r="C47" s="913"/>
      <c r="D47" s="913"/>
      <c r="E47" s="913"/>
      <c r="F47" s="913"/>
      <c r="G47" s="913"/>
      <c r="H47" s="913"/>
      <c r="I47" s="913"/>
      <c r="J47" s="913"/>
    </row>
  </sheetData>
  <sheetProtection sheet="1"/>
  <mergeCells count="7">
    <mergeCell ref="A3:J3"/>
    <mergeCell ref="E4:G4"/>
    <mergeCell ref="A47:J47"/>
    <mergeCell ref="A45:J45"/>
    <mergeCell ref="A44:J44"/>
    <mergeCell ref="A46:J46"/>
    <mergeCell ref="A9:J9"/>
  </mergeCells>
  <printOptions/>
  <pageMargins left="0.75" right="0.75" top="1" bottom="1" header="0.5" footer="0.5"/>
  <pageSetup blackAndWhite="1" fitToHeight="1" fitToWidth="1" horizontalDpi="600" verticalDpi="600" orientation="portrait" scale="78" r:id="rId1"/>
  <headerFooter alignWithMargins="0">
    <oddHeader>&amp;RState of Kansas
Township</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1">
      <selection activeCell="L53" sqref="L53"/>
    </sheetView>
  </sheetViews>
  <sheetFormatPr defaultColWidth="8.796875" defaultRowHeight="15.75"/>
  <cols>
    <col min="1" max="1" width="2.3984375" style="66" customWidth="1"/>
    <col min="2" max="2" width="31" style="66" customWidth="1"/>
    <col min="3" max="4" width="15.69921875" style="66" customWidth="1"/>
    <col min="5" max="5" width="13.69921875" style="66" customWidth="1"/>
    <col min="6" max="6" width="8.796875" style="66" customWidth="1"/>
    <col min="7" max="7" width="9.19921875" style="66" customWidth="1"/>
    <col min="8" max="8" width="8.796875" style="66" customWidth="1"/>
    <col min="9" max="9" width="4.5" style="66" customWidth="1"/>
    <col min="10" max="10" width="9" style="66" customWidth="1"/>
    <col min="11" max="16384" width="8.796875" style="66" customWidth="1"/>
  </cols>
  <sheetData>
    <row r="1" spans="2:5" ht="15.75">
      <c r="B1" s="74">
        <f>inputPrYr!D3</f>
        <v>0</v>
      </c>
      <c r="C1" s="17"/>
      <c r="D1" s="17"/>
      <c r="E1" s="90">
        <f>inputPrYr!D7</f>
        <v>0</v>
      </c>
    </row>
    <row r="2" spans="2:5" ht="15.75">
      <c r="B2" s="81" t="s">
        <v>16</v>
      </c>
      <c r="C2" s="17"/>
      <c r="D2" s="103"/>
      <c r="E2" s="19"/>
    </row>
    <row r="3" spans="2:5" ht="15.75">
      <c r="B3" s="25" t="s">
        <v>117</v>
      </c>
      <c r="C3" s="67"/>
      <c r="D3" s="67"/>
      <c r="E3" s="23"/>
    </row>
    <row r="4" spans="2:5" ht="15.75">
      <c r="B4" s="17"/>
      <c r="C4" s="353" t="s">
        <v>118</v>
      </c>
      <c r="D4" s="354" t="s">
        <v>119</v>
      </c>
      <c r="E4" s="27" t="s">
        <v>120</v>
      </c>
    </row>
    <row r="5" spans="2:5" ht="15.75">
      <c r="B5" s="105">
        <f>inputPrYr!D5</f>
        <v>0</v>
      </c>
      <c r="C5" s="170" t="str">
        <f>gen!C5</f>
        <v>Actual for -2</v>
      </c>
      <c r="D5" s="170" t="str">
        <f>gen!D5</f>
        <v>Estimate for -1</v>
      </c>
      <c r="E5" s="32" t="str">
        <f>gen!E5</f>
        <v>Year for 0</v>
      </c>
    </row>
    <row r="6" spans="2:5" ht="15.75">
      <c r="B6" s="33" t="s">
        <v>215</v>
      </c>
      <c r="C6" s="171"/>
      <c r="D6" s="351">
        <f>C35</f>
        <v>0</v>
      </c>
      <c r="E6" s="125">
        <f>D35</f>
        <v>0</v>
      </c>
    </row>
    <row r="7" spans="2:7" ht="15.75">
      <c r="B7" s="33" t="s">
        <v>217</v>
      </c>
      <c r="C7" s="351"/>
      <c r="D7" s="351"/>
      <c r="E7" s="174"/>
      <c r="G7" s="338"/>
    </row>
    <row r="8" spans="2:7" ht="15.75">
      <c r="B8" s="33" t="s">
        <v>123</v>
      </c>
      <c r="C8" s="171"/>
      <c r="D8" s="351">
        <f>IF(inputPrYr!H19&gt;0,inputPrYr!G20,inputPrYr!E20)</f>
        <v>0</v>
      </c>
      <c r="E8" s="174" t="s">
        <v>106</v>
      </c>
      <c r="G8" s="338"/>
    </row>
    <row r="9" spans="2:7" ht="15.75">
      <c r="B9" s="33" t="s">
        <v>124</v>
      </c>
      <c r="C9" s="171"/>
      <c r="D9" s="171"/>
      <c r="E9" s="145"/>
      <c r="G9" s="338"/>
    </row>
    <row r="10" spans="2:5" ht="15.75">
      <c r="B10" s="33" t="s">
        <v>125</v>
      </c>
      <c r="C10" s="171"/>
      <c r="D10" s="171"/>
      <c r="E10" s="125">
        <f>inputOth!E58</f>
        <v>0</v>
      </c>
    </row>
    <row r="11" spans="2:5" ht="15.75">
      <c r="B11" s="33" t="s">
        <v>126</v>
      </c>
      <c r="C11" s="171"/>
      <c r="D11" s="171"/>
      <c r="E11" s="125">
        <f>inputOth!E59</f>
        <v>0</v>
      </c>
    </row>
    <row r="12" spans="2:5" ht="15.75">
      <c r="B12" s="33" t="s">
        <v>205</v>
      </c>
      <c r="C12" s="171"/>
      <c r="D12" s="171"/>
      <c r="E12" s="125">
        <f>inputOth!E60</f>
        <v>0</v>
      </c>
    </row>
    <row r="13" spans="2:5" ht="15.75">
      <c r="B13" s="753" t="s">
        <v>818</v>
      </c>
      <c r="C13" s="171"/>
      <c r="D13" s="171"/>
      <c r="E13" s="125">
        <f>inputOth!E61</f>
        <v>0</v>
      </c>
    </row>
    <row r="14" spans="2:5" ht="15.75">
      <c r="B14" s="753" t="s">
        <v>819</v>
      </c>
      <c r="C14" s="171"/>
      <c r="D14" s="171"/>
      <c r="E14" s="125">
        <f>inputOth!E62</f>
        <v>0</v>
      </c>
    </row>
    <row r="15" spans="2:11" ht="15.75">
      <c r="B15" s="177"/>
      <c r="C15" s="171"/>
      <c r="D15" s="171"/>
      <c r="E15" s="175"/>
      <c r="G15" s="922" t="str">
        <f>CONCATENATE("Desired Carryover Into ",E1+1,"")</f>
        <v>Desired Carryover Into 1</v>
      </c>
      <c r="H15" s="923"/>
      <c r="I15" s="923"/>
      <c r="J15" s="924"/>
      <c r="K15" s="500"/>
    </row>
    <row r="16" spans="2:11" ht="15.75">
      <c r="B16" s="177"/>
      <c r="C16" s="171"/>
      <c r="D16" s="171"/>
      <c r="E16" s="145"/>
      <c r="G16" s="532"/>
      <c r="H16" s="533"/>
      <c r="I16" s="534"/>
      <c r="J16" s="535"/>
      <c r="K16" s="500"/>
    </row>
    <row r="17" spans="2:11" ht="15.75">
      <c r="B17" s="177"/>
      <c r="C17" s="171"/>
      <c r="D17" s="171"/>
      <c r="E17" s="145"/>
      <c r="G17" s="536" t="s">
        <v>642</v>
      </c>
      <c r="H17" s="534"/>
      <c r="I17" s="534"/>
      <c r="J17" s="537">
        <v>0</v>
      </c>
      <c r="K17" s="500"/>
    </row>
    <row r="18" spans="2:11" ht="15.75">
      <c r="B18" s="177" t="s">
        <v>129</v>
      </c>
      <c r="C18" s="171"/>
      <c r="D18" s="171"/>
      <c r="E18" s="145"/>
      <c r="G18" s="532" t="s">
        <v>643</v>
      </c>
      <c r="H18" s="533"/>
      <c r="I18" s="533"/>
      <c r="J18" s="538">
        <f>IF(J17=0,"",ROUND((J17+E41-G30)/inputOth!E8*1000,3)-G35)</f>
      </c>
      <c r="K18" s="500"/>
    </row>
    <row r="19" spans="2:11" ht="15.75">
      <c r="B19" s="178" t="s">
        <v>45</v>
      </c>
      <c r="C19" s="171"/>
      <c r="D19" s="171"/>
      <c r="E19" s="145"/>
      <c r="G19" s="539" t="str">
        <f>CONCATENATE("",E1," Tot Exp/Non-Appr Must Be:")</f>
        <v>0 Tot Exp/Non-Appr Must Be:</v>
      </c>
      <c r="H19" s="540"/>
      <c r="I19" s="541"/>
      <c r="J19" s="542">
        <f>IF(J17&gt;0,IF(E38&lt;E22,IF(J17=G30,E38,((J17-G30)*(1-D40))+E22),E38+(J17-G30)),0)</f>
        <v>0</v>
      </c>
      <c r="K19" s="500"/>
    </row>
    <row r="20" spans="2:11" ht="15.75">
      <c r="B20" s="178" t="s">
        <v>46</v>
      </c>
      <c r="C20" s="350">
        <f>IF(C21*0.1&lt;C19,"Exceed 10% Rule","")</f>
      </c>
      <c r="D20" s="350">
        <f>IF(D21*0.1&lt;D19,"Exceed 10% Rule","")</f>
      </c>
      <c r="E20" s="341">
        <f>IF(E21*0.1&lt;E19,"Exceed 10% Rule","")</f>
      </c>
      <c r="G20" s="543" t="s">
        <v>658</v>
      </c>
      <c r="H20" s="544"/>
      <c r="I20" s="544"/>
      <c r="J20" s="545">
        <f>IF(J17&gt;0,J19-E38,0)</f>
        <v>0</v>
      </c>
      <c r="K20" s="500"/>
    </row>
    <row r="21" spans="2:11" ht="15.75">
      <c r="B21" s="180" t="s">
        <v>130</v>
      </c>
      <c r="C21" s="352">
        <f>SUM(C8:C19)</f>
        <v>0</v>
      </c>
      <c r="D21" s="352">
        <f>SUM(D8:D19)</f>
        <v>0</v>
      </c>
      <c r="E21" s="182">
        <f>SUM(E8:E19)</f>
        <v>0</v>
      </c>
      <c r="G21" s="500"/>
      <c r="H21" s="500"/>
      <c r="I21" s="500"/>
      <c r="J21" s="500"/>
      <c r="K21" s="500"/>
    </row>
    <row r="22" spans="2:11" ht="15.75">
      <c r="B22" s="59" t="s">
        <v>131</v>
      </c>
      <c r="C22" s="352">
        <f>C21+C6</f>
        <v>0</v>
      </c>
      <c r="D22" s="352">
        <f>D21+D6</f>
        <v>0</v>
      </c>
      <c r="E22" s="182">
        <f>E21+E6</f>
        <v>0</v>
      </c>
      <c r="G22" s="922" t="str">
        <f>CONCATENATE("Projected Carryover Into ",E1+1,"")</f>
        <v>Projected Carryover Into 1</v>
      </c>
      <c r="H22" s="925"/>
      <c r="I22" s="925"/>
      <c r="J22" s="926"/>
      <c r="K22" s="500"/>
    </row>
    <row r="23" spans="2:11" ht="15.75">
      <c r="B23" s="33" t="s">
        <v>132</v>
      </c>
      <c r="C23" s="351"/>
      <c r="D23" s="351"/>
      <c r="E23" s="125"/>
      <c r="G23" s="532"/>
      <c r="H23" s="534"/>
      <c r="I23" s="534"/>
      <c r="J23" s="547"/>
      <c r="K23" s="500"/>
    </row>
    <row r="24" spans="2:11" ht="15.75">
      <c r="B24" s="177"/>
      <c r="C24" s="171"/>
      <c r="D24" s="171"/>
      <c r="E24" s="145"/>
      <c r="G24" s="550">
        <f>D35</f>
        <v>0</v>
      </c>
      <c r="H24" s="551" t="str">
        <f>CONCATENATE("",E1-1," Ending Cash Balance (est.)")</f>
        <v>-1 Ending Cash Balance (est.)</v>
      </c>
      <c r="I24" s="552"/>
      <c r="J24" s="547"/>
      <c r="K24" s="500"/>
    </row>
    <row r="25" spans="2:11" ht="15.75">
      <c r="B25" s="177"/>
      <c r="C25" s="171"/>
      <c r="D25" s="171"/>
      <c r="E25" s="145"/>
      <c r="G25" s="550">
        <f>E21</f>
        <v>0</v>
      </c>
      <c r="H25" s="534" t="str">
        <f>CONCATENATE("",E1," Non-AV Receipts (est.)")</f>
        <v>0 Non-AV Receipts (est.)</v>
      </c>
      <c r="I25" s="552"/>
      <c r="J25" s="547"/>
      <c r="K25" s="500"/>
    </row>
    <row r="26" spans="2:11" ht="15.75">
      <c r="B26" s="177"/>
      <c r="C26" s="171"/>
      <c r="D26" s="171"/>
      <c r="E26" s="145"/>
      <c r="G26" s="557">
        <f>IF(E40&gt;0,E39,E41)</f>
        <v>0</v>
      </c>
      <c r="H26" s="534" t="str">
        <f>CONCATENATE("",E1," Ad Valorem Tax (est.)")</f>
        <v>0 Ad Valorem Tax (est.)</v>
      </c>
      <c r="I26" s="534"/>
      <c r="J26" s="547"/>
      <c r="K26" s="558">
        <f>IF(G26=E41,"","Note: Does not include Delinquent Taxes")</f>
      </c>
    </row>
    <row r="27" spans="2:11" ht="15.75">
      <c r="B27" s="176"/>
      <c r="C27" s="171"/>
      <c r="D27" s="171"/>
      <c r="E27" s="145"/>
      <c r="G27" s="550">
        <f>SUM(G24:G26)</f>
        <v>0</v>
      </c>
      <c r="H27" s="534" t="str">
        <f>CONCATENATE("Total ",E1," Resources Available")</f>
        <v>Total 0 Resources Available</v>
      </c>
      <c r="I27" s="552"/>
      <c r="J27" s="547"/>
      <c r="K27" s="500"/>
    </row>
    <row r="28" spans="2:11" ht="15.75">
      <c r="B28" s="177"/>
      <c r="C28" s="171"/>
      <c r="D28" s="171"/>
      <c r="E28" s="145"/>
      <c r="G28" s="561"/>
      <c r="H28" s="534"/>
      <c r="I28" s="534"/>
      <c r="J28" s="547"/>
      <c r="K28" s="500"/>
    </row>
    <row r="29" spans="2:11" ht="15.75">
      <c r="B29" s="177"/>
      <c r="C29" s="171"/>
      <c r="D29" s="171"/>
      <c r="E29" s="145"/>
      <c r="G29" s="557">
        <f>C34</f>
        <v>0</v>
      </c>
      <c r="H29" s="534" t="str">
        <f>CONCATENATE("Less ",E1-2," Expenditures")</f>
        <v>Less -2 Expenditures</v>
      </c>
      <c r="I29" s="534"/>
      <c r="J29" s="547"/>
      <c r="K29" s="500"/>
    </row>
    <row r="30" spans="2:11" ht="15.75">
      <c r="B30" s="176"/>
      <c r="C30" s="171"/>
      <c r="D30" s="171"/>
      <c r="E30" s="145"/>
      <c r="G30" s="565">
        <f>G27-G29</f>
        <v>0</v>
      </c>
      <c r="H30" s="566" t="str">
        <f>CONCATENATE("Projected ",E1+1," carryover (est.)")</f>
        <v>Projected 1 carryover (est.)</v>
      </c>
      <c r="I30" s="567"/>
      <c r="J30" s="568"/>
      <c r="K30" s="500"/>
    </row>
    <row r="31" spans="2:11" ht="15.75">
      <c r="B31" s="41" t="str">
        <f>CONCATENATE("Cash Forward (",E1," column)")</f>
        <v>Cash Forward (0 column)</v>
      </c>
      <c r="C31" s="171"/>
      <c r="D31" s="171"/>
      <c r="E31" s="145"/>
      <c r="G31" s="500"/>
      <c r="H31" s="500"/>
      <c r="I31" s="500"/>
      <c r="J31" s="500"/>
      <c r="K31" s="500"/>
    </row>
    <row r="32" spans="2:11" ht="15.75">
      <c r="B32" s="41" t="s">
        <v>45</v>
      </c>
      <c r="C32" s="171"/>
      <c r="D32" s="171"/>
      <c r="E32" s="145"/>
      <c r="G32" s="927" t="s">
        <v>659</v>
      </c>
      <c r="H32" s="928"/>
      <c r="I32" s="928"/>
      <c r="J32" s="929"/>
      <c r="K32" s="500"/>
    </row>
    <row r="33" spans="2:11" ht="15.75">
      <c r="B33" s="41" t="s">
        <v>637</v>
      </c>
      <c r="C33" s="350">
        <f>IF(C34*0.1&lt;C32,"Exceed 10% Rule","")</f>
      </c>
      <c r="D33" s="350">
        <f>IF(D34*0.1&lt;D32,"Exceed 10% Rule","")</f>
      </c>
      <c r="E33" s="341">
        <f>IF(E34*0.1&lt;E32,"Exceed 10% Rule","")</f>
      </c>
      <c r="G33" s="572"/>
      <c r="H33" s="551"/>
      <c r="I33" s="573"/>
      <c r="J33" s="574"/>
      <c r="K33" s="500"/>
    </row>
    <row r="34" spans="2:11" ht="15.75">
      <c r="B34" s="59" t="s">
        <v>133</v>
      </c>
      <c r="C34" s="352">
        <f>SUM(C24:C32)</f>
        <v>0</v>
      </c>
      <c r="D34" s="352">
        <f>SUM(D24:D32)</f>
        <v>0</v>
      </c>
      <c r="E34" s="182">
        <f>SUM(E24:E32)</f>
        <v>0</v>
      </c>
      <c r="G34" s="575" t="str">
        <f>summ!I18</f>
        <v> </v>
      </c>
      <c r="H34" s="551" t="str">
        <f>CONCATENATE("",E1," Fund Mill Rate")</f>
        <v>0 Fund Mill Rate</v>
      </c>
      <c r="I34" s="573"/>
      <c r="J34" s="574"/>
      <c r="K34" s="500"/>
    </row>
    <row r="35" spans="2:11" ht="15.75">
      <c r="B35" s="33" t="s">
        <v>216</v>
      </c>
      <c r="C35" s="356">
        <f>C22-C34</f>
        <v>0</v>
      </c>
      <c r="D35" s="356">
        <f>D22-D34</f>
        <v>0</v>
      </c>
      <c r="E35" s="174" t="s">
        <v>106</v>
      </c>
      <c r="G35" s="576" t="str">
        <f>summ!F18</f>
        <v>  </v>
      </c>
      <c r="H35" s="551" t="str">
        <f>CONCATENATE("",E1-1," Fund Mill Rate")</f>
        <v>-1 Fund Mill Rate</v>
      </c>
      <c r="I35" s="573"/>
      <c r="J35" s="574"/>
      <c r="K35" s="500"/>
    </row>
    <row r="36" spans="2:11" ht="15.75">
      <c r="B36" s="73" t="str">
        <f>CONCATENATE("",E1-2,"/",E1-1,"/",E1," Budget Authority Amount:")</f>
        <v>-2/-1/0 Budget Authority Amount:</v>
      </c>
      <c r="C36" s="190">
        <f>inputOth!B73</f>
        <v>0</v>
      </c>
      <c r="D36" s="190">
        <f>inputPrYr!D20</f>
        <v>0</v>
      </c>
      <c r="E36" s="125">
        <f>E34</f>
        <v>0</v>
      </c>
      <c r="F36" s="265"/>
      <c r="G36" s="578">
        <f>summ!I20</f>
        <v>0</v>
      </c>
      <c r="H36" s="551" t="str">
        <f>CONCATENATE("Total ",E1," Mill Rate")</f>
        <v>Total 0 Mill Rate</v>
      </c>
      <c r="I36" s="573"/>
      <c r="J36" s="574"/>
      <c r="K36" s="500"/>
    </row>
    <row r="37" spans="2:11" ht="15.75">
      <c r="B37" s="3"/>
      <c r="C37" s="916" t="s">
        <v>638</v>
      </c>
      <c r="D37" s="917"/>
      <c r="E37" s="145"/>
      <c r="F37" s="265">
        <f>IF(E34/0.95-E34&lt;E37,"Exceeds 5%","")</f>
      </c>
      <c r="G37" s="576">
        <f>summ!F20</f>
        <v>0</v>
      </c>
      <c r="H37" s="579" t="str">
        <f>CONCATENATE("Total ",E1-1," Mill Rate")</f>
        <v>Total -1 Mill Rate</v>
      </c>
      <c r="I37" s="580"/>
      <c r="J37" s="581"/>
      <c r="K37" s="500"/>
    </row>
    <row r="38" spans="2:5" ht="15.75">
      <c r="B38" s="357" t="str">
        <f>CONCATENATE(C56,"     ",D56)</f>
        <v>     </v>
      </c>
      <c r="C38" s="918" t="s">
        <v>639</v>
      </c>
      <c r="D38" s="919"/>
      <c r="E38" s="125">
        <f>E34+E37</f>
        <v>0</v>
      </c>
    </row>
    <row r="39" spans="2:10" ht="15.75">
      <c r="B39" s="357" t="str">
        <f>CONCATENATE(C57,"     ",D57)</f>
        <v>     </v>
      </c>
      <c r="C39" s="343"/>
      <c r="D39" s="91" t="s">
        <v>135</v>
      </c>
      <c r="E39" s="185">
        <f>IF(E38-E22&gt;0,E38-E22,0)</f>
        <v>0</v>
      </c>
      <c r="G39" s="771" t="s">
        <v>839</v>
      </c>
      <c r="H39" s="772"/>
      <c r="I39" s="773"/>
      <c r="J39" s="774" t="str">
        <f>cert!F25</f>
        <v>No</v>
      </c>
    </row>
    <row r="40" spans="2:10" ht="15.75">
      <c r="B40" s="91"/>
      <c r="C40" s="433" t="s">
        <v>640</v>
      </c>
      <c r="D40" s="622">
        <f>inputOth!$E$67</f>
        <v>0</v>
      </c>
      <c r="E40" s="125">
        <f>ROUND(IF(D40&gt;0,(E39*D40),0),0)</f>
        <v>0</v>
      </c>
      <c r="G40" s="775" t="str">
        <f>CONCATENATE("Computed ",E1," tax levy limit amount")</f>
        <v>Computed 0 tax levy limit amount</v>
      </c>
      <c r="H40" s="776"/>
      <c r="I40" s="776"/>
      <c r="J40" s="777">
        <f>computationSpecial!J41</f>
        <v>0</v>
      </c>
    </row>
    <row r="41" spans="2:10" ht="15.75">
      <c r="B41" s="17"/>
      <c r="C41" s="920" t="str">
        <f>CONCATENATE("Amount of  ",$E$1-1," Ad Valorem Tax")</f>
        <v>Amount of  -1 Ad Valorem Tax</v>
      </c>
      <c r="D41" s="921"/>
      <c r="E41" s="185">
        <f>E39+E40</f>
        <v>0</v>
      </c>
      <c r="G41" s="778" t="str">
        <f>CONCATENATE("Total ",E1," tax levy amount")</f>
        <v>Total 0 tax levy amount</v>
      </c>
      <c r="H41" s="779"/>
      <c r="I41" s="779"/>
      <c r="J41" s="780">
        <f>summ!H20</f>
        <v>0</v>
      </c>
    </row>
    <row r="42" spans="2:5" ht="15.75">
      <c r="B42" s="17"/>
      <c r="C42" s="17"/>
      <c r="D42" s="24"/>
      <c r="E42" s="17"/>
    </row>
    <row r="43" spans="2:5" ht="15.75">
      <c r="B43" s="817" t="s">
        <v>983</v>
      </c>
      <c r="C43" s="84"/>
      <c r="D43" s="84"/>
      <c r="E43" s="35"/>
    </row>
    <row r="44" spans="2:5" ht="15.75">
      <c r="B44" s="440"/>
      <c r="C44" s="24"/>
      <c r="D44" s="24"/>
      <c r="E44" s="36"/>
    </row>
    <row r="45" spans="2:5" ht="15.75">
      <c r="B45" s="818"/>
      <c r="C45" s="31"/>
      <c r="D45" s="31"/>
      <c r="E45" s="49"/>
    </row>
    <row r="46" spans="2:5" ht="15.75">
      <c r="B46" s="93"/>
      <c r="C46" s="93"/>
      <c r="D46" s="93"/>
      <c r="E46" s="93"/>
    </row>
    <row r="47" spans="2:5" ht="15.75">
      <c r="B47" s="228" t="s">
        <v>116</v>
      </c>
      <c r="C47" s="665">
        <f>IF(inputPrYr!D26&gt;0,8,7)</f>
        <v>7</v>
      </c>
      <c r="D47" s="93"/>
      <c r="E47" s="93"/>
    </row>
    <row r="56" spans="3:4" ht="15.75" hidden="1">
      <c r="C56" s="436">
        <f>IF(C34&gt;C36,"See Tab A","")</f>
      </c>
      <c r="D56" s="436">
        <f>IF(D34&gt;D36,"See Tab C","")</f>
      </c>
    </row>
    <row r="57" spans="3:4" ht="15.75" hidden="1">
      <c r="C57" s="436">
        <f>IF(C35&lt;0,"See Tab B","")</f>
      </c>
      <c r="D57" s="436">
        <f>IF(D35&lt;0,"See Tab D","")</f>
      </c>
    </row>
    <row r="58" spans="3:4" ht="15.75">
      <c r="C58" s="436"/>
      <c r="D58" s="436"/>
    </row>
  </sheetData>
  <sheetProtection sheet="1"/>
  <mergeCells count="6">
    <mergeCell ref="C37:D37"/>
    <mergeCell ref="C38:D38"/>
    <mergeCell ref="C41:D41"/>
    <mergeCell ref="G15:J15"/>
    <mergeCell ref="G22:J22"/>
    <mergeCell ref="G32:J32"/>
  </mergeCells>
  <conditionalFormatting sqref="E32">
    <cfRule type="cellIs" priority="14" dxfId="179" operator="greaterThan" stopIfTrue="1">
      <formula>$E$34*0.1</formula>
    </cfRule>
  </conditionalFormatting>
  <conditionalFormatting sqref="E19">
    <cfRule type="cellIs" priority="17" dxfId="179" operator="greaterThan" stopIfTrue="1">
      <formula>$E$21*0.1</formula>
    </cfRule>
  </conditionalFormatting>
  <conditionalFormatting sqref="E37">
    <cfRule type="cellIs" priority="18" dxfId="5" operator="greaterThan" stopIfTrue="1">
      <formula>$E$34/0.95-$E$34</formula>
    </cfRule>
  </conditionalFormatting>
  <conditionalFormatting sqref="C35:D35">
    <cfRule type="cellIs" priority="10" dxfId="0" operator="lessThan" stopIfTrue="1">
      <formula>0</formula>
    </cfRule>
  </conditionalFormatting>
  <conditionalFormatting sqref="C34">
    <cfRule type="cellIs" priority="8" dxfId="0" operator="greaterThan" stopIfTrue="1">
      <formula>$C$36</formula>
    </cfRule>
  </conditionalFormatting>
  <conditionalFormatting sqref="C32">
    <cfRule type="cellIs" priority="7" dxfId="0" operator="greaterThan" stopIfTrue="1">
      <formula>$C$34*0.1</formula>
    </cfRule>
  </conditionalFormatting>
  <conditionalFormatting sqref="D32">
    <cfRule type="cellIs" priority="4" dxfId="0" operator="greaterThan" stopIfTrue="1">
      <formula>$D$34*0.1</formula>
    </cfRule>
  </conditionalFormatting>
  <conditionalFormatting sqref="D34">
    <cfRule type="cellIs" priority="3" dxfId="0" operator="greaterThan" stopIfTrue="1">
      <formula>$C$36</formula>
    </cfRule>
  </conditionalFormatting>
  <conditionalFormatting sqref="C19">
    <cfRule type="cellIs" priority="2" dxfId="0" operator="greaterThan" stopIfTrue="1">
      <formula>$C$21*0.1</formula>
    </cfRule>
  </conditionalFormatting>
  <conditionalFormatting sqref="D19">
    <cfRule type="cellIs" priority="1" dxfId="0" operator="greaterThan" stopIfTrue="1">
      <formula>$D$21*0.1</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Township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J36" sqref="J36"/>
    </sheetView>
  </sheetViews>
  <sheetFormatPr defaultColWidth="8.796875" defaultRowHeight="15.75"/>
  <cols>
    <col min="1" max="2" width="3" style="5" customWidth="1"/>
    <col min="3" max="3" width="28.19921875" style="5" customWidth="1"/>
    <col min="4" max="4" width="2.09765625" style="5" customWidth="1"/>
    <col min="5" max="5" width="15.69921875" style="5" customWidth="1"/>
    <col min="6" max="6" width="1.796875" style="5" customWidth="1"/>
    <col min="7" max="7" width="15.69921875" style="5" customWidth="1"/>
    <col min="8" max="8" width="1.69921875" style="5" customWidth="1"/>
    <col min="9" max="9" width="1.59765625" style="5" customWidth="1"/>
    <col min="10" max="10" width="15.69921875" style="5" customWidth="1"/>
    <col min="11" max="16384" width="8.796875" style="5" customWidth="1"/>
  </cols>
  <sheetData>
    <row r="1" spans="1:10" ht="15.75">
      <c r="A1" s="17"/>
      <c r="B1" s="17"/>
      <c r="C1" s="74">
        <f>inputPrYr!D3</f>
        <v>0</v>
      </c>
      <c r="D1" s="17"/>
      <c r="E1" s="17"/>
      <c r="F1" s="17"/>
      <c r="G1" s="17"/>
      <c r="H1" s="17"/>
      <c r="I1" s="17"/>
      <c r="J1" s="17">
        <f>inputPrYr!D7</f>
        <v>0</v>
      </c>
    </row>
    <row r="2" spans="1:10" ht="15.75">
      <c r="A2" s="17"/>
      <c r="B2" s="17"/>
      <c r="C2" s="17"/>
      <c r="D2" s="17"/>
      <c r="E2" s="17"/>
      <c r="F2" s="17"/>
      <c r="G2" s="17"/>
      <c r="H2" s="17"/>
      <c r="I2" s="17"/>
      <c r="J2" s="17"/>
    </row>
    <row r="3" spans="1:10" ht="15.75">
      <c r="A3" s="912" t="str">
        <f>CONCATENATE("Computation to Determine Limit for ",J1,"")</f>
        <v>Computation to Determine Limit for 0</v>
      </c>
      <c r="B3" s="889"/>
      <c r="C3" s="889"/>
      <c r="D3" s="889"/>
      <c r="E3" s="889"/>
      <c r="F3" s="889"/>
      <c r="G3" s="889"/>
      <c r="H3" s="889"/>
      <c r="I3" s="889"/>
      <c r="J3" s="889"/>
    </row>
    <row r="4" spans="1:10" ht="15.75">
      <c r="A4" s="17"/>
      <c r="B4" s="17"/>
      <c r="C4" s="17"/>
      <c r="D4" s="17"/>
      <c r="E4" s="889"/>
      <c r="F4" s="889"/>
      <c r="G4" s="889"/>
      <c r="H4" s="16"/>
      <c r="I4" s="17"/>
      <c r="J4" s="75" t="s">
        <v>186</v>
      </c>
    </row>
    <row r="5" spans="1:10" ht="15.75">
      <c r="A5" s="76" t="s">
        <v>187</v>
      </c>
      <c r="B5" s="17" t="str">
        <f>CONCATENATE("Total tax levy amount in ",J1-1,"")</f>
        <v>Total tax levy amount in -1</v>
      </c>
      <c r="C5" s="17"/>
      <c r="D5" s="17"/>
      <c r="E5" s="77"/>
      <c r="F5" s="77"/>
      <c r="G5" s="77"/>
      <c r="H5" s="78" t="s">
        <v>122</v>
      </c>
      <c r="I5" s="77" t="s">
        <v>113</v>
      </c>
      <c r="J5" s="79">
        <f>inputPrYr!E36</f>
        <v>0</v>
      </c>
    </row>
    <row r="6" spans="1:10" ht="15.75">
      <c r="A6" s="76" t="s">
        <v>188</v>
      </c>
      <c r="B6" s="17" t="str">
        <f>CONCATENATE("Debt service levy in ",J1-1,"")</f>
        <v>Debt service levy in -1</v>
      </c>
      <c r="C6" s="17"/>
      <c r="D6" s="17"/>
      <c r="E6" s="77"/>
      <c r="F6" s="77"/>
      <c r="G6" s="77"/>
      <c r="H6" s="78" t="s">
        <v>189</v>
      </c>
      <c r="I6" s="77" t="s">
        <v>113</v>
      </c>
      <c r="J6" s="89">
        <f>inputPrYr!E25</f>
        <v>0</v>
      </c>
    </row>
    <row r="7" spans="1:10" ht="15.75">
      <c r="A7" s="76" t="s">
        <v>190</v>
      </c>
      <c r="B7" s="17" t="s">
        <v>795</v>
      </c>
      <c r="C7" s="17"/>
      <c r="D7" s="17"/>
      <c r="E7" s="77"/>
      <c r="F7" s="77"/>
      <c r="G7" s="77"/>
      <c r="H7" s="77"/>
      <c r="I7" s="77" t="s">
        <v>113</v>
      </c>
      <c r="J7" s="80">
        <f>J5-J6</f>
        <v>0</v>
      </c>
    </row>
    <row r="8" spans="1:10" ht="15.75">
      <c r="A8" s="17"/>
      <c r="B8" s="17"/>
      <c r="C8" s="17"/>
      <c r="D8" s="17"/>
      <c r="E8" s="77"/>
      <c r="F8" s="77"/>
      <c r="G8" s="77"/>
      <c r="H8" s="77"/>
      <c r="I8" s="77"/>
      <c r="J8" s="77"/>
    </row>
    <row r="9" spans="1:10" ht="15.75">
      <c r="A9" s="889" t="str">
        <f>CONCATENATE("",J1-1," Valuation Information for Valuation Adjustments")</f>
        <v>-1 Valuation Information for Valuation Adjustments</v>
      </c>
      <c r="B9" s="867"/>
      <c r="C9" s="867"/>
      <c r="D9" s="867"/>
      <c r="E9" s="867"/>
      <c r="F9" s="867"/>
      <c r="G9" s="867"/>
      <c r="H9" s="867"/>
      <c r="I9" s="867"/>
      <c r="J9" s="867"/>
    </row>
    <row r="10" spans="1:10" ht="15.75">
      <c r="A10" s="17"/>
      <c r="B10" s="17"/>
      <c r="C10" s="17"/>
      <c r="D10" s="17"/>
      <c r="E10" s="77"/>
      <c r="F10" s="77"/>
      <c r="G10" s="77"/>
      <c r="H10" s="77"/>
      <c r="I10" s="77"/>
      <c r="J10" s="77"/>
    </row>
    <row r="11" spans="1:10" ht="15.75">
      <c r="A11" s="76" t="s">
        <v>191</v>
      </c>
      <c r="B11" s="17" t="str">
        <f>CONCATENATE("New improvements for ",J1-1,":")</f>
        <v>New improvements for -1:</v>
      </c>
      <c r="C11" s="17"/>
      <c r="D11" s="17"/>
      <c r="E11" s="78"/>
      <c r="F11" s="78" t="s">
        <v>122</v>
      </c>
      <c r="G11" s="82">
        <f>inputOth!E11</f>
        <v>0</v>
      </c>
      <c r="H11" s="83"/>
      <c r="I11" s="77"/>
      <c r="J11" s="77"/>
    </row>
    <row r="12" spans="1:10" ht="15.75">
      <c r="A12" s="76"/>
      <c r="B12" s="76"/>
      <c r="C12" s="17"/>
      <c r="D12" s="17"/>
      <c r="E12" s="78"/>
      <c r="F12" s="78"/>
      <c r="G12" s="83"/>
      <c r="H12" s="83"/>
      <c r="I12" s="77"/>
      <c r="J12" s="77"/>
    </row>
    <row r="13" spans="1:10" ht="15.75">
      <c r="A13" s="76" t="s">
        <v>192</v>
      </c>
      <c r="B13" s="17" t="str">
        <f>CONCATENATE("Increase in personal property for ",J1-1,":")</f>
        <v>Increase in personal property for -1:</v>
      </c>
      <c r="C13" s="17"/>
      <c r="D13" s="17"/>
      <c r="E13" s="78"/>
      <c r="F13" s="78"/>
      <c r="G13" s="83"/>
      <c r="H13" s="83"/>
      <c r="I13" s="77"/>
      <c r="J13" s="77"/>
    </row>
    <row r="14" spans="1:10" ht="15.75">
      <c r="A14" s="17"/>
      <c r="B14" s="17" t="s">
        <v>193</v>
      </c>
      <c r="C14" s="17" t="str">
        <f>CONCATENATE("Personal property ",J1-1,"")</f>
        <v>Personal property -1</v>
      </c>
      <c r="D14" s="76" t="s">
        <v>122</v>
      </c>
      <c r="E14" s="82">
        <f>inputOth!E14</f>
        <v>0</v>
      </c>
      <c r="F14" s="78"/>
      <c r="G14" s="77"/>
      <c r="H14" s="77"/>
      <c r="I14" s="83"/>
      <c r="J14" s="77"/>
    </row>
    <row r="15" spans="1:10" ht="15.75">
      <c r="A15" s="76"/>
      <c r="B15" s="17" t="s">
        <v>194</v>
      </c>
      <c r="C15" s="17" t="str">
        <f>CONCATENATE("Personal property ",J1-2,"")</f>
        <v>Personal property -2</v>
      </c>
      <c r="D15" s="76" t="s">
        <v>189</v>
      </c>
      <c r="E15" s="80">
        <f>inputOth!E20</f>
        <v>0</v>
      </c>
      <c r="F15" s="78"/>
      <c r="G15" s="83"/>
      <c r="H15" s="83"/>
      <c r="I15" s="77"/>
      <c r="J15" s="77"/>
    </row>
    <row r="16" spans="1:10" ht="15.75">
      <c r="A16" s="76"/>
      <c r="B16" s="17" t="s">
        <v>195</v>
      </c>
      <c r="C16" s="17" t="s">
        <v>796</v>
      </c>
      <c r="D16" s="17"/>
      <c r="E16" s="77"/>
      <c r="F16" s="77" t="s">
        <v>122</v>
      </c>
      <c r="G16" s="82">
        <f>IF(E14&gt;E15,E14-E15,0)</f>
        <v>0</v>
      </c>
      <c r="H16" s="83"/>
      <c r="I16" s="77"/>
      <c r="J16" s="77"/>
    </row>
    <row r="17" spans="1:10" ht="15.75">
      <c r="A17" s="76"/>
      <c r="B17" s="76"/>
      <c r="C17" s="17"/>
      <c r="D17" s="17"/>
      <c r="E17" s="77"/>
      <c r="F17" s="77"/>
      <c r="G17" s="83" t="s">
        <v>203</v>
      </c>
      <c r="H17" s="83"/>
      <c r="I17" s="77"/>
      <c r="J17" s="77"/>
    </row>
    <row r="18" spans="1:10" ht="15.75">
      <c r="A18" s="76" t="s">
        <v>196</v>
      </c>
      <c r="B18" s="17" t="str">
        <f>CONCATENATE("Valuation of property that has changed in use during ",J1-1,":")</f>
        <v>Valuation of property that has changed in use during -1:</v>
      </c>
      <c r="C18" s="17"/>
      <c r="D18" s="17"/>
      <c r="E18" s="77"/>
      <c r="F18" s="78" t="s">
        <v>122</v>
      </c>
      <c r="G18" s="82">
        <f>inputOth!E17</f>
        <v>0</v>
      </c>
      <c r="H18" s="77"/>
      <c r="I18" s="77"/>
      <c r="J18" s="77"/>
    </row>
    <row r="19" spans="1:10" ht="15.75">
      <c r="A19" s="17" t="s">
        <v>94</v>
      </c>
      <c r="B19" s="17"/>
      <c r="C19" s="17"/>
      <c r="D19" s="76"/>
      <c r="E19" s="83"/>
      <c r="F19" s="83"/>
      <c r="G19" s="83"/>
      <c r="H19" s="77"/>
      <c r="I19" s="77"/>
      <c r="J19" s="77"/>
    </row>
    <row r="20" spans="1:10" ht="15.75">
      <c r="A20" s="76" t="s">
        <v>197</v>
      </c>
      <c r="B20" s="17" t="s">
        <v>797</v>
      </c>
      <c r="C20" s="17"/>
      <c r="D20" s="17"/>
      <c r="E20" s="77"/>
      <c r="F20" s="77"/>
      <c r="G20" s="82">
        <f>G11+G16+G18</f>
        <v>0</v>
      </c>
      <c r="H20" s="83"/>
      <c r="I20" s="77"/>
      <c r="J20" s="77"/>
    </row>
    <row r="21" spans="1:10" ht="15.75">
      <c r="A21" s="76"/>
      <c r="B21" s="76"/>
      <c r="C21" s="17"/>
      <c r="D21" s="17"/>
      <c r="E21" s="77"/>
      <c r="F21" s="77"/>
      <c r="G21" s="83"/>
      <c r="H21" s="83"/>
      <c r="I21" s="77"/>
      <c r="J21" s="77"/>
    </row>
    <row r="22" spans="1:10" ht="15.75">
      <c r="A22" s="76" t="s">
        <v>198</v>
      </c>
      <c r="B22" s="17" t="str">
        <f>CONCATENATE("Total estimated valuation July 1,",J1-1,"")</f>
        <v>Total estimated valuation July 1,-1</v>
      </c>
      <c r="C22" s="17"/>
      <c r="D22" s="17"/>
      <c r="E22" s="82">
        <f>inputOth!E8</f>
        <v>0</v>
      </c>
      <c r="F22" s="77"/>
      <c r="G22" s="77"/>
      <c r="H22" s="77"/>
      <c r="I22" s="78"/>
      <c r="J22" s="77"/>
    </row>
    <row r="23" spans="1:10" ht="15.75">
      <c r="A23" s="76"/>
      <c r="B23" s="76"/>
      <c r="C23" s="17"/>
      <c r="D23" s="17"/>
      <c r="E23" s="83"/>
      <c r="F23" s="77"/>
      <c r="G23" s="77"/>
      <c r="H23" s="77"/>
      <c r="I23" s="78"/>
      <c r="J23" s="77"/>
    </row>
    <row r="24" spans="1:10" ht="15.75">
      <c r="A24" s="76" t="s">
        <v>199</v>
      </c>
      <c r="B24" s="17" t="s">
        <v>798</v>
      </c>
      <c r="C24" s="17"/>
      <c r="D24" s="17"/>
      <c r="E24" s="77"/>
      <c r="F24" s="77"/>
      <c r="G24" s="82">
        <f>E22-G20</f>
        <v>0</v>
      </c>
      <c r="H24" s="83"/>
      <c r="I24" s="78"/>
      <c r="J24" s="77"/>
    </row>
    <row r="25" spans="1:10" ht="15.75">
      <c r="A25" s="76"/>
      <c r="B25" s="76"/>
      <c r="C25" s="17"/>
      <c r="D25" s="17"/>
      <c r="E25" s="17"/>
      <c r="F25" s="17"/>
      <c r="G25" s="84"/>
      <c r="H25" s="24"/>
      <c r="I25" s="76"/>
      <c r="J25" s="17"/>
    </row>
    <row r="26" spans="1:10" ht="15.75">
      <c r="A26" s="76" t="s">
        <v>200</v>
      </c>
      <c r="B26" s="17" t="s">
        <v>799</v>
      </c>
      <c r="C26" s="17"/>
      <c r="D26" s="17"/>
      <c r="E26" s="17"/>
      <c r="F26" s="17"/>
      <c r="G26" s="85">
        <f>IF(G20&gt;0,G20/G24,0)</f>
        <v>0</v>
      </c>
      <c r="H26" s="24"/>
      <c r="I26" s="17"/>
      <c r="J26" s="17"/>
    </row>
    <row r="27" spans="1:10" ht="15.75">
      <c r="A27" s="76"/>
      <c r="B27" s="76"/>
      <c r="C27" s="17"/>
      <c r="D27" s="17"/>
      <c r="E27" s="17"/>
      <c r="F27" s="17"/>
      <c r="G27" s="24"/>
      <c r="H27" s="24"/>
      <c r="I27" s="17"/>
      <c r="J27" s="17"/>
    </row>
    <row r="28" spans="1:10" ht="15.75">
      <c r="A28" s="76" t="s">
        <v>201</v>
      </c>
      <c r="B28" s="17" t="s">
        <v>800</v>
      </c>
      <c r="C28" s="17"/>
      <c r="D28" s="17"/>
      <c r="E28" s="17"/>
      <c r="F28" s="17"/>
      <c r="G28" s="24"/>
      <c r="H28" s="86" t="s">
        <v>122</v>
      </c>
      <c r="I28" s="17" t="s">
        <v>113</v>
      </c>
      <c r="J28" s="82">
        <f>ROUND(G26*J7,0)</f>
        <v>0</v>
      </c>
    </row>
    <row r="29" spans="1:10" ht="15.75">
      <c r="A29" s="76"/>
      <c r="B29" s="76"/>
      <c r="C29" s="17"/>
      <c r="D29" s="17"/>
      <c r="E29" s="17"/>
      <c r="F29" s="17"/>
      <c r="G29" s="24"/>
      <c r="H29" s="86"/>
      <c r="I29" s="17"/>
      <c r="J29" s="83"/>
    </row>
    <row r="30" spans="1:10" ht="16.5" thickBot="1">
      <c r="A30" s="76" t="s">
        <v>202</v>
      </c>
      <c r="B30" s="17" t="str">
        <f>CONCATENATE(J1," budget tax levy, excluding debt service,  prior to CPI adjustment (3 plus 11)")</f>
        <v>0 budget tax levy, excluding debt service,  prior to CPI adjustment (3 plus 11)</v>
      </c>
      <c r="C30" s="17"/>
      <c r="D30" s="17"/>
      <c r="E30" s="17"/>
      <c r="F30" s="17"/>
      <c r="G30" s="17"/>
      <c r="H30" s="17"/>
      <c r="I30" s="17" t="s">
        <v>113</v>
      </c>
      <c r="J30" s="87">
        <f>J7+J28</f>
        <v>0</v>
      </c>
    </row>
    <row r="31" spans="1:10" ht="16.5" thickTop="1">
      <c r="A31" s="17"/>
      <c r="B31" s="17"/>
      <c r="C31" s="17"/>
      <c r="D31" s="17"/>
      <c r="E31" s="17"/>
      <c r="F31" s="17"/>
      <c r="G31" s="17"/>
      <c r="H31" s="17"/>
      <c r="I31" s="17"/>
      <c r="J31" s="17"/>
    </row>
    <row r="32" spans="1:10" ht="15.75">
      <c r="A32" s="76" t="s">
        <v>213</v>
      </c>
      <c r="B32" s="17" t="str">
        <f>CONCATENATE("Debt service levy in this ",J1," budget")</f>
        <v>Debt service levy in this 0 budget</v>
      </c>
      <c r="C32" s="17"/>
      <c r="D32" s="17"/>
      <c r="E32" s="17"/>
      <c r="F32" s="17"/>
      <c r="G32" s="17"/>
      <c r="H32" s="17"/>
      <c r="I32" s="17"/>
      <c r="J32" s="82">
        <f>'DebtSvs-Library'!E41</f>
        <v>0</v>
      </c>
    </row>
    <row r="33" spans="1:10" ht="15.75">
      <c r="A33" s="76"/>
      <c r="B33" s="17"/>
      <c r="C33" s="17"/>
      <c r="D33" s="17"/>
      <c r="E33" s="17"/>
      <c r="F33" s="17"/>
      <c r="G33" s="17"/>
      <c r="H33" s="17"/>
      <c r="I33" s="17"/>
      <c r="J33" s="24"/>
    </row>
    <row r="34" spans="1:10" ht="16.5" thickBot="1">
      <c r="A34" s="76" t="s">
        <v>214</v>
      </c>
      <c r="B34" s="17" t="str">
        <f>CONCATENATE(J1," budget tax levy, including debt service, prior to CPI adjustment (12 plus 13)")</f>
        <v>0 budget tax levy, including debt service, prior to CPI adjustment (12 plus 13)</v>
      </c>
      <c r="C34" s="17"/>
      <c r="D34" s="17"/>
      <c r="E34" s="17"/>
      <c r="F34" s="17"/>
      <c r="G34" s="17"/>
      <c r="H34" s="17"/>
      <c r="I34" s="17"/>
      <c r="J34" s="87">
        <f>J30+J32</f>
        <v>0</v>
      </c>
    </row>
    <row r="35" spans="1:10" ht="16.5" thickTop="1">
      <c r="A35" s="706"/>
      <c r="B35" s="713"/>
      <c r="C35" s="713"/>
      <c r="D35" s="713"/>
      <c r="E35" s="713"/>
      <c r="F35" s="713"/>
      <c r="G35" s="713"/>
      <c r="H35" s="713"/>
      <c r="I35" s="713"/>
      <c r="J35" s="704"/>
    </row>
    <row r="36" spans="1:10" ht="15.75">
      <c r="A36" s="708" t="s">
        <v>789</v>
      </c>
      <c r="B36" s="713" t="str">
        <f>CONCATENATE("Consumer Price Index for all urban consumers for calendar year ",J1-2)</f>
        <v>Consumer Price Index for all urban consumers for calendar year -2</v>
      </c>
      <c r="C36" s="713"/>
      <c r="D36" s="713"/>
      <c r="E36" s="713"/>
      <c r="F36" s="713"/>
      <c r="G36" s="713"/>
      <c r="H36" s="713"/>
      <c r="I36" s="713"/>
      <c r="J36" s="816">
        <f>inputPrYr!D9</f>
        <v>0</v>
      </c>
    </row>
    <row r="37" spans="1:10" ht="15.75">
      <c r="A37" s="708"/>
      <c r="B37" s="713"/>
      <c r="C37" s="713"/>
      <c r="D37" s="713"/>
      <c r="E37" s="713"/>
      <c r="F37" s="713"/>
      <c r="G37" s="713"/>
      <c r="H37" s="713"/>
      <c r="I37" s="713"/>
      <c r="J37" s="709"/>
    </row>
    <row r="38" spans="1:10" ht="15.75">
      <c r="A38" s="708" t="s">
        <v>790</v>
      </c>
      <c r="B38" s="713" t="s">
        <v>791</v>
      </c>
      <c r="C38" s="713"/>
      <c r="D38" s="713"/>
      <c r="E38" s="713"/>
      <c r="F38" s="713"/>
      <c r="G38" s="713"/>
      <c r="H38" s="713"/>
      <c r="I38" s="696" t="s">
        <v>113</v>
      </c>
      <c r="J38" s="703">
        <f>ROUND(J7*J36,0)</f>
        <v>0</v>
      </c>
    </row>
    <row r="39" spans="1:10" ht="15.75">
      <c r="A39" s="706"/>
      <c r="B39" s="713"/>
      <c r="C39" s="713"/>
      <c r="D39" s="713"/>
      <c r="E39" s="713"/>
      <c r="F39" s="713"/>
      <c r="G39" s="713"/>
      <c r="H39" s="713"/>
      <c r="I39" s="713"/>
      <c r="J39" s="704"/>
    </row>
    <row r="40" spans="1:10" ht="15.75">
      <c r="A40" s="706" t="s">
        <v>792</v>
      </c>
      <c r="B40" s="713" t="str">
        <f>CONCATENATE("Maximum levy for budget year ",J1,", including debt service, not requiring 'notice of vote publication'")</f>
        <v>Maximum levy for budget year 0, including debt service, not requiring 'notice of vote publication'</v>
      </c>
      <c r="C40" s="713"/>
      <c r="D40" s="713"/>
      <c r="E40" s="713"/>
      <c r="F40" s="713"/>
      <c r="G40" s="713"/>
      <c r="H40" s="713"/>
      <c r="I40" s="713"/>
      <c r="J40" s="702"/>
    </row>
    <row r="41" spans="1:10" ht="19.5" thickBot="1">
      <c r="A41" s="701"/>
      <c r="B41" s="696" t="s">
        <v>837</v>
      </c>
      <c r="C41" s="701"/>
      <c r="D41" s="701"/>
      <c r="E41" s="701"/>
      <c r="F41" s="701"/>
      <c r="G41" s="701"/>
      <c r="H41" s="701"/>
      <c r="I41" s="696" t="s">
        <v>113</v>
      </c>
      <c r="J41" s="707">
        <f>J34+J38</f>
        <v>0</v>
      </c>
    </row>
    <row r="42" spans="1:10" ht="19.5" thickTop="1">
      <c r="A42" s="701"/>
      <c r="B42" s="710"/>
      <c r="C42" s="701"/>
      <c r="D42" s="701"/>
      <c r="E42" s="701"/>
      <c r="F42" s="701"/>
      <c r="G42" s="701"/>
      <c r="H42" s="701"/>
      <c r="I42" s="696"/>
      <c r="J42" s="704"/>
    </row>
    <row r="43" spans="1:10" ht="18.75">
      <c r="A43" s="701"/>
      <c r="B43" s="710"/>
      <c r="C43" s="701"/>
      <c r="D43" s="701"/>
      <c r="E43" s="701"/>
      <c r="F43" s="701"/>
      <c r="G43" s="701"/>
      <c r="H43" s="701"/>
      <c r="I43" s="696"/>
      <c r="J43" s="704"/>
    </row>
    <row r="44" spans="1:10" ht="15" customHeight="1">
      <c r="A44" s="915" t="str">
        <f>CONCATENATE("If the ",J1," adopted budget includes a total property tax levy exceeding the dollar amount in line 17")</f>
        <v>If the 0 adopted budget includes a total property tax levy exceeding the dollar amount in line 17</v>
      </c>
      <c r="B44" s="915"/>
      <c r="C44" s="915"/>
      <c r="D44" s="915"/>
      <c r="E44" s="915"/>
      <c r="F44" s="915"/>
      <c r="G44" s="915"/>
      <c r="H44" s="915"/>
      <c r="I44" s="915"/>
      <c r="J44" s="915"/>
    </row>
    <row r="45" spans="1:10" ht="31.5" customHeight="1">
      <c r="A45" s="914" t="s">
        <v>838</v>
      </c>
      <c r="B45" s="914"/>
      <c r="C45" s="914"/>
      <c r="D45" s="914"/>
      <c r="E45" s="914"/>
      <c r="F45" s="914"/>
      <c r="G45" s="914"/>
      <c r="H45" s="914"/>
      <c r="I45" s="914"/>
      <c r="J45" s="914"/>
    </row>
    <row r="46" spans="1:10" ht="15" customHeight="1">
      <c r="A46" s="913" t="s">
        <v>793</v>
      </c>
      <c r="B46" s="913"/>
      <c r="C46" s="913"/>
      <c r="D46" s="913"/>
      <c r="E46" s="913"/>
      <c r="F46" s="913"/>
      <c r="G46" s="913"/>
      <c r="H46" s="913"/>
      <c r="I46" s="913"/>
      <c r="J46" s="913"/>
    </row>
    <row r="47" spans="1:10" ht="15" customHeight="1">
      <c r="A47" s="913" t="s">
        <v>794</v>
      </c>
      <c r="B47" s="913"/>
      <c r="C47" s="913"/>
      <c r="D47" s="913"/>
      <c r="E47" s="913"/>
      <c r="F47" s="913"/>
      <c r="G47" s="913"/>
      <c r="H47" s="913"/>
      <c r="I47" s="913"/>
      <c r="J47" s="91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Rbasinge</cp:lastModifiedBy>
  <cp:lastPrinted>2018-04-20T02:35:27Z</cp:lastPrinted>
  <dcterms:created xsi:type="dcterms:W3CDTF">1998-08-26T16:30:41Z</dcterms:created>
  <dcterms:modified xsi:type="dcterms:W3CDTF">2018-04-25T13:36:20Z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