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0"/>
  </bookViews>
  <sheets>
    <sheet name="Instructions" sheetId="1" r:id="rId1"/>
    <sheet name="inputPrYr" sheetId="2" r:id="rId2"/>
    <sheet name="inputOth" sheetId="3" r:id="rId3"/>
    <sheet name="inputBudSum" sheetId="4" r:id="rId4"/>
    <sheet name="CPA Summary" sheetId="5" r:id="rId5"/>
    <sheet name="cert" sheetId="6" r:id="rId6"/>
    <sheet name="Comp1" sheetId="7" r:id="rId7"/>
    <sheet name="Comp2" sheetId="8" r:id="rId8"/>
    <sheet name="Comp3" sheetId="9" r:id="rId9"/>
    <sheet name="mvalloc" sheetId="10" r:id="rId10"/>
    <sheet name="transfers" sheetId="11" r:id="rId11"/>
    <sheet name="TransferStatutes" sheetId="12" r:id="rId12"/>
    <sheet name="debt" sheetId="13" r:id="rId13"/>
    <sheet name="lpform" sheetId="14" r:id="rId14"/>
    <sheet name="Library Grant" sheetId="15" r:id="rId15"/>
    <sheet name="general" sheetId="16" r:id="rId16"/>
    <sheet name="GenDetail" sheetId="17" r:id="rId17"/>
    <sheet name="DebtService" sheetId="18" r:id="rId18"/>
    <sheet name="Library-Rec" sheetId="19" r:id="rId19"/>
    <sheet name="levy page9" sheetId="20" r:id="rId20"/>
    <sheet name="levy page10" sheetId="21" r:id="rId21"/>
    <sheet name="levy page11" sheetId="22" r:id="rId22"/>
    <sheet name="levy page12" sheetId="23" r:id="rId23"/>
    <sheet name="levy page13" sheetId="24" r:id="rId24"/>
    <sheet name="Sp Hiway" sheetId="25" r:id="rId25"/>
    <sheet name="no levy page15" sheetId="26" r:id="rId26"/>
    <sheet name="no levy page16" sheetId="27" r:id="rId27"/>
    <sheet name="no levy page17" sheetId="28" r:id="rId28"/>
    <sheet name="no levy page18" sheetId="29" r:id="rId29"/>
    <sheet name="no levy page19" sheetId="30" r:id="rId30"/>
    <sheet name="no levy page20" sheetId="31" r:id="rId31"/>
    <sheet name="no levy page21" sheetId="32" r:id="rId32"/>
    <sheet name="SinNoLevy22" sheetId="33" r:id="rId33"/>
    <sheet name="SinNoLevy23" sheetId="34" r:id="rId34"/>
    <sheet name="SinNoLevy24" sheetId="35" r:id="rId35"/>
    <sheet name="SinNoLevy25" sheetId="36" r:id="rId36"/>
    <sheet name="NonBudA" sheetId="37" r:id="rId37"/>
    <sheet name="NonBudB" sheetId="38" r:id="rId38"/>
    <sheet name="NonBudC" sheetId="39" r:id="rId39"/>
    <sheet name="NonBudD" sheetId="40" r:id="rId40"/>
    <sheet name="NonBudFunds" sheetId="41" r:id="rId41"/>
    <sheet name="summ" sheetId="42" r:id="rId42"/>
    <sheet name="nhood" sheetId="43" r:id="rId43"/>
    <sheet name="Tab A" sheetId="44" r:id="rId44"/>
    <sheet name="Tab B" sheetId="45" r:id="rId45"/>
    <sheet name="Tab C" sheetId="46" r:id="rId46"/>
    <sheet name="Tab D" sheetId="47" r:id="rId47"/>
    <sheet name="Tab E" sheetId="48" r:id="rId48"/>
    <sheet name="Mill Rate Computation" sheetId="49" r:id="rId49"/>
    <sheet name="Helpful Links" sheetId="50" r:id="rId50"/>
    <sheet name="legend" sheetId="51" r:id="rId51"/>
  </sheets>
  <definedNames>
    <definedName name="_xlnm.Print_Area" localSheetId="6">'Comp1'!$A$1:$J$54</definedName>
    <definedName name="_xlnm.Print_Area" localSheetId="17">'DebtService'!$B$1:$E$66</definedName>
    <definedName name="_xlnm.Print_Area" localSheetId="15">'general'!$B$1:$E$123</definedName>
    <definedName name="_xlnm.Print_Area" localSheetId="1">'inputPrYr'!$A$1:$E$133</definedName>
    <definedName name="_xlnm.Print_Area" localSheetId="20">'levy page10'!$B$1:$E$86</definedName>
    <definedName name="_xlnm.Print_Area" localSheetId="21">'levy page11'!$A$1:$E$81</definedName>
    <definedName name="_xlnm.Print_Area" localSheetId="22">'levy page12'!$A$1:$E$82</definedName>
    <definedName name="_xlnm.Print_Area" localSheetId="23">'levy page13'!$A$1:$E$86</definedName>
    <definedName name="_xlnm.Print_Area" localSheetId="19">'levy page9'!$A$1:$E$81</definedName>
    <definedName name="_xlnm.Print_Area" localSheetId="14">'Library Grant'!$A$1:$J$40</definedName>
    <definedName name="_xlnm.Print_Area" localSheetId="18">'Library-Rec'!$B$1:$E$86</definedName>
    <definedName name="_xlnm.Print_Area" localSheetId="13">'lpform'!$B$1:$I$38</definedName>
    <definedName name="_xlnm.Print_Area" localSheetId="48">'Mill Rate Computation'!$B$1:$W$147</definedName>
    <definedName name="_xlnm.Print_Area" localSheetId="41">'summ'!$A$1:$H$73</definedName>
  </definedNames>
  <calcPr fullCalcOnLoad="1"/>
</workbook>
</file>

<file path=xl/sharedStrings.xml><?xml version="1.0" encoding="utf-8"?>
<sst xmlns="http://schemas.openxmlformats.org/spreadsheetml/2006/main" count="2459" uniqueCount="1095">
  <si>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</si>
  <si>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</si>
  <si>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</si>
  <si>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</si>
  <si>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</si>
  <si>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</si>
  <si>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</si>
  <si>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</si>
  <si>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</si>
  <si>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</si>
  <si>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</si>
  <si>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</si>
  <si>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</si>
  <si>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</si>
  <si>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</si>
  <si>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</si>
  <si>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</si>
  <si>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</si>
  <si>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</si>
  <si>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</si>
  <si>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</si>
  <si>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</si>
  <si>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</si>
  <si>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</si>
  <si>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</si>
  <si>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</si>
  <si>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</si>
  <si>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</si>
  <si>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</si>
  <si>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</si>
  <si>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</si>
  <si>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</si>
  <si>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</si>
  <si>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</si>
  <si>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</si>
  <si>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</si>
  <si>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</si>
  <si>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</si>
  <si>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</si>
  <si>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</si>
  <si>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</si>
  <si>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</si>
  <si>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</si>
  <si>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</si>
  <si>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</si>
  <si>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</si>
  <si>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</si>
  <si>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</si>
  <si>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</si>
  <si>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</si>
  <si>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</si>
  <si>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</si>
  <si>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</si>
  <si>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</si>
  <si>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</si>
  <si>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</si>
  <si>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</si>
  <si>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</si>
  <si>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</si>
  <si>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</si>
  <si>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</si>
  <si>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</si>
  <si>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</si>
  <si>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</si>
  <si>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</si>
  <si>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</si>
  <si>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</si>
  <si>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</si>
  <si>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</si>
  <si>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</si>
  <si>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</si>
  <si>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</si>
  <si>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</si>
  <si>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</si>
  <si>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</si>
  <si>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</si>
  <si>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</si>
  <si>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</si>
  <si>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</si>
  <si>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</si>
  <si>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</si>
  <si>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</si>
  <si>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</si>
  <si>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</si>
  <si>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</si>
  <si>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</si>
  <si>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</si>
  <si>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</si>
  <si>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</si>
  <si>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</si>
  <si>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</si>
  <si>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</si>
  <si>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</si>
  <si>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</si>
  <si>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</si>
  <si>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</si>
  <si>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</si>
  <si>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</si>
  <si>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</si>
  <si>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</si>
  <si>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</si>
  <si>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</si>
  <si>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</si>
  <si>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</si>
  <si>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</si>
  <si>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</si>
  <si>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</si>
  <si>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</si>
  <si>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</si>
  <si>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</si>
  <si>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</si>
  <si>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</si>
  <si>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</si>
  <si>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</si>
  <si>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</si>
  <si>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</si>
  <si>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</si>
  <si>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</si>
  <si>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</si>
  <si>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</si>
  <si>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</si>
  <si>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</si>
  <si>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</si>
  <si>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</si>
  <si>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</si>
  <si>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</si>
  <si>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</si>
  <si>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</si>
  <si>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</si>
  <si>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</si>
  <si>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</si>
  <si>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</si>
  <si>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</si>
  <si>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</si>
  <si>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</si>
  <si>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</si>
  <si>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</si>
  <si>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</si>
  <si>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</si>
  <si>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</si>
  <si>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</si>
  <si>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</si>
  <si>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</si>
  <si>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</si>
  <si>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</si>
  <si>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</si>
  <si>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</si>
  <si>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</si>
  <si>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</si>
  <si>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</si>
  <si>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</si>
  <si>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</si>
  <si>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</si>
  <si>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</si>
  <si>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</si>
  <si>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</si>
  <si>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</si>
  <si>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</si>
  <si>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</si>
  <si>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</si>
  <si>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</si>
  <si>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</si>
  <si>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</si>
  <si>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</si>
  <si>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</si>
  <si>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</si>
  <si>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</si>
  <si>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</si>
  <si>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</si>
  <si>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</si>
  <si>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</si>
  <si>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</si>
  <si>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</si>
  <si>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</si>
  <si>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</si>
  <si>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</si>
  <si>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</si>
  <si>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</si>
  <si>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</si>
  <si>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</si>
  <si>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</si>
  <si>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</si>
  <si>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</si>
  <si>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</si>
  <si>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</si>
  <si>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</si>
  <si>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</si>
  <si>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</si>
  <si>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</si>
  <si>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</si>
  <si>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</si>
  <si>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</si>
  <si>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</si>
  <si>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</si>
  <si>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</si>
  <si>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</si>
  <si>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</si>
  <si>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</si>
  <si>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</si>
  <si>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</si>
  <si>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</si>
  <si>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</si>
  <si>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</si>
  <si>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</si>
  <si>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</si>
  <si>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</si>
  <si>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</si>
  <si>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</si>
  <si>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</si>
  <si>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</si>
  <si>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</si>
  <si>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</si>
  <si>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</si>
  <si>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</si>
  <si>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</si>
  <si>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</si>
  <si>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</si>
  <si>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</si>
  <si>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</si>
  <si>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</si>
  <si>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</si>
  <si>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</si>
  <si>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</si>
  <si>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</si>
  <si>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</si>
  <si>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</si>
  <si>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</si>
  <si>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</si>
  <si>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</si>
  <si>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</si>
  <si>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</si>
  <si>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</si>
  <si>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</si>
  <si>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</si>
  <si>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</si>
  <si>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</si>
  <si>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</si>
  <si>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</si>
  <si>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</si>
  <si>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</si>
  <si>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</si>
  <si>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</si>
  <si>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</si>
  <si>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</si>
  <si>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</si>
  <si>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</si>
  <si>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</si>
  <si>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</si>
  <si>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</si>
  <si>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</si>
  <si>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</si>
  <si>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</si>
  <si>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</si>
  <si>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</si>
  <si>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</si>
  <si>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</si>
  <si>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</si>
  <si>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</si>
  <si>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</si>
  <si>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</si>
  <si>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</si>
  <si>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</si>
  <si>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</si>
  <si>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</si>
  <si>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</si>
  <si>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</si>
  <si>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</si>
  <si>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</si>
  <si>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Funds-C</t>
  </si>
  <si>
    <t>Non-Budgeted Funds-D</t>
  </si>
  <si>
    <t>Non-Budgeted Funds-B</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</si>
  <si>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</si>
  <si>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</si>
  <si>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</si>
  <si>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</si>
  <si>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</si>
  <si>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</si>
  <si>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</si>
  <si>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</si>
  <si>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</si>
  <si>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</si>
  <si>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</si>
  <si>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</si>
  <si>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</si>
  <si>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</si>
  <si>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</si>
  <si>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</si>
  <si>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</si>
  <si>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</si>
  <si>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</si>
  <si>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</si>
  <si>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</si>
  <si>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</si>
  <si>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</si>
  <si>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</si>
  <si>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</si>
  <si>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</si>
  <si>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</si>
  <si>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</si>
  <si>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</si>
  <si>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</si>
  <si>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Budget Summary</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</si>
  <si>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</si>
  <si>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</si>
  <si>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</si>
  <si>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</si>
  <si>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</si>
  <si>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</si>
  <si>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</si>
  <si>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</si>
  <si>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</si>
  <si>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</si>
  <si>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</si>
  <si>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</si>
  <si>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</si>
  <si>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</si>
  <si>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</si>
  <si>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</si>
  <si>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</si>
  <si>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</si>
  <si>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1. Mvalloc tab, change table reference for each cell from 'D' to 'E'</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</si>
  <si>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</si>
  <si>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</si>
  <si>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</si>
  <si>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</si>
  <si>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</si>
  <si>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</si>
  <si>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</si>
  <si>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</si>
  <si>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</si>
  <si>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</si>
  <si>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</si>
  <si>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</si>
  <si>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</si>
  <si>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</si>
  <si>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</si>
  <si>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</si>
  <si>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</si>
  <si>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</si>
  <si>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</si>
  <si>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</si>
  <si>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</si>
  <si>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</si>
  <si>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</si>
  <si>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</si>
  <si>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</si>
  <si>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</si>
  <si>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</si>
  <si>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</si>
  <si>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</si>
  <si>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</si>
  <si>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</si>
  <si>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</si>
  <si>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</si>
  <si>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</si>
  <si>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</si>
  <si>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</si>
  <si>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</si>
  <si>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</si>
  <si>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</si>
  <si>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</si>
  <si>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</si>
  <si>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</si>
  <si>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</si>
  <si>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</si>
  <si>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</si>
  <si>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</si>
  <si>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</si>
  <si>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</si>
  <si>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</si>
  <si>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</si>
  <si>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</si>
  <si>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</si>
  <si>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</si>
  <si>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</si>
  <si>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</si>
  <si>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</si>
  <si>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</si>
  <si>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</si>
  <si>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</si>
  <si>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</si>
  <si>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</si>
  <si>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</si>
  <si>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</si>
  <si>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</si>
  <si>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</si>
  <si>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</si>
  <si>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</si>
  <si>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</si>
  <si>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</si>
  <si>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</si>
  <si>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</si>
  <si>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</si>
  <si>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</si>
  <si>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</si>
  <si>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</si>
  <si>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</si>
  <si>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</si>
  <si>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</si>
  <si>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</si>
  <si>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</si>
  <si>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</si>
  <si>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</si>
  <si>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</si>
  <si>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</si>
  <si>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</si>
  <si>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</si>
  <si>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</si>
  <si>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</si>
  <si>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</si>
  <si>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</si>
  <si>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</si>
  <si>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</si>
  <si>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</si>
  <si>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</si>
  <si>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</si>
  <si>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</si>
  <si>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</si>
  <si>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</si>
  <si>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</si>
  <si>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</si>
  <si>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</si>
  <si>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</si>
  <si>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</si>
  <si>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</si>
  <si>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</si>
  <si>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</si>
  <si>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</si>
  <si>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</si>
  <si>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</si>
  <si>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</si>
  <si>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</si>
  <si>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</si>
  <si>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</si>
  <si>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</si>
  <si>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</si>
  <si>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</si>
  <si>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</si>
  <si>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</si>
  <si>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</si>
  <si>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</si>
  <si>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</si>
  <si>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</si>
  <si>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</si>
  <si>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</si>
  <si>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</si>
  <si>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</si>
  <si>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</si>
  <si>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</si>
  <si>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</si>
  <si>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</si>
  <si>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</si>
  <si>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</si>
  <si>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</si>
  <si>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</si>
  <si>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</si>
  <si>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</si>
  <si>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</si>
  <si>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</si>
  <si>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</si>
  <si>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</si>
  <si>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</si>
  <si>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</si>
  <si>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</si>
  <si>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</si>
  <si>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</si>
  <si>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</si>
  <si>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</si>
  <si>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</si>
  <si>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</si>
  <si>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</si>
  <si>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</si>
  <si>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</si>
  <si>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</si>
  <si>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</si>
  <si>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</si>
  <si>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</si>
  <si>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</si>
  <si>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</si>
  <si>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</si>
  <si>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</si>
  <si>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</si>
  <si>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</si>
  <si>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</si>
  <si>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</si>
  <si>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</si>
  <si>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</si>
  <si>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</si>
  <si>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</si>
  <si>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</si>
  <si>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</si>
  <si>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</si>
  <si>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</si>
  <si>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</si>
  <si>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</si>
  <si>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</si>
  <si>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</si>
  <si>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</si>
  <si>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</si>
  <si>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</si>
  <si>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</si>
  <si>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</si>
  <si>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</si>
  <si>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</si>
  <si>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</si>
  <si>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</si>
  <si>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</si>
  <si>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</si>
  <si>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</si>
  <si>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</si>
  <si>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</si>
  <si>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</si>
  <si>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</si>
  <si>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</si>
  <si>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</si>
  <si>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</si>
  <si>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</si>
  <si>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</si>
  <si>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</si>
  <si>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</si>
  <si>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</si>
  <si>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</si>
  <si>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</si>
  <si>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</si>
  <si>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</si>
  <si>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</si>
  <si>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</si>
  <si>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</si>
  <si>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</si>
  <si>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</si>
  <si>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</si>
  <si>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</si>
  <si>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</si>
  <si>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</si>
  <si>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</si>
  <si>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</si>
  <si>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</si>
  <si>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</si>
  <si>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</si>
  <si>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</si>
  <si>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</si>
  <si>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</si>
  <si>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</si>
  <si>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</si>
  <si>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</si>
  <si>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</si>
  <si>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</si>
  <si>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</si>
  <si>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</si>
  <si>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</si>
  <si>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</si>
  <si>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</si>
  <si>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</si>
  <si>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</si>
  <si>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</si>
  <si>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</si>
  <si>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</si>
  <si>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</si>
  <si>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</si>
  <si>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</si>
  <si>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</si>
  <si>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</si>
  <si>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</si>
  <si>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</si>
  <si>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</si>
  <si>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</si>
  <si>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</si>
  <si>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</si>
  <si>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</si>
  <si>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</si>
  <si>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</si>
  <si>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</si>
  <si>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</si>
  <si>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</si>
  <si>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</si>
  <si>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</si>
  <si>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</si>
  <si>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</si>
  <si>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</si>
  <si>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</si>
  <si>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</si>
  <si>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</si>
  <si>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</si>
  <si>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</si>
  <si>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</si>
  <si>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</si>
  <si>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</si>
  <si>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</si>
  <si>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</si>
  <si>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</si>
  <si>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</si>
  <si>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</si>
  <si>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</si>
  <si>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</si>
  <si>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</si>
  <si>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</si>
  <si>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</si>
  <si>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</si>
  <si>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</si>
  <si>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</si>
  <si>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</si>
  <si>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</si>
  <si>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</si>
  <si>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</si>
  <si>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</si>
  <si>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</si>
  <si>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</si>
  <si>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</si>
  <si>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</si>
  <si>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</si>
  <si>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</si>
  <si>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</si>
  <si>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</si>
  <si>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</si>
  <si>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</si>
  <si>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</si>
  <si>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</si>
  <si>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</si>
  <si>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</si>
  <si>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</si>
  <si>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</si>
  <si>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</si>
  <si>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</si>
  <si>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</si>
  <si>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</si>
  <si>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</si>
  <si>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</si>
  <si>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</si>
  <si>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</si>
  <si>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</si>
  <si>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</si>
  <si>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Recreation</t>
  </si>
  <si>
    <t>12-1927</t>
  </si>
  <si>
    <t>Totals for City</t>
  </si>
  <si>
    <t>Totals  Includes Recreation</t>
  </si>
  <si>
    <t>Imposed Levy Limit (City's Historical Records)</t>
  </si>
  <si>
    <t>Fund Name</t>
  </si>
  <si>
    <t>Mill Rate Limit</t>
  </si>
  <si>
    <t>Ordinance Number:</t>
  </si>
  <si>
    <t>for Expenditures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</si>
  <si>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</si>
  <si>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</si>
  <si>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</si>
  <si>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</si>
  <si>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</si>
  <si>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</si>
  <si>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</si>
  <si>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</si>
  <si>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</si>
  <si>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</si>
  <si>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</si>
  <si>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</si>
  <si>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</si>
  <si>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</si>
  <si>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</si>
  <si>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</si>
  <si>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</si>
  <si>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</si>
  <si>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</si>
  <si>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</si>
  <si>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</si>
  <si>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</si>
  <si>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</si>
  <si>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</si>
  <si>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</si>
  <si>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</si>
  <si>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</si>
  <si>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</si>
  <si>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</si>
  <si>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</si>
  <si>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</si>
  <si>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</si>
  <si>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</si>
  <si>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</si>
  <si>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</si>
  <si>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</si>
  <si>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</si>
  <si>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</si>
  <si>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</si>
  <si>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</si>
  <si>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</si>
  <si>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</si>
  <si>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</si>
  <si>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</si>
  <si>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</si>
  <si>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</si>
  <si>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</si>
  <si>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</si>
  <si>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</si>
  <si>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</si>
  <si>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</si>
  <si>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</si>
  <si>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</si>
  <si>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</si>
  <si>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</si>
  <si>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</si>
  <si>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</si>
  <si>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</si>
  <si>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</si>
  <si>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</si>
  <si>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</si>
  <si>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</si>
  <si>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</si>
  <si>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</si>
  <si>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</si>
  <si>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</si>
  <si>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</si>
  <si>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</si>
  <si>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</si>
  <si>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</si>
  <si>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</si>
  <si>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</si>
  <si>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</si>
  <si>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</si>
  <si>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</si>
  <si>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</si>
  <si>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</si>
  <si>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</si>
  <si>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</si>
  <si>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</si>
  <si>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</si>
  <si>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</si>
  <si>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</si>
  <si>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</si>
  <si>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</si>
  <si>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</si>
  <si>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</si>
  <si>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</si>
  <si>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</si>
  <si>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</si>
  <si>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</si>
  <si>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</si>
  <si>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</si>
  <si>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</si>
  <si>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</si>
  <si>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</si>
  <si>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</si>
  <si>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</si>
  <si>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</si>
  <si>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</si>
  <si>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</si>
  <si>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</si>
  <si>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</si>
  <si>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3. Instruction tab added lines 4c (cert-rec), 11b (fund-rec), 11c (signature), 11d (last year mill rate), 11e (desired mill rate), 10a(project carryover), 10b (Desired Carryover), and 14 (protection)</t>
  </si>
  <si>
    <t>Totals Includes Recreation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</si>
  <si>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</si>
  <si>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</si>
  <si>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</si>
  <si>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</si>
  <si>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</si>
  <si>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</si>
  <si>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</si>
  <si>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</si>
  <si>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</si>
  <si>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</si>
  <si>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</si>
  <si>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</si>
  <si>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</si>
  <si>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The estimated value of one mill would be:</t>
  </si>
  <si>
    <t>Change in Ad Valorem Tax Revenue:</t>
  </si>
  <si>
    <t>What Mill Rate Would Be Desired?</t>
  </si>
  <si>
    <t>Official Title:</t>
  </si>
  <si>
    <t>City Clerk, City Treasurer, Mayor</t>
  </si>
  <si>
    <t>34. Added four more no tax levy fund pages</t>
  </si>
  <si>
    <t>Compensating Use Tax</t>
  </si>
  <si>
    <t>Local Sales Tax</t>
  </si>
  <si>
    <t>Franchise Tax</t>
  </si>
  <si>
    <t>Licenses</t>
  </si>
  <si>
    <t>Desired Carryover Amount:</t>
  </si>
  <si>
    <t>Estimated Mill Rate Impact:</t>
  </si>
  <si>
    <t>35.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</si>
  <si>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</si>
  <si>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</si>
  <si>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</si>
  <si>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</si>
  <si>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</si>
  <si>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</si>
  <si>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</si>
  <si>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</si>
  <si>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</si>
  <si>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</si>
  <si>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</si>
  <si>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</si>
  <si>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1. Mvalloc tab change c19, d19, and e19 formula from InputPrYrE30 to E32</t>
  </si>
  <si>
    <t>1. Summ tab changed proposed year expenditure column to 'Budget Authority for Expenditures'</t>
  </si>
  <si>
    <t>Library</t>
  </si>
  <si>
    <t>12-1220</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</si>
  <si>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</si>
  <si>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</si>
  <si>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</si>
  <si>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</si>
  <si>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</si>
  <si>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</si>
  <si>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</si>
  <si>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</si>
  <si>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</si>
  <si>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</si>
  <si>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</si>
  <si>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</si>
  <si>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</si>
  <si>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</si>
  <si>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 xml:space="preserve">Prior Year </t>
  </si>
  <si>
    <t xml:space="preserve">Current Year </t>
  </si>
  <si>
    <t xml:space="preserve">Proposed Budget </t>
  </si>
  <si>
    <t>Expenditures Must Be Changed by:</t>
  </si>
  <si>
    <t>Mill Rate Comparison</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</si>
  <si>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</si>
  <si>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</si>
  <si>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</si>
  <si>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</si>
  <si>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</si>
  <si>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</si>
  <si>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</si>
  <si>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</si>
  <si>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</si>
  <si>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</si>
  <si>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</si>
  <si>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</si>
  <si>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</si>
  <si>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</si>
  <si>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</si>
  <si>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</si>
  <si>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</si>
  <si>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</si>
  <si>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</si>
  <si>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</si>
  <si>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</si>
  <si>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</si>
  <si>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</si>
  <si>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</si>
  <si>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</si>
  <si>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</si>
  <si>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</si>
  <si>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</si>
  <si>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</si>
  <si>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</si>
  <si>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</si>
  <si>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</si>
  <si>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</si>
  <si>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</si>
  <si>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</si>
  <si>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</si>
  <si>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</si>
  <si>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</si>
  <si>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</si>
  <si>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</si>
  <si>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</si>
  <si>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</si>
  <si>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</si>
  <si>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</si>
  <si>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</si>
  <si>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</si>
  <si>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</si>
  <si>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</si>
  <si>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</si>
  <si>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</si>
  <si>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</si>
  <si>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</si>
  <si>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</si>
  <si>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</si>
  <si>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</si>
  <si>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</si>
  <si>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</si>
  <si>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</si>
  <si>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</si>
  <si>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 Debt</t>
  </si>
  <si>
    <t>Type of</t>
  </si>
  <si>
    <t xml:space="preserve"> Purchased</t>
  </si>
  <si>
    <t>Items</t>
  </si>
  <si>
    <t>Email:</t>
  </si>
  <si>
    <t>________________________  __________________________</t>
  </si>
  <si>
    <t>Allocation of MVT, RVT, 16/20M Vehicle Tax</t>
  </si>
  <si>
    <t>Delinquency % used in this budget will be shown on all fund pages with a tax levy**</t>
  </si>
  <si>
    <t>Expenditures Must Be Changed By:</t>
  </si>
  <si>
    <t xml:space="preserve">Amounts used in lieu of </t>
  </si>
  <si>
    <t>Prior Year</t>
  </si>
  <si>
    <t>Proposed Budget</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</si>
  <si>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</si>
  <si>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</si>
  <si>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</si>
  <si>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</si>
  <si>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</si>
  <si>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</si>
  <si>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</si>
  <si>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</si>
  <si>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</si>
  <si>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</si>
  <si>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</si>
  <si>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</si>
  <si>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</si>
  <si>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</si>
  <si>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</si>
  <si>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</si>
  <si>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</si>
  <si>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</si>
  <si>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</si>
  <si>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</si>
  <si>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</si>
  <si>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</si>
  <si>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</si>
  <si>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</si>
  <si>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</si>
  <si>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</si>
  <si>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</si>
  <si>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</si>
  <si>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</si>
  <si>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</si>
  <si>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</si>
  <si>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</si>
  <si>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</si>
  <si>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</si>
  <si>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</si>
  <si>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</si>
  <si>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</si>
  <si>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</si>
  <si>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</si>
  <si>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</si>
  <si>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</si>
  <si>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(DebtService), Library and Recreation (Library-Rec),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</si>
  <si>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</si>
  <si>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</si>
  <si>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</si>
  <si>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</si>
  <si>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</si>
  <si>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</si>
  <si>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</si>
  <si>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</si>
  <si>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</si>
  <si>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</si>
  <si>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</si>
  <si>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</si>
  <si>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</si>
  <si>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</si>
  <si>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</si>
  <si>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</si>
  <si>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</si>
  <si>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</si>
  <si>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</si>
  <si>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</si>
  <si>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</si>
  <si>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</si>
  <si>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</si>
  <si>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</si>
  <si>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</si>
  <si>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</si>
  <si>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</si>
  <si>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</si>
  <si>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38.  Add Library-Rec tab, in comparison block j83 "Exceed Mill Rate", cell f79 'Reduce', cell f80 shows amount that needs to be reduce
</t>
  </si>
  <si>
    <r>
      <t>11p. On the Recreation (Library-Rec) fund page, in the 'Comparison ' block, if the mill levy is exceeded, then a statement will appear "</t>
    </r>
    <r>
      <rPr>
        <sz val="12"/>
        <color indexed="10"/>
        <rFont val="Times New Roman"/>
        <family val="1"/>
      </rPr>
      <t>Exceed Mill Rate</t>
    </r>
    <r>
      <rPr>
        <sz val="12"/>
        <rFont val="Times New Roman"/>
        <family val="1"/>
      </rPr>
      <t>".  Additionally, in column 'E' we will have "</t>
    </r>
    <r>
      <rPr>
        <sz val="12"/>
        <color indexed="10"/>
        <rFont val="Times New Roman"/>
        <family val="1"/>
      </rPr>
      <t>Reduce</t>
    </r>
    <r>
      <rPr>
        <sz val="12"/>
        <rFont val="Times New Roman"/>
        <family val="1"/>
      </rPr>
      <t>" and "</t>
    </r>
    <r>
      <rPr>
        <sz val="12"/>
        <color indexed="10"/>
        <rFont val="Times New Roman"/>
        <family val="1"/>
      </rPr>
      <t>negative $ amount</t>
    </r>
    <r>
      <rPr>
        <sz val="12"/>
        <rFont val="Times New Roman"/>
        <family val="1"/>
      </rPr>
      <t xml:space="preserve"> " will appear.  Reduce means the negative $ amount must be used to reduced the expenditures amount to bring the mill rate under the max levy rate.  </t>
    </r>
    <r>
      <rPr>
        <sz val="12"/>
        <color indexed="10"/>
        <rFont val="Times New Roman"/>
        <family val="1"/>
      </rPr>
      <t>Notice:</t>
    </r>
    <r>
      <rPr>
        <sz val="12"/>
        <rFont val="Times New Roman"/>
        <family val="1"/>
      </rPr>
      <t xml:space="preserve">  if NR rebate is computed, this will cause the expenditures to increase, so you will need to readjust.</t>
    </r>
  </si>
  <si>
    <t>City 2 spreadsheets has General Fund page (general), Debt Service (DebtService), Library and Recreation page (Library-Rec),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</si>
  <si>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</si>
  <si>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#5d to show on Certificate page the table for Library Grant</t>
  </si>
  <si>
    <t>1. Library Grant tab, updated State Library e-mail contact address</t>
  </si>
  <si>
    <t>1. Corrected addition computation in column D, inputPrYr tab</t>
  </si>
  <si>
    <t>1.  Added "ordinance required?  yes/no" message to area adjacent to each tax levy fund</t>
  </si>
  <si>
    <t>1.  Instruction tab narrative modification</t>
  </si>
  <si>
    <t>1.  Corrected formulas and changed formatting in Certificate page cells F22, F58, and G58</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</si>
  <si>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</si>
  <si>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</si>
  <si>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</si>
  <si>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</si>
  <si>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</si>
  <si>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</si>
  <si>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</si>
  <si>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18.</t>
  </si>
  <si>
    <t>Increase in personal property (5a minus 5b)</t>
  </si>
  <si>
    <t>Real estate</t>
  </si>
  <si>
    <t>State assessed</t>
  </si>
  <si>
    <t>New improvements</t>
  </si>
  <si>
    <t>Total adjustment (sum of 6a, 6b, and 6c)</t>
  </si>
  <si>
    <t>1.  Several changes to workbook associated with 2014 HB 2047.</t>
  </si>
  <si>
    <t>The following changes were made to this workbook on 5/8/14</t>
  </si>
  <si>
    <t>The following changes were made to this workbook on 4/7/14</t>
  </si>
  <si>
    <t>The following changes were made to this workbook on 10/14/13</t>
  </si>
  <si>
    <t>The following changes were made to this workbook on 3/21/13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</si>
  <si>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</si>
  <si>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</si>
  <si>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</si>
  <si>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</si>
  <si>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</si>
  <si>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4/19/11</t>
  </si>
  <si>
    <t>The following changes were made to this workbook on 4/8/11</t>
  </si>
  <si>
    <t>The following changes were made to this workbook on 8/29/10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</si>
  <si>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</si>
  <si>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</si>
  <si>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</si>
  <si>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</si>
  <si>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on7/16/09</t>
  </si>
  <si>
    <t>The following changes were made to this workbook on 7/9/14</t>
  </si>
  <si>
    <t>1.  Correction to formula in cell j44 of the computation tab worksheet.</t>
  </si>
  <si>
    <t>1.  Update of State Library contact name on library grant tab.</t>
  </si>
  <si>
    <t>The following changes were made to this workbook on 8/13/14</t>
  </si>
  <si>
    <t>City2 with Recreation Budget Workbook Instructions</t>
  </si>
  <si>
    <t>Input Sheet for City2 with Recreation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</si>
  <si>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</si>
  <si>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</si>
  <si>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</si>
  <si>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</si>
  <si>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</si>
  <si>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</si>
  <si>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</si>
  <si>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Commercial Vehicle Tax Estimate</t>
  </si>
  <si>
    <t>Watercraft Tax Estimate</t>
  </si>
  <si>
    <t xml:space="preserve">Ad Valorem Levy </t>
  </si>
  <si>
    <t>Comm Veh</t>
  </si>
  <si>
    <t>Watercraft</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</si>
  <si>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</si>
  <si>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</si>
  <si>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</si>
  <si>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</si>
  <si>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</si>
  <si>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</si>
  <si>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</si>
  <si>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</si>
  <si>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 xml:space="preserve">Allocation of MV, RV, 16/20M, Commercial Vehicle, and Watercraft Tax Estimates </t>
  </si>
  <si>
    <t>1.  Various workbook changes associated with commercial vehicle and watercraft tax estimates.</t>
  </si>
  <si>
    <t>The following changes were made to this workbook on 9/24/14</t>
  </si>
  <si>
    <t>The following changes were made to this workbook on 1/21/15</t>
  </si>
  <si>
    <t>1.  Inserted 2014 CPI percentage on computation tab.</t>
  </si>
  <si>
    <t>2.  Corrected formula in cell d24 of library grant tab.</t>
  </si>
  <si>
    <t>The following changes were made to this workbook on 9/8/2015</t>
  </si>
  <si>
    <t>The following changes were made to this workbook on 2/2/2016</t>
  </si>
  <si>
    <t>1.  Inserted 2015 CPI percentage on computation tab.</t>
  </si>
  <si>
    <t>1.  Corrected formatting formulas in cells d35 and d77 of levy pages 9 through 13.</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</si>
  <si>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</si>
  <si>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</si>
  <si>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</si>
  <si>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</si>
  <si>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</si>
  <si>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</si>
  <si>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 xml:space="preserve">Please read these instructions carefully.  If after reviewing them you still have questions, call Rico Aguayo at 785.296.6033 or email to armunis@ks.gov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</si>
  <si>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</si>
  <si>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</si>
  <si>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</si>
  <si>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 xml:space="preserve">CPA Summary </t>
  </si>
  <si>
    <t xml:space="preserve">megan.schulz@ks.gov </t>
  </si>
  <si>
    <t>CPA Summary</t>
  </si>
  <si>
    <t>CPI Percentage - 5 Year Averagw</t>
  </si>
  <si>
    <t xml:space="preserve">CPI Percentage - Preceding Year </t>
  </si>
  <si>
    <t>Tax Lid Limit (from Computation Tab)</t>
  </si>
  <si>
    <t>Does the City Need to Hold an Election?</t>
  </si>
  <si>
    <t>Net tax levy</t>
  </si>
  <si>
    <t xml:space="preserve">Expiration of property tax abatements </t>
  </si>
  <si>
    <t>Expiration of TIF, Rural Housing, and NR Districts</t>
  </si>
  <si>
    <t>(Incremental assessed value over base)</t>
  </si>
  <si>
    <t>Total valuation adjustment (sum of 4, 5c, 6d, 7, 8 &amp; 9)</t>
  </si>
  <si>
    <t>Percentage adjustment factor  - Line 10 / (Line 11 - Line 10))</t>
  </si>
  <si>
    <t>Percentage adjustment increase (12 times 3)</t>
  </si>
  <si>
    <t>Consumer Price Index adjustment (Line 3 times Line 14)</t>
  </si>
  <si>
    <t>Total Percentage Adjustments</t>
  </si>
  <si>
    <t>Increase property tax revenues spent on debt service</t>
  </si>
  <si>
    <t>(Obligations must have been incurred prior to July 1, 2016)</t>
  </si>
  <si>
    <t>(Do not include amounts already reported in debt service levy)</t>
  </si>
  <si>
    <t>Property tax revenues spent for public building commission and lease payments in the 2018 budget:</t>
  </si>
  <si>
    <t>Increase property tax revenues spent on public building commission and lease payments</t>
  </si>
  <si>
    <t>19.</t>
  </si>
  <si>
    <t>20.</t>
  </si>
  <si>
    <t>21.</t>
  </si>
  <si>
    <t>Property tax revenues spent on Federal or State mandates (effective after June 30, 2015)</t>
  </si>
  <si>
    <t>22.</t>
  </si>
  <si>
    <t>23.</t>
  </si>
  <si>
    <t xml:space="preserve">CPI adjustment </t>
  </si>
  <si>
    <t>(Do not include building construction or remodeling costs)</t>
  </si>
  <si>
    <t>24.</t>
  </si>
  <si>
    <t>25.</t>
  </si>
  <si>
    <t>26.</t>
  </si>
  <si>
    <t>Total Revenue Adjustments</t>
  </si>
  <si>
    <t>Levies on Behalf of Another Political or Governmental Subdivision</t>
  </si>
  <si>
    <t>27.</t>
  </si>
  <si>
    <t>28.</t>
  </si>
  <si>
    <t xml:space="preserve">Total Levies on Behalf of Another Political or Governmental Subdivision </t>
  </si>
  <si>
    <t>29.</t>
  </si>
  <si>
    <t xml:space="preserve">Total Computed Tax Levy </t>
  </si>
  <si>
    <t>Other Tests - Property Tax Decline</t>
  </si>
  <si>
    <t>Note - In order to use the test, there must be a decline in tax revenues in at least one of the years listed below.</t>
  </si>
  <si>
    <t>Average Tax Levy (last three years)</t>
  </si>
  <si>
    <t>Average Tax Levy Adjusted by CPI</t>
  </si>
  <si>
    <t>Exemption from Election Requirement</t>
  </si>
  <si>
    <t>"</t>
  </si>
  <si>
    <t xml:space="preserve">Other Tests - Lost Valuation Test </t>
  </si>
  <si>
    <t>Assessed Valuation Loss</t>
  </si>
  <si>
    <t xml:space="preserve">Change in Levy </t>
  </si>
  <si>
    <t xml:space="preserve">CPI Adjustment </t>
  </si>
  <si>
    <t xml:space="preserve">Total Adjustment for Loss of Assessed Valuation </t>
  </si>
  <si>
    <t>Exemption from Election Requirment</t>
  </si>
  <si>
    <t>Expiration of Property Tax Abatements</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</si>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</sst>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 numFmtId="200" formatCode="0.000_);[Red]\(0.000\)"/>
    <numFmt numFmtId="201" formatCode="0_);[Red]\(0\)"/>
    <numFmt numFmtId="202" formatCode="0.0000"/>
  </numFmts>
  <fonts count="99">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name val="Courier"/>
      <family val="3"/>
    </font>
    <font>
      <b/>
      <sz val="8"/>
      <color indexed="10"/>
      <name val="Times New Roman"/>
      <family val="1"/>
    </font>
    <font>
      <u val="single"/>
      <sz val="12"/>
      <color indexed="12"/>
      <name val="Courier New"/>
      <family val="3"/>
    </font>
    <font>
      <sz val="10"/>
      <color indexed="10"/>
      <name val="Times New Roman"/>
      <family val="1"/>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2"/>
      <color indexed="8"/>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u val="single"/>
      <sz val="12"/>
      <color theme="1"/>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rgb="FF69FF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color indexed="63"/>
      </right>
      <top>
        <color indexed="63"/>
      </top>
      <bottom>
        <color indexed="63"/>
      </bottom>
    </border>
    <border>
      <left style="thin"/>
      <right style="thin"/>
      <top style="thin"/>
      <bottom style="medium"/>
    </border>
  </borders>
  <cellStyleXfs count="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219">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xf>
    <xf numFmtId="0" fontId="5" fillId="33" borderId="0" xfId="0" applyFont="1" applyFill="1" applyAlignment="1" applyProtection="1">
      <alignment/>
      <protection/>
    </xf>
    <xf numFmtId="0" fontId="5" fillId="33" borderId="0" xfId="0" applyFont="1" applyFill="1" applyAlignment="1" applyProtection="1">
      <alignment horizontal="right"/>
      <protection/>
    </xf>
    <xf numFmtId="37" fontId="5" fillId="33" borderId="0" xfId="0" applyNumberFormat="1" applyFont="1" applyFill="1" applyAlignment="1" applyProtection="1">
      <alignment horizontal="right"/>
      <protection/>
    </xf>
    <xf numFmtId="0" fontId="5" fillId="33" borderId="0" xfId="0" applyFont="1" applyFill="1" applyAlignment="1" applyProtection="1">
      <alignment horizontal="centerContinuous"/>
      <protection/>
    </xf>
    <xf numFmtId="0" fontId="5" fillId="33" borderId="11" xfId="0" applyFont="1" applyFill="1" applyBorder="1" applyAlignment="1" applyProtection="1">
      <alignment/>
      <protection/>
    </xf>
    <xf numFmtId="37" fontId="5" fillId="33" borderId="0" xfId="0" applyNumberFormat="1" applyFont="1" applyFill="1" applyAlignment="1" applyProtection="1">
      <alignment/>
      <protection/>
    </xf>
    <xf numFmtId="0" fontId="4" fillId="33" borderId="0" xfId="582" applyFont="1" applyFill="1" applyAlignment="1" applyProtection="1">
      <alignment horizontal="centerContinuous"/>
      <protection/>
    </xf>
    <xf numFmtId="0" fontId="5" fillId="33" borderId="10" xfId="0" applyFont="1" applyFill="1" applyBorder="1" applyAlignment="1" applyProtection="1">
      <alignment horizontal="fill"/>
      <protection/>
    </xf>
    <xf numFmtId="0" fontId="4" fillId="33" borderId="0" xfId="0" applyFont="1" applyFill="1" applyAlignment="1" applyProtection="1">
      <alignment horizontal="left"/>
      <protection/>
    </xf>
    <xf numFmtId="0" fontId="5" fillId="33" borderId="0" xfId="0" applyFont="1" applyFill="1" applyAlignment="1" applyProtection="1">
      <alignment horizontal="center"/>
      <protection/>
    </xf>
    <xf numFmtId="0" fontId="5" fillId="33" borderId="0" xfId="0" applyNumberFormat="1" applyFont="1" applyFill="1" applyAlignment="1" applyProtection="1">
      <alignment horizontal="right"/>
      <protection/>
    </xf>
    <xf numFmtId="0" fontId="5" fillId="34" borderId="0" xfId="581" applyFont="1" applyFill="1" applyProtection="1">
      <alignment/>
      <protection/>
    </xf>
    <xf numFmtId="0" fontId="5" fillId="34"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5" borderId="0" xfId="0" applyFont="1" applyFill="1" applyAlignment="1">
      <alignment vertical="center"/>
    </xf>
    <xf numFmtId="0" fontId="5" fillId="0" borderId="0" xfId="0" applyFont="1" applyFill="1" applyAlignment="1">
      <alignment vertical="center"/>
    </xf>
    <xf numFmtId="0" fontId="5" fillId="33" borderId="0" xfId="0" applyFont="1" applyFill="1" applyAlignment="1">
      <alignment vertical="center" wrapText="1"/>
    </xf>
    <xf numFmtId="0" fontId="5" fillId="0" borderId="0" xfId="0" applyFont="1" applyFill="1" applyAlignment="1">
      <alignment vertical="center" wrapText="1"/>
    </xf>
    <xf numFmtId="0" fontId="5" fillId="36" borderId="0" xfId="0" applyFont="1" applyFill="1" applyAlignment="1">
      <alignment vertical="center" wrapText="1"/>
    </xf>
    <xf numFmtId="0" fontId="5" fillId="34"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3" borderId="0" xfId="0" applyNumberFormat="1" applyFont="1" applyFill="1" applyAlignment="1" applyProtection="1">
      <alignment horizontal="left" vertical="center"/>
      <protection/>
    </xf>
    <xf numFmtId="0" fontId="5" fillId="33"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xf>
    <xf numFmtId="37" fontId="5" fillId="33" borderId="0" xfId="0" applyNumberFormat="1" applyFont="1" applyFill="1" applyBorder="1" applyAlignment="1" applyProtection="1">
      <alignment horizontal="left" vertical="center"/>
      <protection locked="0"/>
    </xf>
    <xf numFmtId="0" fontId="4" fillId="35" borderId="12" xfId="0" applyFont="1" applyFill="1" applyBorder="1" applyAlignment="1" applyProtection="1">
      <alignment horizontal="center" vertical="center"/>
      <protection locked="0"/>
    </xf>
    <xf numFmtId="37" fontId="4" fillId="33" borderId="0" xfId="0" applyNumberFormat="1" applyFont="1" applyFill="1" applyAlignment="1" applyProtection="1">
      <alignment horizontal="centerContinuous" vertical="center"/>
      <protection/>
    </xf>
    <xf numFmtId="0" fontId="5" fillId="33" borderId="0" xfId="0" applyFont="1" applyFill="1" applyAlignment="1" applyProtection="1">
      <alignment horizontal="centerContinuous" vertical="center"/>
      <protection/>
    </xf>
    <xf numFmtId="0" fontId="5" fillId="36" borderId="11" xfId="0" applyNumberFormat="1" applyFont="1" applyFill="1" applyBorder="1" applyAlignment="1" applyProtection="1">
      <alignment horizontal="center" vertical="center"/>
      <protection/>
    </xf>
    <xf numFmtId="37" fontId="5" fillId="33" borderId="13" xfId="0" applyNumberFormat="1" applyFont="1" applyFill="1" applyBorder="1" applyAlignment="1" applyProtection="1">
      <alignment horizontal="center" vertical="center"/>
      <protection/>
    </xf>
    <xf numFmtId="37" fontId="5" fillId="36" borderId="14" xfId="0" applyNumberFormat="1" applyFont="1" applyFill="1" applyBorder="1" applyAlignment="1" applyProtection="1">
      <alignment horizontal="center" vertical="center"/>
      <protection/>
    </xf>
    <xf numFmtId="37" fontId="5" fillId="33" borderId="12" xfId="0" applyNumberFormat="1" applyFont="1" applyFill="1" applyBorder="1" applyAlignment="1" applyProtection="1">
      <alignment horizontal="left" vertical="center"/>
      <protection/>
    </xf>
    <xf numFmtId="0" fontId="5" fillId="33" borderId="12" xfId="0" applyFont="1" applyFill="1" applyBorder="1" applyAlignment="1" applyProtection="1">
      <alignment vertical="center"/>
      <protection/>
    </xf>
    <xf numFmtId="3" fontId="5" fillId="35" borderId="12" xfId="0" applyNumberFormat="1" applyFont="1" applyFill="1" applyBorder="1" applyAlignment="1" applyProtection="1">
      <alignment vertical="center"/>
      <protection locked="0"/>
    </xf>
    <xf numFmtId="0" fontId="0" fillId="33" borderId="0" xfId="0" applyFill="1" applyAlignment="1">
      <alignment vertical="center"/>
    </xf>
    <xf numFmtId="0" fontId="5" fillId="35" borderId="12" xfId="0" applyFont="1" applyFill="1" applyBorder="1" applyAlignment="1" applyProtection="1">
      <alignment vertical="center"/>
      <protection locked="0"/>
    </xf>
    <xf numFmtId="37" fontId="5" fillId="33" borderId="10" xfId="0" applyNumberFormat="1" applyFont="1" applyFill="1" applyBorder="1" applyAlignment="1" applyProtection="1">
      <alignment horizontal="left" vertical="center"/>
      <protection/>
    </xf>
    <xf numFmtId="0" fontId="5" fillId="33" borderId="10" xfId="0" applyFont="1" applyFill="1" applyBorder="1" applyAlignment="1" applyProtection="1">
      <alignment vertical="center"/>
      <protection/>
    </xf>
    <xf numFmtId="0" fontId="5" fillId="33" borderId="15" xfId="0" applyFont="1" applyFill="1" applyBorder="1" applyAlignment="1" applyProtection="1">
      <alignment vertical="center"/>
      <protection/>
    </xf>
    <xf numFmtId="37" fontId="5" fillId="33" borderId="16" xfId="0" applyNumberFormat="1" applyFont="1" applyFill="1" applyBorder="1" applyAlignment="1" applyProtection="1">
      <alignment vertical="center"/>
      <protection/>
    </xf>
    <xf numFmtId="37" fontId="5" fillId="37" borderId="16" xfId="0" applyNumberFormat="1" applyFont="1" applyFill="1" applyBorder="1" applyAlignment="1" applyProtection="1">
      <alignment vertical="center"/>
      <protection/>
    </xf>
    <xf numFmtId="37" fontId="5" fillId="33" borderId="0" xfId="0" applyNumberFormat="1"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37" fontId="5" fillId="33" borderId="0" xfId="0" applyNumberFormat="1" applyFont="1" applyFill="1" applyBorder="1" applyAlignment="1" applyProtection="1">
      <alignment vertical="center"/>
      <protection/>
    </xf>
    <xf numFmtId="164" fontId="5" fillId="35" borderId="12" xfId="0" applyNumberFormat="1" applyFont="1" applyFill="1" applyBorder="1" applyAlignment="1" applyProtection="1">
      <alignment vertical="center"/>
      <protection locked="0"/>
    </xf>
    <xf numFmtId="0" fontId="5" fillId="33" borderId="13" xfId="0"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5" fillId="33" borderId="0" xfId="0" applyNumberFormat="1" applyFont="1" applyFill="1" applyBorder="1" applyAlignment="1" applyProtection="1">
      <alignment vertical="center"/>
      <protection locked="0"/>
    </xf>
    <xf numFmtId="37" fontId="5" fillId="33" borderId="12" xfId="0" applyNumberFormat="1" applyFont="1" applyFill="1" applyBorder="1" applyAlignment="1" applyProtection="1">
      <alignment vertical="center"/>
      <protection/>
    </xf>
    <xf numFmtId="164" fontId="5" fillId="37" borderId="12" xfId="0" applyNumberFormat="1" applyFont="1" applyFill="1" applyBorder="1" applyAlignment="1" applyProtection="1">
      <alignment vertical="center"/>
      <protection/>
    </xf>
    <xf numFmtId="0" fontId="5" fillId="33" borderId="16" xfId="0" applyFont="1" applyFill="1" applyBorder="1" applyAlignment="1" applyProtection="1">
      <alignment vertical="center"/>
      <protection/>
    </xf>
    <xf numFmtId="0" fontId="6" fillId="33" borderId="0" xfId="0" applyFont="1" applyFill="1" applyAlignment="1" applyProtection="1">
      <alignment horizontal="center" vertical="center"/>
      <protection/>
    </xf>
    <xf numFmtId="3" fontId="5" fillId="33" borderId="0" xfId="0" applyNumberFormat="1" applyFont="1" applyFill="1" applyAlignment="1" applyProtection="1">
      <alignment vertical="center"/>
      <protection/>
    </xf>
    <xf numFmtId="0" fontId="5" fillId="33" borderId="0" xfId="0" applyFont="1" applyFill="1" applyAlignment="1" applyProtection="1">
      <alignment vertical="center"/>
      <protection locked="0"/>
    </xf>
    <xf numFmtId="0" fontId="5"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vertical="center"/>
      <protection locked="0"/>
    </xf>
    <xf numFmtId="3" fontId="5" fillId="35" borderId="12" xfId="0" applyNumberFormat="1" applyFont="1" applyFill="1" applyBorder="1" applyAlignment="1" applyProtection="1">
      <alignment vertical="center"/>
      <protection locked="0"/>
    </xf>
    <xf numFmtId="0" fontId="5" fillId="38" borderId="15" xfId="0" applyFont="1" applyFill="1" applyBorder="1" applyAlignment="1" applyProtection="1">
      <alignment vertical="center"/>
      <protection/>
    </xf>
    <xf numFmtId="0" fontId="5" fillId="33" borderId="16" xfId="0" applyFont="1" applyFill="1" applyBorder="1" applyAlignment="1" applyProtection="1">
      <alignment vertical="center"/>
      <protection locked="0"/>
    </xf>
    <xf numFmtId="0" fontId="0" fillId="0" borderId="0" xfId="0" applyAlignment="1">
      <alignment vertical="center"/>
    </xf>
    <xf numFmtId="37" fontId="5" fillId="33" borderId="15" xfId="0" applyNumberFormat="1" applyFont="1" applyFill="1" applyBorder="1" applyAlignment="1" applyProtection="1">
      <alignment horizontal="left" vertical="center"/>
      <protection/>
    </xf>
    <xf numFmtId="37" fontId="5" fillId="35" borderId="12" xfId="0" applyNumberFormat="1" applyFont="1" applyFill="1" applyBorder="1" applyAlignment="1" applyProtection="1">
      <alignment vertical="center"/>
      <protection locked="0"/>
    </xf>
    <xf numFmtId="37" fontId="4" fillId="33" borderId="15" xfId="0" applyNumberFormat="1" applyFont="1" applyFill="1" applyBorder="1" applyAlignment="1" applyProtection="1">
      <alignment horizontal="left" vertical="center"/>
      <protection/>
    </xf>
    <xf numFmtId="0" fontId="14" fillId="33" borderId="0" xfId="0" applyFont="1" applyFill="1" applyBorder="1" applyAlignment="1" applyProtection="1">
      <alignment horizontal="center" vertical="center"/>
      <protection/>
    </xf>
    <xf numFmtId="0" fontId="5" fillId="33" borderId="17" xfId="0" applyFont="1"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178" fontId="5" fillId="33" borderId="12" xfId="0" applyNumberFormat="1" applyFont="1" applyFill="1" applyBorder="1" applyAlignment="1" applyProtection="1">
      <alignment vertical="center"/>
      <protection/>
    </xf>
    <xf numFmtId="0" fontId="0" fillId="33" borderId="10" xfId="0" applyFill="1" applyBorder="1" applyAlignment="1" applyProtection="1">
      <alignment vertical="center"/>
      <protection/>
    </xf>
    <xf numFmtId="3" fontId="5" fillId="33" borderId="13" xfId="0" applyNumberFormat="1" applyFont="1" applyFill="1" applyBorder="1" applyAlignment="1" applyProtection="1">
      <alignment vertical="center"/>
      <protection/>
    </xf>
    <xf numFmtId="3" fontId="5" fillId="33" borderId="16" xfId="0" applyNumberFormat="1" applyFont="1" applyFill="1" applyBorder="1" applyAlignment="1" applyProtection="1">
      <alignment vertical="center"/>
      <protection/>
    </xf>
    <xf numFmtId="0" fontId="5" fillId="33" borderId="10" xfId="0" applyFont="1" applyFill="1" applyBorder="1" applyAlignment="1">
      <alignment vertical="center"/>
    </xf>
    <xf numFmtId="0" fontId="0" fillId="33" borderId="10" xfId="0" applyFill="1" applyBorder="1" applyAlignment="1">
      <alignment vertical="center"/>
    </xf>
    <xf numFmtId="0" fontId="0" fillId="33" borderId="13" xfId="0" applyFill="1" applyBorder="1" applyAlignment="1">
      <alignment vertical="center"/>
    </xf>
    <xf numFmtId="0" fontId="5" fillId="33" borderId="15" xfId="0" applyFont="1"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4" borderId="0" xfId="0" applyFill="1" applyAlignment="1">
      <alignment vertical="center"/>
    </xf>
    <xf numFmtId="0" fontId="5" fillId="36" borderId="11" xfId="0" applyFont="1" applyFill="1" applyBorder="1" applyAlignment="1">
      <alignment horizontal="center" vertical="center"/>
    </xf>
    <xf numFmtId="0" fontId="5" fillId="36" borderId="14" xfId="0" applyFont="1" applyFill="1" applyBorder="1" applyAlignment="1">
      <alignment horizontal="center" vertical="center"/>
    </xf>
    <xf numFmtId="0" fontId="17" fillId="33" borderId="0" xfId="0" applyFont="1" applyFill="1" applyAlignment="1">
      <alignment vertical="center"/>
    </xf>
    <xf numFmtId="0" fontId="20" fillId="33" borderId="0" xfId="0" applyFont="1" applyFill="1" applyAlignment="1">
      <alignment vertical="center"/>
    </xf>
    <xf numFmtId="37" fontId="5" fillId="33" borderId="12" xfId="0" applyNumberFormat="1" applyFont="1" applyFill="1" applyBorder="1" applyAlignment="1">
      <alignment vertical="center"/>
    </xf>
    <xf numFmtId="0" fontId="5" fillId="33" borderId="0" xfId="0" applyFont="1" applyFill="1" applyAlignment="1" applyProtection="1">
      <alignment horizontal="right" vertical="center"/>
      <protection/>
    </xf>
    <xf numFmtId="37" fontId="5" fillId="33" borderId="0" xfId="0" applyNumberFormat="1" applyFont="1" applyFill="1" applyAlignment="1" applyProtection="1">
      <alignment horizontal="center" vertical="center"/>
      <protection/>
    </xf>
    <xf numFmtId="37" fontId="5" fillId="33" borderId="0" xfId="0" applyNumberFormat="1" applyFont="1" applyFill="1" applyAlignment="1" applyProtection="1">
      <alignment horizontal="centerContinuous" vertical="center"/>
      <protection/>
    </xf>
    <xf numFmtId="37" fontId="5" fillId="33" borderId="18" xfId="0" applyNumberFormat="1" applyFont="1" applyFill="1" applyBorder="1" applyAlignment="1" applyProtection="1">
      <alignment horizontal="centerContinuous" vertical="center"/>
      <protection/>
    </xf>
    <xf numFmtId="0" fontId="5" fillId="33" borderId="15"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37" fontId="5" fillId="33" borderId="10" xfId="0" applyNumberFormat="1" applyFont="1" applyFill="1" applyBorder="1" applyAlignment="1" applyProtection="1">
      <alignment horizontal="fill" vertical="center"/>
      <protection/>
    </xf>
    <xf numFmtId="37" fontId="5" fillId="33" borderId="11" xfId="0" applyNumberFormat="1" applyFont="1" applyFill="1" applyBorder="1" applyAlignment="1" applyProtection="1">
      <alignment horizontal="left" vertical="center"/>
      <protection/>
    </xf>
    <xf numFmtId="37" fontId="5" fillId="33" borderId="11"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center" vertical="center"/>
      <protection/>
    </xf>
    <xf numFmtId="0" fontId="5" fillId="33" borderId="19" xfId="0" applyFont="1" applyFill="1" applyBorder="1" applyAlignment="1">
      <alignment horizontal="center" vertical="center"/>
    </xf>
    <xf numFmtId="37" fontId="4" fillId="33" borderId="10" xfId="0" applyNumberFormat="1" applyFont="1" applyFill="1" applyBorder="1" applyAlignment="1" applyProtection="1">
      <alignment horizontal="left" vertical="center"/>
      <protection/>
    </xf>
    <xf numFmtId="37" fontId="5" fillId="33" borderId="14" xfId="0" applyNumberFormat="1" applyFont="1" applyFill="1" applyBorder="1" applyAlignment="1" applyProtection="1">
      <alignment horizontal="center" vertical="center"/>
      <protection/>
    </xf>
    <xf numFmtId="0" fontId="5" fillId="33" borderId="14" xfId="0" applyFont="1" applyFill="1" applyBorder="1" applyAlignment="1">
      <alignment horizontal="center" vertical="center"/>
    </xf>
    <xf numFmtId="37" fontId="5" fillId="33" borderId="18"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horizontal="center" vertical="center"/>
      <protection/>
    </xf>
    <xf numFmtId="0" fontId="5" fillId="33" borderId="11" xfId="0" applyFont="1" applyFill="1" applyBorder="1" applyAlignment="1" applyProtection="1">
      <alignment vertical="center"/>
      <protection/>
    </xf>
    <xf numFmtId="0" fontId="5" fillId="33" borderId="19" xfId="0" applyFont="1" applyFill="1" applyBorder="1" applyAlignment="1" applyProtection="1">
      <alignment vertical="center"/>
      <protection/>
    </xf>
    <xf numFmtId="37" fontId="14" fillId="33" borderId="18" xfId="0" applyNumberFormat="1" applyFont="1" applyFill="1" applyBorder="1" applyAlignment="1" applyProtection="1">
      <alignment horizontal="left" vertical="center"/>
      <protection/>
    </xf>
    <xf numFmtId="37" fontId="14" fillId="33" borderId="16"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4" xfId="0" applyFont="1" applyFill="1" applyBorder="1" applyAlignment="1" applyProtection="1">
      <alignment vertical="center"/>
      <protection/>
    </xf>
    <xf numFmtId="37" fontId="5" fillId="37" borderId="12" xfId="0" applyNumberFormat="1" applyFont="1" applyFill="1" applyBorder="1" applyAlignment="1" applyProtection="1">
      <alignment horizontal="center" vertical="center"/>
      <protection/>
    </xf>
    <xf numFmtId="37" fontId="5" fillId="33" borderId="18" xfId="0" applyNumberFormat="1" applyFont="1" applyFill="1" applyBorder="1" applyAlignment="1" applyProtection="1">
      <alignment vertical="center"/>
      <protection/>
    </xf>
    <xf numFmtId="0" fontId="5" fillId="33" borderId="16" xfId="0" applyFont="1" applyFill="1" applyBorder="1" applyAlignment="1" applyProtection="1">
      <alignment horizontal="center" vertical="center"/>
      <protection/>
    </xf>
    <xf numFmtId="37" fontId="5" fillId="33" borderId="16" xfId="0" applyNumberFormat="1"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9" borderId="12" xfId="0" applyFont="1" applyFill="1" applyBorder="1" applyAlignment="1" applyProtection="1">
      <alignment vertical="center"/>
      <protection/>
    </xf>
    <xf numFmtId="37" fontId="5" fillId="39" borderId="12" xfId="0" applyNumberFormat="1" applyFont="1" applyFill="1" applyBorder="1" applyAlignment="1" applyProtection="1">
      <alignment vertical="center"/>
      <protection/>
    </xf>
    <xf numFmtId="0" fontId="0" fillId="39" borderId="12" xfId="0" applyFill="1" applyBorder="1" applyAlignment="1" applyProtection="1">
      <alignment vertical="center"/>
      <protection/>
    </xf>
    <xf numFmtId="0" fontId="17" fillId="39" borderId="16" xfId="0" applyFont="1" applyFill="1" applyBorder="1" applyAlignment="1" applyProtection="1">
      <alignment horizontal="center" vertical="center"/>
      <protection/>
    </xf>
    <xf numFmtId="37" fontId="5" fillId="33" borderId="0" xfId="0" applyNumberFormat="1" applyFont="1" applyFill="1" applyAlignment="1" applyProtection="1">
      <alignment horizontal="right" vertical="center"/>
      <protection/>
    </xf>
    <xf numFmtId="0" fontId="5" fillId="33" borderId="0" xfId="0" applyFont="1" applyFill="1" applyBorder="1" applyAlignment="1" applyProtection="1">
      <alignment horizontal="right" vertical="center"/>
      <protection/>
    </xf>
    <xf numFmtId="0" fontId="5" fillId="33" borderId="0" xfId="0" applyFont="1" applyFill="1" applyAlignment="1" applyProtection="1">
      <alignment horizontal="left" vertical="center"/>
      <protection/>
    </xf>
    <xf numFmtId="0" fontId="5" fillId="33" borderId="0" xfId="0" applyFont="1" applyFill="1" applyAlignment="1" applyProtection="1">
      <alignment horizontal="center" vertical="center"/>
      <protection/>
    </xf>
    <xf numFmtId="0" fontId="5" fillId="33" borderId="0" xfId="0" applyFont="1" applyFill="1" applyAlignment="1">
      <alignment vertical="center"/>
    </xf>
    <xf numFmtId="37" fontId="5" fillId="33" borderId="0" xfId="0" applyNumberFormat="1" applyFont="1" applyFill="1" applyAlignment="1">
      <alignment vertical="center"/>
    </xf>
    <xf numFmtId="0" fontId="4" fillId="33" borderId="0" xfId="0" applyFont="1" applyFill="1" applyAlignment="1">
      <alignment horizontal="center" vertical="center"/>
    </xf>
    <xf numFmtId="3" fontId="5" fillId="33" borderId="0" xfId="0" applyNumberFormat="1" applyFont="1" applyFill="1" applyAlignment="1">
      <alignment vertical="center"/>
    </xf>
    <xf numFmtId="3" fontId="5" fillId="33" borderId="10" xfId="0" applyNumberFormat="1" applyFont="1" applyFill="1" applyBorder="1" applyAlignment="1">
      <alignment vertical="center"/>
    </xf>
    <xf numFmtId="3" fontId="5" fillId="33" borderId="0" xfId="0" applyNumberFormat="1" applyFont="1" applyFill="1" applyBorder="1" applyAlignment="1">
      <alignment vertical="center"/>
    </xf>
    <xf numFmtId="0" fontId="5" fillId="33" borderId="0" xfId="0" applyFont="1" applyFill="1" applyAlignment="1">
      <alignment horizontal="right" vertical="center"/>
    </xf>
    <xf numFmtId="3" fontId="5" fillId="33" borderId="17" xfId="0" applyNumberFormat="1" applyFont="1" applyFill="1" applyBorder="1" applyAlignment="1">
      <alignment vertical="center"/>
    </xf>
    <xf numFmtId="0" fontId="5" fillId="33" borderId="17" xfId="0" applyFont="1" applyFill="1" applyBorder="1" applyAlignment="1">
      <alignment vertical="center"/>
    </xf>
    <xf numFmtId="0" fontId="5" fillId="33" borderId="0" xfId="0" applyFont="1" applyFill="1" applyBorder="1" applyAlignment="1">
      <alignment vertical="center"/>
    </xf>
    <xf numFmtId="37" fontId="5" fillId="33" borderId="0" xfId="0" applyNumberFormat="1" applyFont="1" applyFill="1" applyAlignment="1" applyProtection="1">
      <alignment vertical="center"/>
      <protection/>
    </xf>
    <xf numFmtId="0" fontId="5" fillId="33" borderId="10" xfId="0" applyFont="1" applyFill="1" applyBorder="1" applyAlignment="1" applyProtection="1">
      <alignment horizontal="centerContinuous" vertical="center"/>
      <protection/>
    </xf>
    <xf numFmtId="0" fontId="5" fillId="33" borderId="11"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37" fontId="5" fillId="37" borderId="22" xfId="0" applyNumberFormat="1" applyFont="1" applyFill="1" applyBorder="1" applyAlignment="1" applyProtection="1">
      <alignment horizontal="center" vertical="center"/>
      <protection/>
    </xf>
    <xf numFmtId="166" fontId="5" fillId="33" borderId="0" xfId="0" applyNumberFormat="1" applyFont="1" applyFill="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1" fontId="5" fillId="33" borderId="14" xfId="0" applyNumberFormat="1" applyFont="1" applyFill="1" applyBorder="1" applyAlignment="1" applyProtection="1">
      <alignment horizontal="center" vertical="center"/>
      <protection/>
    </xf>
    <xf numFmtId="0" fontId="5" fillId="35" borderId="14" xfId="0" applyFont="1" applyFill="1" applyBorder="1" applyAlignment="1" applyProtection="1">
      <alignment vertical="center"/>
      <protection locked="0"/>
    </xf>
    <xf numFmtId="177" fontId="5" fillId="35" borderId="14" xfId="42" applyNumberFormat="1" applyFont="1" applyFill="1" applyBorder="1" applyAlignment="1" applyProtection="1">
      <alignment horizontal="center" vertical="center"/>
      <protection locked="0"/>
    </xf>
    <xf numFmtId="0" fontId="5" fillId="35" borderId="14" xfId="0" applyFont="1" applyFill="1" applyBorder="1" applyAlignment="1" applyProtection="1">
      <alignment horizontal="center" vertical="center"/>
      <protection locked="0"/>
    </xf>
    <xf numFmtId="0" fontId="5" fillId="35" borderId="12" xfId="0" applyFont="1" applyFill="1" applyBorder="1" applyAlignment="1" applyProtection="1">
      <alignment vertical="center"/>
      <protection locked="0"/>
    </xf>
    <xf numFmtId="177" fontId="5" fillId="35" borderId="12" xfId="42" applyNumberFormat="1"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xf>
    <xf numFmtId="3" fontId="5" fillId="37" borderId="12" xfId="0" applyNumberFormat="1" applyFont="1" applyFill="1" applyBorder="1" applyAlignment="1" applyProtection="1">
      <alignment horizontal="center" vertical="center"/>
      <protection/>
    </xf>
    <xf numFmtId="0" fontId="5" fillId="33"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locked="0"/>
    </xf>
    <xf numFmtId="1" fontId="5" fillId="33" borderId="0" xfId="0" applyNumberFormat="1" applyFont="1" applyFill="1" applyBorder="1" applyAlignment="1" applyProtection="1">
      <alignment horizontal="right" vertical="center"/>
      <protection/>
    </xf>
    <xf numFmtId="0" fontId="4" fillId="33" borderId="0" xfId="582" applyFont="1" applyFill="1" applyAlignment="1" applyProtection="1">
      <alignment horizontal="centerContinuous" vertical="center"/>
      <protection/>
    </xf>
    <xf numFmtId="0" fontId="5" fillId="33" borderId="10" xfId="0" applyFont="1" applyFill="1" applyBorder="1" applyAlignment="1" applyProtection="1">
      <alignment horizontal="fill" vertical="center"/>
      <protection/>
    </xf>
    <xf numFmtId="0" fontId="5" fillId="33" borderId="23" xfId="0" applyFont="1" applyFill="1" applyBorder="1" applyAlignment="1" applyProtection="1">
      <alignment horizontal="centerContinuous" vertical="center"/>
      <protection/>
    </xf>
    <xf numFmtId="0" fontId="5" fillId="33" borderId="21" xfId="0" applyFont="1" applyFill="1" applyBorder="1" applyAlignment="1" applyProtection="1">
      <alignment horizontal="centerContinuous" vertical="center"/>
      <protection/>
    </xf>
    <xf numFmtId="0" fontId="5" fillId="33" borderId="19" xfId="0" applyFont="1" applyFill="1" applyBorder="1" applyAlignment="1" applyProtection="1">
      <alignment horizontal="center" vertical="center"/>
      <protection/>
    </xf>
    <xf numFmtId="1" fontId="5" fillId="33" borderId="24"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xf>
    <xf numFmtId="2" fontId="5" fillId="33" borderId="12" xfId="0" applyNumberFormat="1" applyFont="1" applyFill="1" applyBorder="1" applyAlignment="1" applyProtection="1">
      <alignment vertical="center"/>
      <protection/>
    </xf>
    <xf numFmtId="3" fontId="5" fillId="33" borderId="12" xfId="0" applyNumberFormat="1" applyFont="1" applyFill="1" applyBorder="1" applyAlignment="1" applyProtection="1">
      <alignment vertical="center"/>
      <protection/>
    </xf>
    <xf numFmtId="2" fontId="5" fillId="35" borderId="12" xfId="0" applyNumberFormat="1" applyFont="1" applyFill="1" applyBorder="1" applyAlignment="1" applyProtection="1">
      <alignment horizontal="center" vertical="center"/>
      <protection locked="0"/>
    </xf>
    <xf numFmtId="3" fontId="5" fillId="35" borderId="12" xfId="0" applyNumberFormat="1" applyFont="1" applyFill="1" applyBorder="1" applyAlignment="1" applyProtection="1">
      <alignment horizontal="center" vertical="center"/>
      <protection locked="0"/>
    </xf>
    <xf numFmtId="37" fontId="5" fillId="35" borderId="12" xfId="0" applyNumberFormat="1" applyFont="1" applyFill="1" applyBorder="1" applyAlignment="1" applyProtection="1">
      <alignment horizontal="center" vertical="center"/>
      <protection locked="0"/>
    </xf>
    <xf numFmtId="175" fontId="5" fillId="35" borderId="12" xfId="0" applyNumberFormat="1" applyFont="1" applyFill="1" applyBorder="1" applyAlignment="1" applyProtection="1">
      <alignment horizontal="center" vertical="center"/>
      <protection locked="0"/>
    </xf>
    <xf numFmtId="0" fontId="4" fillId="33" borderId="12" xfId="0" applyFont="1" applyFill="1" applyBorder="1" applyAlignment="1" applyProtection="1">
      <alignment horizontal="left" vertical="center"/>
      <protection/>
    </xf>
    <xf numFmtId="174" fontId="4" fillId="33" borderId="12" xfId="0" applyNumberFormat="1" applyFont="1" applyFill="1" applyBorder="1" applyAlignment="1" applyProtection="1">
      <alignment horizontal="center" vertical="center"/>
      <protection/>
    </xf>
    <xf numFmtId="2" fontId="4" fillId="33" borderId="12" xfId="0" applyNumberFormat="1" applyFont="1" applyFill="1" applyBorder="1" applyAlignment="1" applyProtection="1">
      <alignment horizontal="center" vertical="center"/>
      <protection/>
    </xf>
    <xf numFmtId="3" fontId="4" fillId="33" borderId="12" xfId="0" applyNumberFormat="1" applyFont="1" applyFill="1" applyBorder="1" applyAlignment="1" applyProtection="1">
      <alignment horizontal="center" vertical="center"/>
      <protection/>
    </xf>
    <xf numFmtId="37" fontId="4" fillId="37" borderId="12" xfId="0" applyNumberFormat="1" applyFont="1" applyFill="1" applyBorder="1" applyAlignment="1" applyProtection="1">
      <alignment horizontal="center" vertical="center"/>
      <protection/>
    </xf>
    <xf numFmtId="175" fontId="4" fillId="33" borderId="12" xfId="0" applyNumberFormat="1" applyFont="1" applyFill="1" applyBorder="1" applyAlignment="1" applyProtection="1">
      <alignment horizontal="center" vertical="center"/>
      <protection/>
    </xf>
    <xf numFmtId="174" fontId="5" fillId="33" borderId="12" xfId="0" applyNumberFormat="1" applyFont="1" applyFill="1" applyBorder="1" applyAlignment="1" applyProtection="1">
      <alignment horizontal="center" vertical="center"/>
      <protection/>
    </xf>
    <xf numFmtId="2" fontId="5" fillId="33" borderId="12"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xf>
    <xf numFmtId="175" fontId="5" fillId="33" borderId="12" xfId="0" applyNumberFormat="1" applyFont="1" applyFill="1" applyBorder="1" applyAlignment="1" applyProtection="1">
      <alignment horizontal="center" vertical="center"/>
      <protection/>
    </xf>
    <xf numFmtId="1" fontId="4" fillId="33" borderId="12" xfId="0" applyNumberFormat="1" applyFont="1" applyFill="1" applyBorder="1" applyAlignment="1" applyProtection="1">
      <alignment horizontal="center" vertical="center"/>
      <protection/>
    </xf>
    <xf numFmtId="3" fontId="4" fillId="37" borderId="12" xfId="0" applyNumberFormat="1" applyFont="1" applyFill="1" applyBorder="1" applyAlignment="1" applyProtection="1">
      <alignment horizontal="center" vertical="center"/>
      <protection/>
    </xf>
    <xf numFmtId="1" fontId="5" fillId="33"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3" borderId="0" xfId="0" applyNumberFormat="1" applyFont="1" applyFill="1" applyAlignment="1" applyProtection="1">
      <alignment horizontal="right" vertical="center"/>
      <protection/>
    </xf>
    <xf numFmtId="0" fontId="4" fillId="33" borderId="0" xfId="0" applyFont="1" applyFill="1" applyAlignment="1" applyProtection="1">
      <alignment vertical="center"/>
      <protection/>
    </xf>
    <xf numFmtId="0" fontId="5" fillId="33" borderId="0" xfId="0" applyFont="1" applyFill="1" applyBorder="1" applyAlignment="1" applyProtection="1">
      <alignment horizontal="fill" vertical="center"/>
      <protection/>
    </xf>
    <xf numFmtId="1" fontId="5" fillId="33" borderId="23" xfId="0" applyNumberFormat="1" applyFont="1" applyFill="1" applyBorder="1" applyAlignment="1" applyProtection="1">
      <alignment horizontal="center" vertical="center"/>
      <protection/>
    </xf>
    <xf numFmtId="37" fontId="5" fillId="33" borderId="23"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horizontal="center" vertical="center"/>
      <protection/>
    </xf>
    <xf numFmtId="0" fontId="5" fillId="33" borderId="18" xfId="0" applyFont="1" applyFill="1" applyBorder="1" applyAlignment="1" applyProtection="1">
      <alignment horizontal="left" vertical="center"/>
      <protection/>
    </xf>
    <xf numFmtId="37" fontId="5" fillId="35" borderId="18" xfId="0" applyNumberFormat="1" applyFont="1" applyFill="1" applyBorder="1" applyAlignment="1" applyProtection="1">
      <alignment vertical="center"/>
      <protection locked="0"/>
    </xf>
    <xf numFmtId="37" fontId="5" fillId="35" borderId="16"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xf>
    <xf numFmtId="0" fontId="5" fillId="33" borderId="24" xfId="0" applyFont="1" applyFill="1" applyBorder="1" applyAlignment="1" applyProtection="1">
      <alignment horizontal="left" vertical="center"/>
      <protection/>
    </xf>
    <xf numFmtId="3" fontId="5" fillId="35" borderId="18" xfId="0" applyNumberFormat="1" applyFont="1" applyFill="1" applyBorder="1" applyAlignment="1" applyProtection="1">
      <alignment vertical="center"/>
      <protection locked="0"/>
    </xf>
    <xf numFmtId="3" fontId="5" fillId="35" borderId="16" xfId="0" applyNumberFormat="1" applyFont="1" applyFill="1" applyBorder="1" applyAlignment="1" applyProtection="1">
      <alignment vertical="center"/>
      <protection locked="0"/>
    </xf>
    <xf numFmtId="37" fontId="5" fillId="33" borderId="12" xfId="0" applyNumberFormat="1" applyFont="1" applyFill="1" applyBorder="1" applyAlignment="1" applyProtection="1">
      <alignment horizontal="fill" vertical="center"/>
      <protection/>
    </xf>
    <xf numFmtId="37" fontId="5" fillId="35" borderId="12" xfId="0" applyNumberFormat="1" applyFont="1" applyFill="1" applyBorder="1" applyAlignment="1" applyProtection="1">
      <alignment vertical="center"/>
      <protection locked="0"/>
    </xf>
    <xf numFmtId="0" fontId="5" fillId="35" borderId="18" xfId="0" applyFont="1" applyFill="1" applyBorder="1" applyAlignment="1" applyProtection="1">
      <alignment horizontal="left" vertical="center"/>
      <protection locked="0"/>
    </xf>
    <xf numFmtId="37" fontId="17" fillId="39" borderId="18" xfId="0" applyNumberFormat="1" applyFont="1" applyFill="1" applyBorder="1" applyAlignment="1" applyProtection="1">
      <alignment horizontal="center" vertical="center"/>
      <protection/>
    </xf>
    <xf numFmtId="37" fontId="17" fillId="39" borderId="16" xfId="0" applyNumberFormat="1" applyFont="1" applyFill="1" applyBorder="1" applyAlignment="1" applyProtection="1">
      <alignment horizontal="center" vertical="center"/>
      <protection/>
    </xf>
    <xf numFmtId="37" fontId="4" fillId="33" borderId="18" xfId="0" applyNumberFormat="1" applyFont="1" applyFill="1" applyBorder="1" applyAlignment="1" applyProtection="1">
      <alignment horizontal="left" vertical="center"/>
      <protection/>
    </xf>
    <xf numFmtId="37" fontId="4" fillId="37" borderId="12" xfId="0" applyNumberFormat="1" applyFont="1" applyFill="1" applyBorder="1" applyAlignment="1" applyProtection="1">
      <alignment vertical="center"/>
      <protection/>
    </xf>
    <xf numFmtId="3" fontId="4" fillId="37" borderId="18"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xf>
    <xf numFmtId="0" fontId="4" fillId="33" borderId="18" xfId="0" applyFont="1" applyFill="1" applyBorder="1" applyAlignment="1" applyProtection="1">
      <alignment horizontal="left" vertical="center"/>
      <protection/>
    </xf>
    <xf numFmtId="3" fontId="5" fillId="37" borderId="18"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7" borderId="18" xfId="0" applyFont="1" applyFill="1" applyBorder="1" applyAlignment="1" applyProtection="1">
      <alignment vertical="center"/>
      <protection/>
    </xf>
    <xf numFmtId="0" fontId="5" fillId="35" borderId="18" xfId="0" applyFont="1" applyFill="1" applyBorder="1" applyAlignment="1" applyProtection="1">
      <alignment vertical="center"/>
      <protection locked="0"/>
    </xf>
    <xf numFmtId="0" fontId="5" fillId="33" borderId="18" xfId="0" applyFont="1" applyFill="1" applyBorder="1" applyAlignment="1" applyProtection="1">
      <alignment vertical="center"/>
      <protection/>
    </xf>
    <xf numFmtId="0" fontId="17" fillId="0" borderId="0" xfId="0" applyFont="1" applyAlignment="1" applyProtection="1">
      <alignment vertical="center"/>
      <protection/>
    </xf>
    <xf numFmtId="0" fontId="15" fillId="33" borderId="0" xfId="0" applyFont="1" applyFill="1" applyAlignment="1" applyProtection="1">
      <alignment horizontal="center" vertical="center"/>
      <protection/>
    </xf>
    <xf numFmtId="0" fontId="5" fillId="33" borderId="0" xfId="0" applyFont="1" applyFill="1" applyAlignment="1" applyProtection="1">
      <alignment horizontal="fill" vertical="center"/>
      <protection/>
    </xf>
    <xf numFmtId="1" fontId="5" fillId="33" borderId="11"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left" vertical="center"/>
      <protection locked="0"/>
    </xf>
    <xf numFmtId="0" fontId="5" fillId="35" borderId="12" xfId="0" applyFont="1" applyFill="1" applyBorder="1" applyAlignment="1" applyProtection="1">
      <alignment horizontal="left" vertical="center"/>
      <protection locked="0"/>
    </xf>
    <xf numFmtId="0" fontId="5" fillId="35" borderId="0" xfId="0" applyFont="1" applyFill="1" applyAlignment="1" applyProtection="1">
      <alignment horizontal="left" vertical="center"/>
      <protection locked="0"/>
    </xf>
    <xf numFmtId="37" fontId="4" fillId="37" borderId="22" xfId="0" applyNumberFormat="1" applyFont="1" applyFill="1" applyBorder="1" applyAlignment="1" applyProtection="1">
      <alignment vertical="center"/>
      <protection/>
    </xf>
    <xf numFmtId="0" fontId="17" fillId="33" borderId="0" xfId="0" applyFont="1" applyFill="1" applyAlignment="1" applyProtection="1">
      <alignment vertical="center"/>
      <protection/>
    </xf>
    <xf numFmtId="37" fontId="5" fillId="33" borderId="24" xfId="0" applyNumberFormat="1" applyFont="1" applyFill="1" applyBorder="1" applyAlignment="1" applyProtection="1">
      <alignment horizontal="left" vertical="center"/>
      <protection/>
    </xf>
    <xf numFmtId="3" fontId="5" fillId="33" borderId="12" xfId="0" applyNumberFormat="1" applyFont="1" applyFill="1" applyBorder="1" applyAlignment="1" applyProtection="1">
      <alignment horizontal="fill" vertical="center"/>
      <protection/>
    </xf>
    <xf numFmtId="3" fontId="5" fillId="40" borderId="12" xfId="0" applyNumberFormat="1" applyFont="1" applyFill="1" applyBorder="1" applyAlignment="1" applyProtection="1">
      <alignment vertical="center"/>
      <protection/>
    </xf>
    <xf numFmtId="1" fontId="5"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fill" vertical="center"/>
      <protection/>
    </xf>
    <xf numFmtId="3" fontId="5" fillId="39" borderId="12"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5" borderId="18" xfId="0"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3" fontId="5" fillId="33" borderId="10" xfId="0" applyNumberFormat="1" applyFont="1" applyFill="1" applyBorder="1" applyAlignment="1" applyProtection="1">
      <alignment horizontal="fill" vertical="center"/>
      <protection/>
    </xf>
    <xf numFmtId="0" fontId="5" fillId="33" borderId="23"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xf>
    <xf numFmtId="37" fontId="5" fillId="33" borderId="10" xfId="0" applyNumberFormat="1" applyFont="1" applyFill="1" applyBorder="1" applyAlignment="1" applyProtection="1" quotePrefix="1">
      <alignment horizontal="right" vertical="center"/>
      <protection/>
    </xf>
    <xf numFmtId="37" fontId="5" fillId="35" borderId="18" xfId="0" applyNumberFormat="1" applyFont="1" applyFill="1" applyBorder="1" applyAlignment="1" applyProtection="1">
      <alignment horizontal="left" vertical="center"/>
      <protection locked="0"/>
    </xf>
    <xf numFmtId="37" fontId="17" fillId="39" borderId="12" xfId="0" applyNumberFormat="1" applyFont="1" applyFill="1" applyBorder="1" applyAlignment="1" applyProtection="1">
      <alignment horizontal="center" vertical="center"/>
      <protection/>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14" fillId="33" borderId="0" xfId="0" applyFont="1" applyFill="1" applyAlignment="1">
      <alignment horizontal="center" vertical="center"/>
    </xf>
    <xf numFmtId="0" fontId="5" fillId="33" borderId="16" xfId="0" applyFont="1" applyFill="1" applyBorder="1" applyAlignment="1">
      <alignment horizontal="center" vertical="center"/>
    </xf>
    <xf numFmtId="0" fontId="13" fillId="33" borderId="11" xfId="0" applyFont="1" applyFill="1" applyBorder="1" applyAlignment="1">
      <alignment vertical="center"/>
    </xf>
    <xf numFmtId="0" fontId="13" fillId="33" borderId="16" xfId="0" applyFont="1" applyFill="1" applyBorder="1" applyAlignment="1">
      <alignment horizontal="center" vertical="center"/>
    </xf>
    <xf numFmtId="0" fontId="13" fillId="33" borderId="21" xfId="0" applyFont="1" applyFill="1" applyBorder="1" applyAlignment="1">
      <alignment vertical="center"/>
    </xf>
    <xf numFmtId="0" fontId="13" fillId="33" borderId="12" xfId="0" applyFont="1" applyFill="1" applyBorder="1" applyAlignment="1">
      <alignment horizontal="center" vertical="center"/>
    </xf>
    <xf numFmtId="0" fontId="5" fillId="33" borderId="16" xfId="0" applyFont="1" applyFill="1" applyBorder="1" applyAlignment="1">
      <alignment vertical="center"/>
    </xf>
    <xf numFmtId="0" fontId="5" fillId="33" borderId="12" xfId="0" applyFont="1" applyFill="1" applyBorder="1" applyAlignment="1">
      <alignment horizontal="center" vertical="center"/>
    </xf>
    <xf numFmtId="0" fontId="13" fillId="33" borderId="24" xfId="0" applyFont="1" applyFill="1" applyBorder="1" applyAlignment="1">
      <alignment vertical="center"/>
    </xf>
    <xf numFmtId="3" fontId="13" fillId="35" borderId="12" xfId="0" applyNumberFormat="1" applyFont="1" applyFill="1" applyBorder="1" applyAlignment="1" applyProtection="1">
      <alignment horizontal="center" vertical="center"/>
      <protection locked="0"/>
    </xf>
    <xf numFmtId="0" fontId="13" fillId="33" borderId="10" xfId="0" applyFont="1" applyFill="1" applyBorder="1" applyAlignment="1">
      <alignment vertical="center"/>
    </xf>
    <xf numFmtId="3" fontId="13" fillId="37" borderId="12" xfId="0" applyNumberFormat="1" applyFont="1" applyFill="1" applyBorder="1" applyAlignment="1">
      <alignment horizontal="center" vertical="center"/>
    </xf>
    <xf numFmtId="0" fontId="13" fillId="33" borderId="0" xfId="0" applyFont="1" applyFill="1" applyAlignment="1">
      <alignment vertical="center"/>
    </xf>
    <xf numFmtId="3" fontId="13" fillId="33" borderId="0" xfId="0" applyNumberFormat="1" applyFont="1" applyFill="1" applyAlignment="1">
      <alignment horizontal="center" vertical="center"/>
    </xf>
    <xf numFmtId="0" fontId="13" fillId="33" borderId="0" xfId="0" applyFont="1" applyFill="1" applyAlignment="1">
      <alignment horizontal="center" vertical="center"/>
    </xf>
    <xf numFmtId="0" fontId="13" fillId="35" borderId="12" xfId="0" applyFont="1" applyFill="1" applyBorder="1" applyAlignment="1" applyProtection="1">
      <alignment vertical="center"/>
      <protection locked="0"/>
    </xf>
    <xf numFmtId="0" fontId="13" fillId="35" borderId="21" xfId="0" applyFont="1" applyFill="1" applyBorder="1" applyAlignment="1" applyProtection="1">
      <alignment vertical="center"/>
      <protection locked="0"/>
    </xf>
    <xf numFmtId="0" fontId="13" fillId="35" borderId="0" xfId="0" applyFont="1" applyFill="1" applyAlignment="1" applyProtection="1">
      <alignment vertical="center"/>
      <protection locked="0"/>
    </xf>
    <xf numFmtId="0" fontId="13" fillId="35" borderId="16" xfId="0" applyFont="1" applyFill="1" applyBorder="1" applyAlignment="1" applyProtection="1">
      <alignment vertical="center"/>
      <protection locked="0"/>
    </xf>
    <xf numFmtId="0" fontId="13" fillId="35" borderId="14" xfId="0" applyFont="1" applyFill="1" applyBorder="1" applyAlignment="1" applyProtection="1">
      <alignment vertical="center"/>
      <protection locked="0"/>
    </xf>
    <xf numFmtId="0" fontId="13" fillId="35" borderId="20" xfId="0" applyFont="1" applyFill="1" applyBorder="1" applyAlignment="1" applyProtection="1">
      <alignment vertical="center"/>
      <protection locked="0"/>
    </xf>
    <xf numFmtId="3" fontId="19" fillId="39" borderId="12" xfId="0" applyNumberFormat="1" applyFont="1" applyFill="1" applyBorder="1" applyAlignment="1">
      <alignment horizontal="center"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3" borderId="18" xfId="0" applyNumberFormat="1" applyFont="1" applyFill="1" applyBorder="1" applyAlignment="1" applyProtection="1">
      <alignment horizontal="centerContinuous" vertical="center"/>
      <protection/>
    </xf>
    <xf numFmtId="164" fontId="5" fillId="33" borderId="12" xfId="0" applyNumberFormat="1" applyFont="1" applyFill="1" applyBorder="1" applyAlignment="1" applyProtection="1">
      <alignment vertical="center"/>
      <protection/>
    </xf>
    <xf numFmtId="37" fontId="5" fillId="33" borderId="14" xfId="0" applyNumberFormat="1" applyFont="1" applyFill="1" applyBorder="1" applyAlignment="1" applyProtection="1">
      <alignment horizontal="fill" vertical="center"/>
      <protection/>
    </xf>
    <xf numFmtId="1" fontId="6" fillId="33" borderId="0" xfId="0" applyNumberFormat="1" applyFont="1" applyFill="1" applyAlignment="1" applyProtection="1">
      <alignment horizontal="center" vertical="center"/>
      <protection/>
    </xf>
    <xf numFmtId="3" fontId="5" fillId="33" borderId="10" xfId="0" applyNumberFormat="1"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3" fontId="5" fillId="35" borderId="12" xfId="0" applyNumberFormat="1" applyFont="1" applyFill="1" applyBorder="1" applyAlignment="1" applyProtection="1">
      <alignment horizontal="center" vertical="center"/>
      <protection locked="0"/>
    </xf>
    <xf numFmtId="188" fontId="5" fillId="33" borderId="12"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locked="0"/>
    </xf>
    <xf numFmtId="3" fontId="5" fillId="33" borderId="22" xfId="0" applyNumberFormat="1" applyFont="1" applyFill="1" applyBorder="1" applyAlignment="1" applyProtection="1">
      <alignment horizontal="center" vertical="center"/>
      <protection/>
    </xf>
    <xf numFmtId="188" fontId="5" fillId="33" borderId="22" xfId="0" applyNumberFormat="1" applyFont="1" applyFill="1" applyBorder="1" applyAlignment="1" applyProtection="1">
      <alignment horizontal="center" vertical="center"/>
      <protection/>
    </xf>
    <xf numFmtId="188" fontId="5" fillId="33" borderId="10" xfId="0" applyNumberFormat="1" applyFont="1" applyFill="1" applyBorder="1" applyAlignment="1" applyProtection="1">
      <alignment horizontal="center" vertical="center"/>
      <protection/>
    </xf>
    <xf numFmtId="188" fontId="5" fillId="33" borderId="0" xfId="0" applyNumberFormat="1" applyFont="1" applyFill="1" applyBorder="1" applyAlignment="1" applyProtection="1">
      <alignment horizontal="center" vertical="center"/>
      <protection/>
    </xf>
    <xf numFmtId="3" fontId="5" fillId="33" borderId="10" xfId="0" applyNumberFormat="1" applyFont="1" applyFill="1" applyBorder="1" applyAlignment="1">
      <alignment horizontal="center" vertical="center"/>
    </xf>
    <xf numFmtId="0" fontId="0" fillId="33" borderId="0" xfId="0" applyFill="1" applyAlignment="1">
      <alignment horizontal="center" vertical="center"/>
    </xf>
    <xf numFmtId="188" fontId="5" fillId="33" borderId="10" xfId="0" applyNumberFormat="1" applyFont="1" applyFill="1" applyBorder="1" applyAlignment="1">
      <alignment horizontal="center" vertical="center"/>
    </xf>
    <xf numFmtId="178" fontId="5" fillId="33" borderId="0" xfId="0" applyNumberFormat="1" applyFont="1" applyFill="1" applyBorder="1" applyAlignment="1" applyProtection="1">
      <alignment vertical="center"/>
      <protection/>
    </xf>
    <xf numFmtId="0" fontId="6" fillId="0" borderId="0" xfId="0" applyFont="1" applyAlignment="1">
      <alignment vertical="center"/>
    </xf>
    <xf numFmtId="3" fontId="28" fillId="39" borderId="0" xfId="0" applyNumberFormat="1" applyFont="1" applyFill="1" applyAlignment="1">
      <alignment horizontal="center" vertical="center"/>
    </xf>
    <xf numFmtId="37" fontId="4" fillId="41" borderId="12" xfId="0" applyNumberFormat="1" applyFont="1" applyFill="1" applyBorder="1" applyAlignment="1" applyProtection="1">
      <alignment vertical="center"/>
      <protection/>
    </xf>
    <xf numFmtId="37" fontId="5" fillId="41" borderId="12" xfId="0" applyNumberFormat="1" applyFont="1" applyFill="1" applyBorder="1" applyAlignment="1" applyProtection="1">
      <alignment vertical="center"/>
      <protection/>
    </xf>
    <xf numFmtId="0" fontId="5" fillId="0" borderId="0" xfId="540" applyFont="1" applyAlignment="1">
      <alignment vertical="center"/>
      <protection/>
    </xf>
    <xf numFmtId="0" fontId="5" fillId="0" borderId="0" xfId="192" applyFont="1" applyAlignment="1">
      <alignment vertical="center" wrapText="1"/>
      <protection/>
    </xf>
    <xf numFmtId="0" fontId="5" fillId="35" borderId="10" xfId="0" applyFont="1" applyFill="1" applyBorder="1" applyAlignment="1" applyProtection="1">
      <alignment vertical="center"/>
      <protection locked="0"/>
    </xf>
    <xf numFmtId="0" fontId="5" fillId="35" borderId="15" xfId="0" applyFont="1" applyFill="1" applyBorder="1" applyAlignment="1" applyProtection="1">
      <alignment vertical="center"/>
      <protection locked="0"/>
    </xf>
    <xf numFmtId="0" fontId="29" fillId="0" borderId="0" xfId="546">
      <alignment/>
      <protection/>
    </xf>
    <xf numFmtId="0" fontId="5" fillId="0" borderId="0" xfId="546" applyFont="1" applyAlignment="1">
      <alignment horizontal="left" vertical="center"/>
      <protection/>
    </xf>
    <xf numFmtId="189" fontId="13" fillId="0" borderId="0" xfId="546" applyNumberFormat="1" applyFont="1" applyAlignment="1">
      <alignment horizontal="left" vertical="center"/>
      <protection/>
    </xf>
    <xf numFmtId="49" fontId="5" fillId="0" borderId="0" xfId="546" applyNumberFormat="1" applyFont="1" applyAlignment="1">
      <alignment horizontal="left" vertical="center"/>
      <protection/>
    </xf>
    <xf numFmtId="0" fontId="13" fillId="0" borderId="0" xfId="546" applyFont="1" applyAlignment="1">
      <alignment horizontal="left" vertical="center"/>
      <protection/>
    </xf>
    <xf numFmtId="190" fontId="13" fillId="0" borderId="0" xfId="546" applyNumberFormat="1" applyFont="1" applyAlignment="1">
      <alignment horizontal="left" vertical="center"/>
      <protection/>
    </xf>
    <xf numFmtId="0" fontId="0" fillId="0" borderId="0" xfId="245" applyFont="1" applyFill="1">
      <alignment/>
      <protection/>
    </xf>
    <xf numFmtId="0" fontId="0" fillId="0" borderId="0" xfId="245"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56" applyFont="1" applyAlignment="1">
      <alignment vertical="center"/>
      <protection/>
    </xf>
    <xf numFmtId="0" fontId="6" fillId="0" borderId="0" xfId="161" applyFont="1" applyAlignment="1">
      <alignment vertical="center"/>
      <protection/>
    </xf>
    <xf numFmtId="0" fontId="5" fillId="0" borderId="0" xfId="361" applyFont="1" applyAlignment="1">
      <alignment vertical="center" wrapText="1"/>
      <protection/>
    </xf>
    <xf numFmtId="0" fontId="5" fillId="0" borderId="0" xfId="182" applyFont="1" applyAlignment="1">
      <alignment vertical="center" wrapText="1"/>
      <protection/>
    </xf>
    <xf numFmtId="0" fontId="5" fillId="33" borderId="0" xfId="0" applyFont="1" applyFill="1" applyAlignment="1">
      <alignment/>
    </xf>
    <xf numFmtId="0" fontId="85" fillId="33" borderId="0" xfId="0" applyFont="1" applyFill="1" applyAlignment="1" applyProtection="1">
      <alignment horizontal="right" vertical="center"/>
      <protection locked="0"/>
    </xf>
    <xf numFmtId="0" fontId="8" fillId="33" borderId="0" xfId="0" applyFont="1" applyFill="1" applyAlignment="1" applyProtection="1">
      <alignment horizontal="left" vertical="center"/>
      <protection locked="0"/>
    </xf>
    <xf numFmtId="14" fontId="5" fillId="35" borderId="12" xfId="0" applyNumberFormat="1" applyFont="1" applyFill="1" applyBorder="1" applyAlignment="1" applyProtection="1">
      <alignment horizontal="center" vertical="center"/>
      <protection locked="0"/>
    </xf>
    <xf numFmtId="3" fontId="13" fillId="37" borderId="14" xfId="0" applyNumberFormat="1" applyFont="1" applyFill="1" applyBorder="1" applyAlignment="1">
      <alignment horizontal="center" vertical="center"/>
    </xf>
    <xf numFmtId="0" fontId="5" fillId="33" borderId="24" xfId="0" applyNumberFormat="1" applyFont="1" applyFill="1" applyBorder="1" applyAlignment="1" applyProtection="1">
      <alignment horizontal="center" vertical="center"/>
      <protection/>
    </xf>
    <xf numFmtId="3" fontId="5" fillId="40" borderId="18" xfId="0" applyNumberFormat="1" applyFont="1" applyFill="1" applyBorder="1" applyAlignment="1" applyProtection="1">
      <alignment vertical="center"/>
      <protection/>
    </xf>
    <xf numFmtId="0" fontId="15" fillId="33" borderId="0" xfId="0"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3" fontId="5" fillId="33" borderId="0" xfId="0" applyNumberFormat="1" applyFont="1" applyFill="1" applyBorder="1" applyAlignment="1" applyProtection="1">
      <alignment horizontal="fill" vertical="center"/>
      <protection/>
    </xf>
    <xf numFmtId="49" fontId="5" fillId="41" borderId="12" xfId="126" applyNumberFormat="1" applyFont="1" applyFill="1" applyBorder="1" applyAlignment="1" applyProtection="1">
      <alignment horizontal="center" vertical="center"/>
      <protection/>
    </xf>
    <xf numFmtId="37" fontId="17" fillId="35" borderId="12" xfId="0" applyNumberFormat="1" applyFont="1" applyFill="1" applyBorder="1" applyAlignment="1" applyProtection="1">
      <alignment horizontal="center" vertical="center"/>
      <protection/>
    </xf>
    <xf numFmtId="49" fontId="5" fillId="35" borderId="12" xfId="0" applyNumberFormat="1" applyFont="1" applyFill="1" applyBorder="1" applyAlignment="1" applyProtection="1">
      <alignment horizontal="center" vertical="center"/>
      <protection locked="0"/>
    </xf>
    <xf numFmtId="0" fontId="5" fillId="33" borderId="0" xfId="126" applyFont="1" applyFill="1" applyAlignment="1" applyProtection="1">
      <alignment horizontal="right" vertical="center"/>
      <protection/>
    </xf>
    <xf numFmtId="188" fontId="5" fillId="33" borderId="0" xfId="566" applyNumberFormat="1" applyFont="1" applyFill="1" applyAlignment="1" applyProtection="1">
      <alignment horizontal="center" vertical="center"/>
      <protection/>
    </xf>
    <xf numFmtId="0" fontId="0" fillId="0" borderId="0" xfId="121">
      <alignment/>
      <protection/>
    </xf>
    <xf numFmtId="0" fontId="5" fillId="33" borderId="0" xfId="121" applyFont="1" applyFill="1" applyAlignment="1" applyProtection="1">
      <alignment vertical="center"/>
      <protection/>
    </xf>
    <xf numFmtId="0" fontId="5" fillId="0" borderId="0" xfId="121" applyFont="1" applyAlignment="1" applyProtection="1">
      <alignment vertical="center"/>
      <protection locked="0"/>
    </xf>
    <xf numFmtId="37" fontId="5" fillId="33" borderId="0" xfId="121" applyNumberFormat="1" applyFont="1" applyFill="1" applyAlignment="1" applyProtection="1">
      <alignment horizontal="left" vertical="center"/>
      <protection/>
    </xf>
    <xf numFmtId="0" fontId="4" fillId="33" borderId="0" xfId="121" applyFont="1" applyFill="1" applyAlignment="1" applyProtection="1">
      <alignment vertical="center"/>
      <protection/>
    </xf>
    <xf numFmtId="3" fontId="5" fillId="35" borderId="12" xfId="121" applyNumberFormat="1" applyFont="1" applyFill="1" applyBorder="1" applyAlignment="1" applyProtection="1">
      <alignment vertical="center"/>
      <protection locked="0"/>
    </xf>
    <xf numFmtId="3" fontId="5" fillId="37" borderId="12" xfId="121" applyNumberFormat="1" applyFont="1" applyFill="1" applyBorder="1" applyAlignment="1" applyProtection="1">
      <alignment vertical="center"/>
      <protection/>
    </xf>
    <xf numFmtId="0" fontId="5" fillId="33" borderId="0" xfId="121" applyFont="1" applyFill="1" applyAlignment="1" applyProtection="1">
      <alignment vertical="center"/>
      <protection locked="0"/>
    </xf>
    <xf numFmtId="0" fontId="0" fillId="0" borderId="0" xfId="121" applyAlignment="1">
      <alignment vertical="center"/>
      <protection/>
    </xf>
    <xf numFmtId="1" fontId="5" fillId="33" borderId="0" xfId="121" applyNumberFormat="1" applyFont="1" applyFill="1" applyBorder="1" applyAlignment="1" applyProtection="1">
      <alignment horizontal="right" vertical="center"/>
      <protection/>
    </xf>
    <xf numFmtId="37" fontId="5" fillId="33" borderId="0" xfId="121" applyNumberFormat="1" applyFont="1" applyFill="1" applyAlignment="1" applyProtection="1" quotePrefix="1">
      <alignment horizontal="right" vertical="center"/>
      <protection/>
    </xf>
    <xf numFmtId="37" fontId="5" fillId="33" borderId="11" xfId="121" applyNumberFormat="1" applyFont="1" applyFill="1" applyBorder="1" applyAlignment="1" applyProtection="1">
      <alignment horizontal="center" vertical="center"/>
      <protection/>
    </xf>
    <xf numFmtId="37" fontId="5" fillId="33" borderId="18" xfId="121" applyNumberFormat="1" applyFont="1" applyFill="1" applyBorder="1" applyAlignment="1" applyProtection="1">
      <alignment horizontal="left" vertical="center"/>
      <protection/>
    </xf>
    <xf numFmtId="3" fontId="5" fillId="33" borderId="12" xfId="121" applyNumberFormat="1" applyFont="1" applyFill="1" applyBorder="1" applyAlignment="1" applyProtection="1">
      <alignment vertical="center"/>
      <protection/>
    </xf>
    <xf numFmtId="37" fontId="5" fillId="33" borderId="18" xfId="121" applyNumberFormat="1" applyFont="1" applyFill="1" applyBorder="1" applyAlignment="1" applyProtection="1">
      <alignment vertical="center"/>
      <protection/>
    </xf>
    <xf numFmtId="0" fontId="5" fillId="33" borderId="18" xfId="121" applyFont="1" applyFill="1" applyBorder="1" applyAlignment="1" applyProtection="1">
      <alignment vertical="center"/>
      <protection/>
    </xf>
    <xf numFmtId="37" fontId="5" fillId="33" borderId="0" xfId="121" applyNumberFormat="1" applyFont="1" applyFill="1" applyAlignment="1" applyProtection="1">
      <alignment vertical="center"/>
      <protection/>
    </xf>
    <xf numFmtId="0" fontId="5" fillId="33" borderId="0" xfId="121" applyFont="1" applyFill="1" applyAlignment="1" applyProtection="1">
      <alignment horizontal="right" vertical="center"/>
      <protection/>
    </xf>
    <xf numFmtId="37" fontId="5" fillId="33" borderId="0" xfId="121" applyNumberFormat="1" applyFont="1" applyFill="1" applyAlignment="1" applyProtection="1">
      <alignment horizontal="right" vertical="center"/>
      <protection/>
    </xf>
    <xf numFmtId="1" fontId="5" fillId="33" borderId="14" xfId="121" applyNumberFormat="1" applyFont="1" applyFill="1" applyBorder="1" applyAlignment="1" applyProtection="1">
      <alignment horizontal="center" vertical="center"/>
      <protection/>
    </xf>
    <xf numFmtId="37" fontId="5" fillId="33" borderId="0" xfId="121" applyNumberFormat="1" applyFont="1" applyFill="1" applyAlignment="1" applyProtection="1">
      <alignment horizontal="fill" vertical="center"/>
      <protection/>
    </xf>
    <xf numFmtId="37" fontId="5" fillId="33" borderId="24" xfId="121" applyNumberFormat="1" applyFont="1" applyFill="1" applyBorder="1" applyAlignment="1" applyProtection="1">
      <alignment horizontal="left" vertical="center"/>
      <protection/>
    </xf>
    <xf numFmtId="37" fontId="4" fillId="33" borderId="18" xfId="121" applyNumberFormat="1" applyFont="1" applyFill="1" applyBorder="1" applyAlignment="1" applyProtection="1">
      <alignment horizontal="left" vertical="center"/>
      <protection/>
    </xf>
    <xf numFmtId="0" fontId="17" fillId="0" borderId="0" xfId="121" applyFont="1" applyAlignment="1" applyProtection="1">
      <alignment vertical="center"/>
      <protection/>
    </xf>
    <xf numFmtId="0" fontId="15" fillId="33" borderId="0" xfId="121" applyFont="1" applyFill="1" applyAlignment="1" applyProtection="1">
      <alignment horizontal="center" vertical="center"/>
      <protection/>
    </xf>
    <xf numFmtId="37" fontId="5" fillId="35" borderId="18" xfId="121" applyNumberFormat="1" applyFont="1" applyFill="1" applyBorder="1" applyAlignment="1" applyProtection="1">
      <alignment horizontal="left" vertical="center"/>
      <protection locked="0"/>
    </xf>
    <xf numFmtId="3" fontId="4" fillId="37" borderId="12" xfId="121" applyNumberFormat="1" applyFont="1" applyFill="1" applyBorder="1" applyAlignment="1" applyProtection="1">
      <alignment vertical="center"/>
      <protection/>
    </xf>
    <xf numFmtId="0" fontId="5" fillId="33" borderId="18" xfId="121" applyFont="1" applyFill="1" applyBorder="1" applyAlignment="1" applyProtection="1">
      <alignment vertical="center"/>
      <protection locked="0"/>
    </xf>
    <xf numFmtId="3" fontId="5" fillId="33" borderId="12" xfId="121" applyNumberFormat="1" applyFont="1" applyFill="1" applyBorder="1" applyAlignment="1" applyProtection="1">
      <alignment horizontal="fill" vertical="center"/>
      <protection/>
    </xf>
    <xf numFmtId="37" fontId="5" fillId="35" borderId="0" xfId="121" applyNumberFormat="1" applyFont="1" applyFill="1" applyAlignment="1" applyProtection="1">
      <alignment horizontal="left" vertical="center"/>
      <protection locked="0"/>
    </xf>
    <xf numFmtId="0" fontId="5" fillId="35" borderId="18" xfId="121" applyFont="1" applyFill="1" applyBorder="1" applyAlignment="1" applyProtection="1">
      <alignment horizontal="left" vertical="center"/>
      <protection locked="0"/>
    </xf>
    <xf numFmtId="3" fontId="4" fillId="33" borderId="12" xfId="121" applyNumberFormat="1" applyFont="1" applyFill="1" applyBorder="1" applyAlignment="1" applyProtection="1">
      <alignment vertical="center"/>
      <protection/>
    </xf>
    <xf numFmtId="37" fontId="5" fillId="33" borderId="23" xfId="121" applyNumberFormat="1" applyFont="1" applyFill="1" applyBorder="1" applyAlignment="1" applyProtection="1">
      <alignment horizontal="center" vertical="center"/>
      <protection/>
    </xf>
    <xf numFmtId="1" fontId="5" fillId="33" borderId="23" xfId="121" applyNumberFormat="1" applyFont="1" applyFill="1" applyBorder="1" applyAlignment="1" applyProtection="1">
      <alignment horizontal="center" vertical="center"/>
      <protection/>
    </xf>
    <xf numFmtId="1" fontId="5" fillId="33" borderId="24" xfId="121" applyNumberFormat="1" applyFont="1" applyFill="1" applyBorder="1" applyAlignment="1" applyProtection="1">
      <alignment horizontal="center" vertical="center"/>
      <protection/>
    </xf>
    <xf numFmtId="37" fontId="5" fillId="35" borderId="18" xfId="121" applyNumberFormat="1" applyFont="1" applyFill="1" applyBorder="1" applyAlignment="1" applyProtection="1">
      <alignment horizontal="right" vertical="center"/>
      <protection locked="0"/>
    </xf>
    <xf numFmtId="3" fontId="4" fillId="37" borderId="18" xfId="121" applyNumberFormat="1" applyFont="1" applyFill="1" applyBorder="1" applyAlignment="1" applyProtection="1">
      <alignment vertical="center"/>
      <protection/>
    </xf>
    <xf numFmtId="3" fontId="5" fillId="33" borderId="18" xfId="121" applyNumberFormat="1" applyFont="1" applyFill="1" applyBorder="1" applyAlignment="1" applyProtection="1">
      <alignment vertical="center"/>
      <protection/>
    </xf>
    <xf numFmtId="37" fontId="5" fillId="35" borderId="18" xfId="121" applyNumberFormat="1" applyFont="1" applyFill="1" applyBorder="1" applyAlignment="1" applyProtection="1">
      <alignment vertical="center"/>
      <protection locked="0"/>
    </xf>
    <xf numFmtId="3" fontId="5" fillId="35" borderId="18" xfId="121" applyNumberFormat="1" applyFont="1" applyFill="1" applyBorder="1" applyAlignment="1" applyProtection="1">
      <alignment vertical="center"/>
      <protection locked="0"/>
    </xf>
    <xf numFmtId="3" fontId="4" fillId="33" borderId="18" xfId="121" applyNumberFormat="1" applyFont="1" applyFill="1" applyBorder="1" applyAlignment="1" applyProtection="1">
      <alignment vertical="center"/>
      <protection/>
    </xf>
    <xf numFmtId="3" fontId="5" fillId="37" borderId="18" xfId="121" applyNumberFormat="1" applyFont="1" applyFill="1" applyBorder="1" applyAlignment="1" applyProtection="1">
      <alignment vertical="center"/>
      <protection/>
    </xf>
    <xf numFmtId="37" fontId="4" fillId="33" borderId="10" xfId="121" applyNumberFormat="1" applyFont="1" applyFill="1" applyBorder="1" applyAlignment="1" applyProtection="1">
      <alignment vertical="center"/>
      <protection/>
    </xf>
    <xf numFmtId="37" fontId="4" fillId="33" borderId="0" xfId="121" applyNumberFormat="1" applyFont="1" applyFill="1" applyBorder="1" applyAlignment="1" applyProtection="1">
      <alignment vertical="center"/>
      <protection/>
    </xf>
    <xf numFmtId="37" fontId="5" fillId="33" borderId="0" xfId="126" applyNumberFormat="1" applyFont="1" applyFill="1" applyBorder="1" applyAlignment="1" applyProtection="1">
      <alignment horizontal="left" vertical="center"/>
      <protection/>
    </xf>
    <xf numFmtId="37" fontId="5" fillId="33" borderId="12" xfId="126" applyNumberFormat="1" applyFont="1" applyFill="1" applyBorder="1" applyAlignment="1" applyProtection="1">
      <alignment horizontal="left" vertical="center"/>
      <protection/>
    </xf>
    <xf numFmtId="3" fontId="5" fillId="35" borderId="12" xfId="126" applyNumberFormat="1" applyFont="1" applyFill="1" applyBorder="1" applyAlignment="1" applyProtection="1">
      <alignment vertical="center"/>
      <protection locked="0"/>
    </xf>
    <xf numFmtId="49" fontId="5" fillId="33" borderId="12" xfId="126" applyNumberFormat="1" applyFont="1" applyFill="1" applyBorder="1" applyAlignment="1" applyProtection="1">
      <alignment horizontal="center" vertical="center"/>
      <protection/>
    </xf>
    <xf numFmtId="0" fontId="9" fillId="36" borderId="12" xfId="0" applyFont="1" applyFill="1" applyBorder="1" applyAlignment="1" applyProtection="1">
      <alignment vertical="center" shrinkToFit="1"/>
      <protection/>
    </xf>
    <xf numFmtId="37" fontId="4" fillId="33" borderId="23" xfId="121" applyNumberFormat="1" applyFont="1" applyFill="1" applyBorder="1" applyAlignment="1" applyProtection="1">
      <alignment horizontal="left" vertical="center"/>
      <protection/>
    </xf>
    <xf numFmtId="49" fontId="5" fillId="33" borderId="0" xfId="126" applyNumberFormat="1" applyFont="1" applyFill="1" applyBorder="1" applyAlignment="1" applyProtection="1">
      <alignment horizontal="center" vertical="center"/>
      <protection/>
    </xf>
    <xf numFmtId="37" fontId="15" fillId="33" borderId="0" xfId="121" applyNumberFormat="1" applyFont="1" applyFill="1" applyAlignment="1" applyProtection="1">
      <alignment horizontal="center" vertical="center"/>
      <protection/>
    </xf>
    <xf numFmtId="37" fontId="5" fillId="33" borderId="12" xfId="121" applyNumberFormat="1" applyFont="1" applyFill="1" applyBorder="1" applyAlignment="1" applyProtection="1">
      <alignment horizontal="center" vertical="center"/>
      <protection/>
    </xf>
    <xf numFmtId="37" fontId="15" fillId="33" borderId="0" xfId="121" applyNumberFormat="1" applyFont="1" applyFill="1" applyAlignment="1" applyProtection="1">
      <alignment horizontal="right" vertical="center"/>
      <protection/>
    </xf>
    <xf numFmtId="37" fontId="14" fillId="33" borderId="0" xfId="121" applyNumberFormat="1" applyFont="1" applyFill="1" applyAlignment="1" applyProtection="1">
      <alignment horizontal="center" vertical="center"/>
      <protection/>
    </xf>
    <xf numFmtId="37" fontId="86" fillId="33" borderId="0" xfId="121" applyNumberFormat="1" applyFont="1" applyFill="1" applyAlignment="1" applyProtection="1">
      <alignment horizontal="center" vertical="center"/>
      <protection/>
    </xf>
    <xf numFmtId="37" fontId="5" fillId="33" borderId="19" xfId="121" applyNumberFormat="1" applyFont="1" applyFill="1" applyBorder="1" applyAlignment="1" applyProtection="1">
      <alignment horizontal="center" vertical="center"/>
      <protection/>
    </xf>
    <xf numFmtId="37" fontId="5" fillId="33" borderId="14" xfId="121"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2" borderId="0" xfId="0" applyFont="1" applyFill="1" applyAlignment="1">
      <alignment/>
    </xf>
    <xf numFmtId="0" fontId="33" fillId="43" borderId="0" xfId="0" applyFont="1" applyFill="1" applyAlignment="1">
      <alignment/>
    </xf>
    <xf numFmtId="0" fontId="87" fillId="42" borderId="0" xfId="0" applyFont="1" applyFill="1" applyAlignment="1">
      <alignment horizontal="center" wrapText="1"/>
    </xf>
    <xf numFmtId="0" fontId="87" fillId="43" borderId="0" xfId="0" applyFont="1" applyFill="1" applyAlignment="1">
      <alignment/>
    </xf>
    <xf numFmtId="0" fontId="33" fillId="43" borderId="0" xfId="0" applyFont="1" applyFill="1" applyAlignment="1">
      <alignment horizontal="center"/>
    </xf>
    <xf numFmtId="0" fontId="87" fillId="43" borderId="25" xfId="0" applyFont="1" applyFill="1" applyBorder="1" applyAlignment="1">
      <alignment/>
    </xf>
    <xf numFmtId="0" fontId="33" fillId="43" borderId="26" xfId="0" applyFont="1" applyFill="1" applyBorder="1" applyAlignment="1">
      <alignment/>
    </xf>
    <xf numFmtId="0" fontId="33" fillId="43" borderId="27" xfId="0" applyFont="1" applyFill="1" applyBorder="1" applyAlignment="1">
      <alignment/>
    </xf>
    <xf numFmtId="195" fontId="33" fillId="43" borderId="28" xfId="0" applyNumberFormat="1" applyFont="1" applyFill="1" applyBorder="1" applyAlignment="1">
      <alignment/>
    </xf>
    <xf numFmtId="0" fontId="33" fillId="43" borderId="0"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1" xfId="0" applyFont="1" applyFill="1" applyBorder="1" applyAlignment="1">
      <alignment/>
    </xf>
    <xf numFmtId="0" fontId="33" fillId="43" borderId="32" xfId="0" applyFont="1" applyFill="1" applyBorder="1" applyAlignment="1">
      <alignment/>
    </xf>
    <xf numFmtId="0" fontId="33" fillId="43" borderId="25" xfId="0" applyFont="1" applyFill="1" applyBorder="1" applyAlignment="1">
      <alignment/>
    </xf>
    <xf numFmtId="0" fontId="33" fillId="43" borderId="33" xfId="0" applyFont="1" applyFill="1" applyBorder="1" applyAlignment="1">
      <alignment/>
    </xf>
    <xf numFmtId="195" fontId="33" fillId="44" borderId="28"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88" fillId="0" borderId="0" xfId="0" applyFont="1" applyBorder="1" applyAlignment="1">
      <alignment/>
    </xf>
    <xf numFmtId="0" fontId="33" fillId="0" borderId="0" xfId="0" applyFont="1" applyBorder="1" applyAlignment="1">
      <alignment/>
    </xf>
    <xf numFmtId="0" fontId="87" fillId="0" borderId="0" xfId="0" applyFont="1" applyBorder="1" applyAlignment="1">
      <alignment horizontal="centerContinuous"/>
    </xf>
    <xf numFmtId="0" fontId="33" fillId="0" borderId="0" xfId="0" applyFont="1" applyBorder="1" applyAlignment="1">
      <alignment horizontal="centerContinuous"/>
    </xf>
    <xf numFmtId="0" fontId="33" fillId="42" borderId="0" xfId="0" applyFont="1" applyFill="1" applyBorder="1" applyAlignment="1">
      <alignment/>
    </xf>
    <xf numFmtId="0" fontId="33" fillId="43" borderId="34" xfId="0" applyFont="1" applyFill="1" applyBorder="1" applyAlignment="1">
      <alignment/>
    </xf>
    <xf numFmtId="0" fontId="33" fillId="43" borderId="17" xfId="0" applyFont="1" applyFill="1" applyBorder="1" applyAlignment="1">
      <alignment/>
    </xf>
    <xf numFmtId="0" fontId="33" fillId="43" borderId="35" xfId="0" applyFont="1" applyFill="1" applyBorder="1" applyAlignment="1">
      <alignment/>
    </xf>
    <xf numFmtId="5" fontId="33" fillId="43" borderId="31" xfId="0" applyNumberFormat="1" applyFont="1" applyFill="1" applyBorder="1" applyAlignment="1">
      <alignment horizontal="center"/>
    </xf>
    <xf numFmtId="0" fontId="33" fillId="43" borderId="31" xfId="0" applyFont="1" applyFill="1" applyBorder="1" applyAlignment="1">
      <alignment horizontal="center"/>
    </xf>
    <xf numFmtId="188" fontId="33" fillId="43" borderId="31" xfId="0" applyNumberFormat="1" applyFont="1" applyFill="1" applyBorder="1" applyAlignment="1">
      <alignment horizontal="center"/>
    </xf>
    <xf numFmtId="196" fontId="33" fillId="43" borderId="31" xfId="0" applyNumberFormat="1" applyFont="1" applyFill="1" applyBorder="1" applyAlignment="1">
      <alignment horizontal="center"/>
    </xf>
    <xf numFmtId="0" fontId="33" fillId="43" borderId="0" xfId="0" applyFont="1" applyFill="1" applyAlignment="1">
      <alignment horizontal="center" wrapText="1"/>
    </xf>
    <xf numFmtId="0" fontId="87" fillId="43" borderId="25" xfId="0" applyFont="1" applyFill="1" applyBorder="1" applyAlignment="1">
      <alignment/>
    </xf>
    <xf numFmtId="0" fontId="33" fillId="43" borderId="26" xfId="0" applyFont="1" applyFill="1" applyBorder="1" applyAlignment="1">
      <alignment/>
    </xf>
    <xf numFmtId="0" fontId="33" fillId="43" borderId="27" xfId="0" applyFont="1" applyFill="1" applyBorder="1" applyAlignment="1">
      <alignment/>
    </xf>
    <xf numFmtId="0" fontId="33" fillId="43" borderId="33" xfId="0" applyFont="1" applyFill="1" applyBorder="1" applyAlignment="1">
      <alignment/>
    </xf>
    <xf numFmtId="0" fontId="33" fillId="43" borderId="29" xfId="0" applyFont="1" applyFill="1" applyBorder="1" applyAlignment="1">
      <alignment/>
    </xf>
    <xf numFmtId="0" fontId="33" fillId="43" borderId="34" xfId="0" applyFont="1" applyFill="1" applyBorder="1" applyAlignment="1">
      <alignment/>
    </xf>
    <xf numFmtId="0" fontId="33" fillId="43" borderId="17" xfId="0" applyFont="1" applyFill="1" applyBorder="1" applyAlignment="1">
      <alignment/>
    </xf>
    <xf numFmtId="0" fontId="33" fillId="43" borderId="35" xfId="0" applyFont="1" applyFill="1" applyBorder="1" applyAlignment="1">
      <alignment/>
    </xf>
    <xf numFmtId="178" fontId="33" fillId="43" borderId="0" xfId="0" applyNumberFormat="1" applyFont="1" applyFill="1" applyBorder="1" applyAlignment="1">
      <alignment horizontal="center"/>
    </xf>
    <xf numFmtId="0" fontId="33" fillId="43" borderId="30" xfId="0" applyFont="1" applyFill="1" applyBorder="1" applyAlignment="1">
      <alignment/>
    </xf>
    <xf numFmtId="5" fontId="33" fillId="43" borderId="0" xfId="0" applyNumberFormat="1" applyFont="1" applyFill="1" applyBorder="1" applyAlignment="1">
      <alignment horizontal="center"/>
    </xf>
    <xf numFmtId="0" fontId="33" fillId="42" borderId="0" xfId="0" applyFont="1" applyFill="1" applyAlignment="1">
      <alignment/>
    </xf>
    <xf numFmtId="188" fontId="33" fillId="44" borderId="10"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5"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71" applyFont="1" applyAlignment="1" applyProtection="1">
      <alignment/>
      <protection/>
    </xf>
    <xf numFmtId="3" fontId="5" fillId="33" borderId="14" xfId="0" applyNumberFormat="1" applyFont="1" applyFill="1" applyBorder="1" applyAlignment="1" applyProtection="1">
      <alignment horizontal="center" vertical="center"/>
      <protection/>
    </xf>
    <xf numFmtId="188" fontId="5" fillId="44" borderId="12" xfId="121" applyNumberFormat="1" applyFont="1" applyFill="1" applyBorder="1" applyAlignment="1" applyProtection="1">
      <alignment horizontal="center" vertical="center"/>
      <protection locked="0"/>
    </xf>
    <xf numFmtId="3" fontId="5" fillId="35" borderId="18" xfId="121" applyNumberFormat="1" applyFont="1" applyFill="1" applyBorder="1" applyAlignment="1" applyProtection="1">
      <alignment horizontal="right" vertical="center"/>
      <protection locked="0"/>
    </xf>
    <xf numFmtId="0" fontId="5" fillId="0" borderId="0" xfId="126" applyFont="1" applyAlignment="1">
      <alignment vertical="center" wrapText="1"/>
      <protection/>
    </xf>
    <xf numFmtId="0" fontId="5" fillId="0" borderId="0" xfId="471" applyFont="1" applyAlignment="1">
      <alignment vertical="center" wrapText="1"/>
      <protection/>
    </xf>
    <xf numFmtId="0" fontId="5" fillId="0" borderId="0" xfId="504" applyNumberFormat="1" applyFont="1" applyAlignment="1">
      <alignment vertical="center" wrapText="1"/>
      <protection/>
    </xf>
    <xf numFmtId="37" fontId="5" fillId="33" borderId="12" xfId="0" applyNumberFormat="1" applyFont="1" applyFill="1" applyBorder="1" applyAlignment="1" applyProtection="1">
      <alignment horizontal="left"/>
      <protection/>
    </xf>
    <xf numFmtId="37" fontId="5" fillId="33" borderId="12" xfId="0" applyNumberFormat="1" applyFont="1" applyFill="1" applyBorder="1" applyAlignment="1" applyProtection="1">
      <alignment/>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26" applyFont="1" applyAlignment="1">
      <alignment vertical="center"/>
      <protection/>
    </xf>
    <xf numFmtId="0" fontId="89" fillId="0" borderId="0" xfId="0" applyFont="1" applyAlignment="1">
      <alignment wrapText="1"/>
    </xf>
    <xf numFmtId="0" fontId="25" fillId="0" borderId="0" xfId="0" applyFont="1" applyAlignment="1">
      <alignment wrapText="1"/>
    </xf>
    <xf numFmtId="188" fontId="5" fillId="44" borderId="20" xfId="121" applyNumberFormat="1" applyFont="1" applyFill="1" applyBorder="1" applyAlignment="1" applyProtection="1">
      <alignment horizontal="center"/>
      <protection locked="0"/>
    </xf>
    <xf numFmtId="0" fontId="37" fillId="43" borderId="36" xfId="121" applyFont="1" applyFill="1" applyBorder="1" applyProtection="1">
      <alignment/>
      <protection/>
    </xf>
    <xf numFmtId="0" fontId="5" fillId="43" borderId="0" xfId="121" applyFont="1" applyFill="1" applyBorder="1" applyProtection="1">
      <alignment/>
      <protection/>
    </xf>
    <xf numFmtId="195" fontId="5" fillId="43" borderId="20" xfId="121" applyNumberFormat="1" applyFont="1" applyFill="1" applyBorder="1" applyAlignment="1" applyProtection="1">
      <alignment horizontal="center"/>
      <protection/>
    </xf>
    <xf numFmtId="0" fontId="5" fillId="43" borderId="24" xfId="121" applyFont="1" applyFill="1" applyBorder="1" applyProtection="1">
      <alignment/>
      <protection/>
    </xf>
    <xf numFmtId="0" fontId="5" fillId="43" borderId="10" xfId="121" applyFont="1" applyFill="1" applyBorder="1" applyProtection="1">
      <alignment/>
      <protection/>
    </xf>
    <xf numFmtId="195" fontId="5" fillId="46" borderId="13" xfId="121" applyNumberFormat="1" applyFont="1" applyFill="1" applyBorder="1" applyAlignment="1" applyProtection="1">
      <alignment horizontal="center"/>
      <protection/>
    </xf>
    <xf numFmtId="0" fontId="5" fillId="0" borderId="0" xfId="121" applyFont="1" applyFill="1" applyBorder="1" applyProtection="1">
      <alignment/>
      <protection/>
    </xf>
    <xf numFmtId="0" fontId="5" fillId="43" borderId="36" xfId="121" applyFont="1" applyFill="1" applyBorder="1" applyProtection="1">
      <alignment/>
      <protection/>
    </xf>
    <xf numFmtId="0" fontId="5" fillId="43" borderId="20" xfId="121" applyFont="1" applyFill="1" applyBorder="1" applyProtection="1">
      <alignment/>
      <protection/>
    </xf>
    <xf numFmtId="178" fontId="5" fillId="43" borderId="20" xfId="121" applyNumberFormat="1" applyFont="1" applyFill="1" applyBorder="1" applyAlignment="1" applyProtection="1">
      <alignment horizontal="center"/>
      <protection/>
    </xf>
    <xf numFmtId="0" fontId="5" fillId="46" borderId="36" xfId="121" applyFont="1" applyFill="1" applyBorder="1" applyProtection="1">
      <alignment/>
      <protection/>
    </xf>
    <xf numFmtId="0" fontId="5" fillId="46" borderId="0" xfId="121" applyFont="1" applyFill="1" applyBorder="1" applyProtection="1">
      <alignment/>
      <protection/>
    </xf>
    <xf numFmtId="0" fontId="5" fillId="46" borderId="24" xfId="121" applyFont="1" applyFill="1" applyBorder="1" applyProtection="1">
      <alignment/>
      <protection/>
    </xf>
    <xf numFmtId="0" fontId="5" fillId="46" borderId="10" xfId="121" applyFont="1" applyFill="1" applyBorder="1" applyProtection="1">
      <alignment/>
      <protection/>
    </xf>
    <xf numFmtId="0" fontId="5" fillId="0" borderId="0" xfId="121" applyFont="1" applyProtection="1">
      <alignment/>
      <protection/>
    </xf>
    <xf numFmtId="195" fontId="5" fillId="43" borderId="13" xfId="121" applyNumberFormat="1" applyFont="1" applyFill="1" applyBorder="1" applyAlignment="1" applyProtection="1">
      <alignment horizontal="center"/>
      <protection/>
    </xf>
    <xf numFmtId="0" fontId="6" fillId="0" borderId="0" xfId="162" applyFont="1" applyAlignment="1">
      <alignment vertical="center"/>
      <protection/>
    </xf>
    <xf numFmtId="0" fontId="90" fillId="0" borderId="0" xfId="0" applyFont="1" applyAlignment="1">
      <alignment vertical="center"/>
    </xf>
    <xf numFmtId="0" fontId="91" fillId="0" borderId="0" xfId="0" applyFont="1" applyAlignment="1" applyProtection="1">
      <alignment horizontal="center" vertical="center"/>
      <protection locked="0"/>
    </xf>
    <xf numFmtId="0" fontId="92" fillId="33" borderId="0" xfId="0" applyFont="1" applyFill="1" applyAlignment="1" applyProtection="1">
      <alignment horizontal="center" vertical="center"/>
      <protection/>
    </xf>
    <xf numFmtId="37" fontId="5" fillId="33" borderId="37" xfId="0" applyNumberFormat="1" applyFont="1" applyFill="1" applyBorder="1" applyAlignment="1" applyProtection="1">
      <alignment vertical="center"/>
      <protection/>
    </xf>
    <xf numFmtId="0" fontId="5" fillId="33" borderId="37" xfId="0" applyFont="1" applyFill="1" applyBorder="1" applyAlignment="1" applyProtection="1">
      <alignment vertical="center"/>
      <protection/>
    </xf>
    <xf numFmtId="177" fontId="5" fillId="35" borderId="12" xfId="42" applyNumberFormat="1" applyFont="1" applyFill="1" applyBorder="1" applyAlignment="1" applyProtection="1">
      <alignment vertical="center"/>
      <protection locked="0"/>
    </xf>
    <xf numFmtId="37" fontId="4" fillId="33" borderId="0" xfId="0" applyNumberFormat="1" applyFont="1" applyFill="1" applyBorder="1" applyAlignment="1" applyProtection="1">
      <alignment vertical="center"/>
      <protection/>
    </xf>
    <xf numFmtId="0" fontId="5" fillId="35" borderId="18" xfId="102" applyNumberFormat="1" applyFont="1" applyFill="1" applyBorder="1" applyAlignment="1" applyProtection="1">
      <alignment horizontal="left" vertical="center"/>
      <protection locked="0"/>
    </xf>
    <xf numFmtId="0" fontId="5" fillId="35" borderId="18" xfId="126" applyNumberFormat="1" applyFont="1" applyFill="1" applyBorder="1" applyAlignment="1" applyProtection="1">
      <alignment horizontal="left" vertical="center"/>
      <protection locked="0"/>
    </xf>
    <xf numFmtId="37" fontId="5" fillId="33" borderId="11" xfId="102" applyNumberFormat="1" applyFont="1" applyFill="1" applyBorder="1" applyAlignment="1" applyProtection="1">
      <alignment horizontal="center"/>
      <protection/>
    </xf>
    <xf numFmtId="37" fontId="5" fillId="33" borderId="14" xfId="102" applyNumberFormat="1" applyFont="1" applyFill="1" applyBorder="1" applyAlignment="1" applyProtection="1">
      <alignment horizontal="center"/>
      <protection/>
    </xf>
    <xf numFmtId="0" fontId="87" fillId="43" borderId="33" xfId="0" applyFont="1" applyFill="1" applyBorder="1" applyAlignment="1">
      <alignment horizontal="centerContinuous" vertical="center"/>
    </xf>
    <xf numFmtId="195" fontId="87" fillId="43" borderId="0" xfId="0" applyNumberFormat="1" applyFont="1" applyFill="1" applyBorder="1" applyAlignment="1">
      <alignment horizontal="centerContinuous" vertical="center"/>
    </xf>
    <xf numFmtId="0" fontId="87" fillId="43" borderId="0" xfId="0" applyFont="1" applyFill="1" applyBorder="1" applyAlignment="1">
      <alignment horizontal="centerContinuous" vertical="center"/>
    </xf>
    <xf numFmtId="188" fontId="87" fillId="43" borderId="0" xfId="0" applyNumberFormat="1" applyFont="1" applyFill="1" applyBorder="1" applyAlignment="1" applyProtection="1">
      <alignment horizontal="centerContinuous" vertical="center"/>
      <protection locked="0"/>
    </xf>
    <xf numFmtId="196" fontId="87" fillId="43" borderId="0" xfId="0" applyNumberFormat="1" applyFont="1" applyFill="1" applyBorder="1" applyAlignment="1">
      <alignment horizontal="centerContinuous" vertical="center"/>
    </xf>
    <xf numFmtId="0" fontId="87" fillId="43" borderId="29" xfId="0" applyFont="1" applyFill="1" applyBorder="1" applyAlignment="1">
      <alignment horizontal="centerContinuous" vertical="center"/>
    </xf>
    <xf numFmtId="0" fontId="87" fillId="43" borderId="33" xfId="0" applyFont="1" applyFill="1" applyBorder="1" applyAlignment="1">
      <alignment horizontal="centerContinuous"/>
    </xf>
    <xf numFmtId="195" fontId="87" fillId="43" borderId="0" xfId="0" applyNumberFormat="1" applyFont="1" applyFill="1" applyBorder="1" applyAlignment="1">
      <alignment horizontal="centerContinuous"/>
    </xf>
    <xf numFmtId="0" fontId="87" fillId="43" borderId="0" xfId="0" applyFont="1" applyFill="1" applyBorder="1" applyAlignment="1">
      <alignment horizontal="centerContinuous"/>
    </xf>
    <xf numFmtId="188" fontId="87" fillId="43" borderId="0" xfId="0" applyNumberFormat="1" applyFont="1" applyFill="1" applyBorder="1" applyAlignment="1" applyProtection="1">
      <alignment horizontal="centerContinuous"/>
      <protection locked="0"/>
    </xf>
    <xf numFmtId="196" fontId="87" fillId="43" borderId="0" xfId="0" applyNumberFormat="1" applyFont="1" applyFill="1" applyBorder="1" applyAlignment="1">
      <alignment horizontal="centerContinuous"/>
    </xf>
    <xf numFmtId="0" fontId="87" fillId="43" borderId="29" xfId="0" applyFont="1" applyFill="1" applyBorder="1" applyAlignment="1">
      <alignment horizontal="centerContinuous"/>
    </xf>
    <xf numFmtId="195" fontId="33" fillId="0" borderId="0" xfId="0" applyNumberFormat="1" applyFont="1" applyAlignment="1">
      <alignment/>
    </xf>
    <xf numFmtId="195" fontId="33" fillId="43" borderId="31" xfId="0" applyNumberFormat="1" applyFont="1" applyFill="1" applyBorder="1" applyAlignment="1">
      <alignment horizontal="center"/>
    </xf>
    <xf numFmtId="188" fontId="33" fillId="43" borderId="31" xfId="0" applyNumberFormat="1" applyFont="1" applyFill="1" applyBorder="1" applyAlignment="1" applyProtection="1">
      <alignment horizontal="center"/>
      <protection locked="0"/>
    </xf>
    <xf numFmtId="196" fontId="33" fillId="43" borderId="31"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6" xfId="0" applyNumberFormat="1" applyFont="1" applyFill="1" applyBorder="1" applyAlignment="1">
      <alignment horizontal="center"/>
    </xf>
    <xf numFmtId="0" fontId="33" fillId="43" borderId="26" xfId="0" applyFont="1" applyFill="1" applyBorder="1" applyAlignment="1">
      <alignment horizontal="center"/>
    </xf>
    <xf numFmtId="188" fontId="33" fillId="43" borderId="26" xfId="0" applyNumberFormat="1" applyFont="1" applyFill="1" applyBorder="1" applyAlignment="1" applyProtection="1">
      <alignment horizontal="center"/>
      <protection locked="0"/>
    </xf>
    <xf numFmtId="196" fontId="33" fillId="43" borderId="26"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6" borderId="20" xfId="121" applyNumberFormat="1" applyFont="1" applyFill="1" applyBorder="1" applyAlignment="1" applyProtection="1">
      <alignment horizontal="center"/>
      <protection/>
    </xf>
    <xf numFmtId="0" fontId="5" fillId="46" borderId="24" xfId="0" applyFont="1" applyFill="1" applyBorder="1" applyAlignment="1">
      <alignment vertical="center"/>
    </xf>
    <xf numFmtId="0" fontId="5" fillId="46" borderId="10" xfId="0" applyFont="1" applyFill="1" applyBorder="1" applyAlignment="1">
      <alignment vertical="center"/>
    </xf>
    <xf numFmtId="195" fontId="5" fillId="46" borderId="13" xfId="0" applyNumberFormat="1" applyFont="1" applyFill="1" applyBorder="1" applyAlignment="1">
      <alignment horizontal="center" vertical="center"/>
    </xf>
    <xf numFmtId="0" fontId="4" fillId="33" borderId="0" xfId="0" applyFont="1" applyFill="1" applyAlignment="1" applyProtection="1">
      <alignment horizontal="center" vertical="center"/>
      <protection/>
    </xf>
    <xf numFmtId="0" fontId="5" fillId="33" borderId="0" xfId="71" applyNumberFormat="1" applyFont="1" applyFill="1" applyBorder="1" applyAlignment="1" applyProtection="1">
      <alignment horizontal="right" vertical="center"/>
      <protection/>
    </xf>
    <xf numFmtId="195" fontId="33" fillId="44" borderId="10" xfId="0" applyNumberFormat="1" applyFont="1" applyFill="1" applyBorder="1" applyAlignment="1" applyProtection="1">
      <alignment horizontal="center"/>
      <protection locked="0"/>
    </xf>
    <xf numFmtId="195" fontId="33" fillId="43" borderId="0" xfId="0" applyNumberFormat="1" applyFont="1" applyFill="1" applyBorder="1" applyAlignment="1">
      <alignment horizontal="center"/>
    </xf>
    <xf numFmtId="0" fontId="33" fillId="43" borderId="17" xfId="0" applyFont="1" applyFill="1" applyBorder="1" applyAlignment="1">
      <alignment horizontal="center"/>
    </xf>
    <xf numFmtId="0" fontId="87" fillId="43" borderId="0" xfId="0" applyFont="1" applyFill="1" applyAlignment="1">
      <alignment horizontal="center" wrapText="1"/>
    </xf>
    <xf numFmtId="0" fontId="87" fillId="43" borderId="0" xfId="0" applyFont="1" applyFill="1" applyAlignment="1">
      <alignment horizontal="center"/>
    </xf>
    <xf numFmtId="0" fontId="33" fillId="43" borderId="0" xfId="0" applyFont="1" applyFill="1" applyBorder="1" applyAlignment="1">
      <alignment/>
    </xf>
    <xf numFmtId="0" fontId="33" fillId="43" borderId="32" xfId="0" applyFont="1" applyFill="1" applyBorder="1" applyAlignment="1">
      <alignment/>
    </xf>
    <xf numFmtId="0" fontId="33" fillId="43" borderId="0" xfId="0" applyFont="1" applyFill="1" applyBorder="1" applyAlignment="1">
      <alignment horizontal="center"/>
    </xf>
    <xf numFmtId="196" fontId="33" fillId="43" borderId="0" xfId="0" applyNumberFormat="1" applyFont="1" applyFill="1" applyBorder="1" applyAlignment="1">
      <alignment horizontal="center"/>
    </xf>
    <xf numFmtId="0" fontId="5" fillId="33" borderId="0" xfId="0" applyNumberFormat="1" applyFont="1" applyFill="1" applyBorder="1" applyAlignment="1" applyProtection="1">
      <alignment horizontal="right" vertical="center"/>
      <protection/>
    </xf>
    <xf numFmtId="49" fontId="5" fillId="0" borderId="0" xfId="546" applyNumberFormat="1" applyFont="1" applyFill="1" applyAlignment="1" applyProtection="1">
      <alignment horizontal="left" vertical="center"/>
      <protection locked="0"/>
    </xf>
    <xf numFmtId="0" fontId="93" fillId="0" borderId="0" xfId="0" applyFont="1" applyAlignment="1">
      <alignment/>
    </xf>
    <xf numFmtId="0" fontId="94" fillId="0" borderId="0" xfId="546" applyFont="1">
      <alignment/>
      <protection/>
    </xf>
    <xf numFmtId="189" fontId="95" fillId="0" borderId="0" xfId="546" applyNumberFormat="1" applyFont="1" applyAlignment="1">
      <alignment horizontal="left" vertical="center"/>
      <protection/>
    </xf>
    <xf numFmtId="0" fontId="95" fillId="0" borderId="0" xfId="546" applyNumberFormat="1" applyFont="1" applyAlignment="1">
      <alignment horizontal="left" vertical="center"/>
      <protection/>
    </xf>
    <xf numFmtId="1" fontId="95" fillId="0" borderId="0" xfId="546" applyNumberFormat="1" applyFont="1" applyAlignment="1">
      <alignment horizontal="left" vertical="center"/>
      <protection/>
    </xf>
    <xf numFmtId="0" fontId="96" fillId="0" borderId="0" xfId="546" applyFont="1" applyAlignment="1">
      <alignment horizontal="left" vertical="center"/>
      <protection/>
    </xf>
    <xf numFmtId="37" fontId="5" fillId="33" borderId="0" xfId="102" applyNumberFormat="1" applyFont="1" applyFill="1" applyAlignment="1" applyProtection="1">
      <alignment vertical="center"/>
      <protection/>
    </xf>
    <xf numFmtId="0" fontId="5" fillId="33" borderId="0" xfId="102" applyFont="1" applyFill="1" applyAlignment="1" applyProtection="1">
      <alignment vertical="center"/>
      <protection/>
    </xf>
    <xf numFmtId="1" fontId="5" fillId="33" borderId="0" xfId="102" applyNumberFormat="1" applyFont="1" applyFill="1" applyBorder="1" applyAlignment="1" applyProtection="1">
      <alignment horizontal="right" vertical="center"/>
      <protection/>
    </xf>
    <xf numFmtId="0" fontId="5" fillId="0" borderId="0" xfId="102" applyFont="1" applyAlignment="1" applyProtection="1">
      <alignment vertical="center"/>
      <protection locked="0"/>
    </xf>
    <xf numFmtId="37" fontId="5" fillId="33" borderId="0" xfId="102" applyNumberFormat="1" applyFont="1" applyFill="1" applyAlignment="1" applyProtection="1">
      <alignment horizontal="right" vertical="center"/>
      <protection/>
    </xf>
    <xf numFmtId="0" fontId="4" fillId="33" borderId="0" xfId="102" applyFont="1" applyFill="1" applyAlignment="1" applyProtection="1">
      <alignment vertical="center"/>
      <protection/>
    </xf>
    <xf numFmtId="37" fontId="5" fillId="33" borderId="0" xfId="102" applyNumberFormat="1" applyFont="1" applyFill="1" applyAlignment="1" applyProtection="1">
      <alignment horizontal="fill" vertical="center"/>
      <protection/>
    </xf>
    <xf numFmtId="37" fontId="5" fillId="33" borderId="0" xfId="102" applyNumberFormat="1" applyFont="1" applyFill="1" applyAlignment="1" applyProtection="1">
      <alignment horizontal="left" vertical="center"/>
      <protection/>
    </xf>
    <xf numFmtId="1" fontId="5" fillId="33" borderId="23" xfId="102" applyNumberFormat="1" applyFont="1" applyFill="1" applyBorder="1" applyAlignment="1" applyProtection="1">
      <alignment horizontal="center" vertical="center"/>
      <protection/>
    </xf>
    <xf numFmtId="37" fontId="5" fillId="33" borderId="23" xfId="102" applyNumberFormat="1" applyFont="1" applyFill="1" applyBorder="1" applyAlignment="1" applyProtection="1">
      <alignment horizontal="center" vertical="center"/>
      <protection/>
    </xf>
    <xf numFmtId="37" fontId="5" fillId="33" borderId="11" xfId="102" applyNumberFormat="1" applyFont="1" applyFill="1" applyBorder="1" applyAlignment="1" applyProtection="1">
      <alignment horizontal="center" vertical="center"/>
      <protection/>
    </xf>
    <xf numFmtId="37" fontId="4" fillId="33" borderId="0" xfId="102" applyNumberFormat="1" applyFont="1" applyFill="1" applyBorder="1" applyAlignment="1" applyProtection="1">
      <alignment vertical="center"/>
      <protection/>
    </xf>
    <xf numFmtId="0" fontId="5" fillId="33" borderId="24" xfId="102" applyNumberFormat="1" applyFont="1" applyFill="1" applyBorder="1" applyAlignment="1" applyProtection="1">
      <alignment horizontal="center" vertical="center"/>
      <protection/>
    </xf>
    <xf numFmtId="1" fontId="5" fillId="33" borderId="14" xfId="102" applyNumberFormat="1" applyFont="1" applyFill="1" applyBorder="1" applyAlignment="1" applyProtection="1">
      <alignment horizontal="center" vertical="center"/>
      <protection/>
    </xf>
    <xf numFmtId="37" fontId="5" fillId="33" borderId="18" xfId="102" applyNumberFormat="1" applyFont="1" applyFill="1" applyBorder="1" applyAlignment="1" applyProtection="1">
      <alignment horizontal="left" vertical="center"/>
      <protection/>
    </xf>
    <xf numFmtId="3" fontId="5" fillId="35" borderId="23" xfId="10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xf>
    <xf numFmtId="3" fontId="5" fillId="33" borderId="13" xfId="42" applyNumberFormat="1" applyFont="1" applyFill="1" applyBorder="1" applyAlignment="1" applyProtection="1">
      <alignment horizontal="right" vertical="center"/>
      <protection/>
    </xf>
    <xf numFmtId="37" fontId="5" fillId="33" borderId="24" xfId="102" applyNumberFormat="1" applyFont="1" applyFill="1" applyBorder="1" applyAlignment="1" applyProtection="1">
      <alignment horizontal="left" vertical="center"/>
      <protection/>
    </xf>
    <xf numFmtId="3" fontId="5" fillId="33" borderId="23" xfId="102" applyNumberFormat="1" applyFont="1" applyFill="1" applyBorder="1" applyAlignment="1" applyProtection="1">
      <alignment horizontal="right" vertical="center"/>
      <protection locked="0"/>
    </xf>
    <xf numFmtId="3" fontId="5" fillId="33" borderId="16" xfId="42" applyNumberFormat="1" applyFont="1" applyFill="1" applyBorder="1" applyAlignment="1" applyProtection="1">
      <alignment horizontal="right" vertical="center"/>
      <protection/>
    </xf>
    <xf numFmtId="3" fontId="5" fillId="33" borderId="16" xfId="102" applyNumberFormat="1" applyFont="1" applyFill="1" applyBorder="1" applyAlignment="1" applyProtection="1">
      <alignment horizontal="fill" vertical="center"/>
      <protection/>
    </xf>
    <xf numFmtId="3" fontId="5" fillId="35" borderId="12" xfId="102" applyNumberFormat="1" applyFont="1" applyFill="1" applyBorder="1" applyAlignment="1" applyProtection="1">
      <alignment horizontal="right" vertical="center"/>
      <protection locked="0"/>
    </xf>
    <xf numFmtId="3" fontId="5" fillId="35" borderId="16" xfId="102" applyNumberFormat="1" applyFont="1" applyFill="1" applyBorder="1" applyAlignment="1" applyProtection="1">
      <alignment horizontal="right" vertical="center"/>
      <protection locked="0"/>
    </xf>
    <xf numFmtId="3" fontId="5" fillId="33" borderId="16" xfId="102" applyNumberFormat="1" applyFont="1" applyFill="1" applyBorder="1" applyAlignment="1" applyProtection="1">
      <alignment horizontal="right" vertical="center"/>
      <protection/>
    </xf>
    <xf numFmtId="0" fontId="5" fillId="33" borderId="18" xfId="102" applyNumberFormat="1" applyFont="1" applyFill="1" applyBorder="1" applyAlignment="1" applyProtection="1">
      <alignment horizontal="left" vertical="center"/>
      <protection/>
    </xf>
    <xf numFmtId="0" fontId="5" fillId="35" borderId="18" xfId="102" applyNumberFormat="1" applyFont="1" applyFill="1" applyBorder="1" applyAlignment="1" applyProtection="1">
      <alignment horizontal="left"/>
      <protection locked="0"/>
    </xf>
    <xf numFmtId="3" fontId="5" fillId="35" borderId="18" xfId="102" applyNumberFormat="1" applyFont="1" applyFill="1" applyBorder="1" applyAlignment="1" applyProtection="1">
      <alignment horizontal="right" vertical="center"/>
      <protection locked="0"/>
    </xf>
    <xf numFmtId="0" fontId="5" fillId="35" borderId="23" xfId="102" applyNumberFormat="1" applyFont="1" applyFill="1" applyBorder="1" applyAlignment="1" applyProtection="1">
      <alignment horizontal="left" vertical="center"/>
      <protection locked="0"/>
    </xf>
    <xf numFmtId="0" fontId="5" fillId="33" borderId="18" xfId="102" applyFont="1" applyFill="1" applyBorder="1" applyAlignment="1" applyProtection="1">
      <alignment vertical="center"/>
      <protection/>
    </xf>
    <xf numFmtId="3" fontId="5" fillId="35" borderId="13" xfId="102" applyNumberFormat="1" applyFont="1" applyFill="1" applyBorder="1" applyAlignment="1" applyProtection="1">
      <alignment horizontal="right" vertical="center"/>
      <protection locked="0"/>
    </xf>
    <xf numFmtId="3" fontId="17" fillId="40" borderId="18" xfId="102" applyNumberFormat="1" applyFont="1" applyFill="1" applyBorder="1" applyAlignment="1" applyProtection="1">
      <alignment horizontal="center" vertical="center"/>
      <protection/>
    </xf>
    <xf numFmtId="3" fontId="17" fillId="40" borderId="12" xfId="102" applyNumberFormat="1" applyFont="1" applyFill="1" applyBorder="1" applyAlignment="1" applyProtection="1">
      <alignment horizontal="center" vertical="center"/>
      <protection/>
    </xf>
    <xf numFmtId="3" fontId="17" fillId="40" borderId="16" xfId="102" applyNumberFormat="1" applyFont="1" applyFill="1" applyBorder="1" applyAlignment="1" applyProtection="1">
      <alignment horizontal="center" vertical="center"/>
      <protection/>
    </xf>
    <xf numFmtId="37" fontId="4" fillId="33" borderId="18" xfId="102" applyNumberFormat="1" applyFont="1" applyFill="1" applyBorder="1" applyAlignment="1" applyProtection="1">
      <alignment horizontal="left" vertical="center"/>
      <protection/>
    </xf>
    <xf numFmtId="3" fontId="4" fillId="37" borderId="18" xfId="102" applyNumberFormat="1" applyFont="1" applyFill="1" applyBorder="1" applyAlignment="1" applyProtection="1">
      <alignment horizontal="right" vertical="center"/>
      <protection/>
    </xf>
    <xf numFmtId="3" fontId="4" fillId="37" borderId="12" xfId="102" applyNumberFormat="1" applyFont="1" applyFill="1" applyBorder="1" applyAlignment="1" applyProtection="1">
      <alignment horizontal="right" vertical="center"/>
      <protection/>
    </xf>
    <xf numFmtId="3" fontId="4" fillId="37" borderId="13" xfId="102" applyNumberFormat="1" applyFont="1" applyFill="1" applyBorder="1" applyAlignment="1" applyProtection="1">
      <alignment horizontal="right" vertical="center"/>
      <protection/>
    </xf>
    <xf numFmtId="3" fontId="4" fillId="37" borderId="16" xfId="102" applyNumberFormat="1" applyFont="1" applyFill="1" applyBorder="1" applyAlignment="1" applyProtection="1">
      <alignment horizontal="right" vertical="center"/>
      <protection/>
    </xf>
    <xf numFmtId="3" fontId="5" fillId="33" borderId="18" xfId="102" applyNumberFormat="1" applyFont="1" applyFill="1" applyBorder="1" applyAlignment="1" applyProtection="1">
      <alignment horizontal="right" vertical="center"/>
      <protection/>
    </xf>
    <xf numFmtId="3" fontId="5" fillId="33" borderId="12" xfId="102" applyNumberFormat="1" applyFont="1" applyFill="1" applyBorder="1" applyAlignment="1" applyProtection="1">
      <alignment horizontal="right" vertical="center"/>
      <protection/>
    </xf>
    <xf numFmtId="0" fontId="5" fillId="35" borderId="18" xfId="102" applyFont="1" applyFill="1" applyBorder="1" applyAlignment="1" applyProtection="1">
      <alignment vertical="center"/>
      <protection locked="0"/>
    </xf>
    <xf numFmtId="3" fontId="5" fillId="35" borderId="16" xfId="102" applyNumberFormat="1" applyFont="1" applyFill="1" applyBorder="1" applyAlignment="1" applyProtection="1">
      <alignment horizontal="right"/>
      <protection locked="0"/>
    </xf>
    <xf numFmtId="0" fontId="5" fillId="35" borderId="18" xfId="102" applyFont="1" applyFill="1" applyBorder="1" applyProtection="1">
      <alignment/>
      <protection locked="0"/>
    </xf>
    <xf numFmtId="0" fontId="5" fillId="35" borderId="18" xfId="173" applyFont="1" applyFill="1" applyBorder="1" applyProtection="1">
      <alignment/>
      <protection locked="0"/>
    </xf>
    <xf numFmtId="0" fontId="5" fillId="0" borderId="0" xfId="102" applyFont="1" applyFill="1" applyBorder="1" applyAlignment="1" applyProtection="1">
      <alignment horizontal="center" vertical="center"/>
      <protection locked="0"/>
    </xf>
    <xf numFmtId="0" fontId="0" fillId="0" borderId="0" xfId="102" applyFill="1" applyBorder="1" applyAlignment="1">
      <alignment vertical="center"/>
      <protection/>
    </xf>
    <xf numFmtId="0" fontId="5" fillId="0" borderId="0" xfId="102" applyFont="1" applyFill="1" applyBorder="1" applyAlignment="1" applyProtection="1">
      <alignment vertical="center"/>
      <protection locked="0"/>
    </xf>
    <xf numFmtId="3" fontId="5" fillId="0" borderId="0" xfId="102" applyNumberFormat="1" applyFont="1" applyFill="1" applyBorder="1" applyAlignment="1" applyProtection="1">
      <alignment horizontal="center" vertical="center"/>
      <protection locked="0"/>
    </xf>
    <xf numFmtId="3" fontId="5" fillId="44" borderId="16" xfId="102" applyNumberFormat="1" applyFont="1" applyFill="1" applyBorder="1" applyAlignment="1" applyProtection="1">
      <alignment horizontal="right" vertical="center"/>
      <protection locked="0"/>
    </xf>
    <xf numFmtId="0" fontId="37" fillId="43" borderId="36" xfId="102" applyFont="1" applyFill="1" applyBorder="1" applyAlignment="1" applyProtection="1">
      <alignment vertical="center"/>
      <protection/>
    </xf>
    <xf numFmtId="0" fontId="5" fillId="43" borderId="0" xfId="102" applyFont="1" applyFill="1" applyBorder="1" applyAlignment="1" applyProtection="1">
      <alignment vertical="center"/>
      <protection/>
    </xf>
    <xf numFmtId="0" fontId="37" fillId="43" borderId="0" xfId="102" applyFont="1" applyFill="1" applyBorder="1" applyAlignment="1" applyProtection="1">
      <alignment vertical="center"/>
      <protection/>
    </xf>
    <xf numFmtId="195" fontId="37" fillId="43" borderId="20" xfId="102" applyNumberFormat="1" applyFont="1" applyFill="1" applyBorder="1" applyAlignment="1" applyProtection="1">
      <alignment horizontal="center" vertical="center"/>
      <protection/>
    </xf>
    <xf numFmtId="0" fontId="37" fillId="43" borderId="36" xfId="102" applyFont="1" applyFill="1" applyBorder="1" applyAlignment="1" applyProtection="1">
      <alignment horizontal="left" vertical="center"/>
      <protection/>
    </xf>
    <xf numFmtId="195" fontId="37" fillId="44" borderId="12" xfId="102" applyNumberFormat="1" applyFont="1" applyFill="1" applyBorder="1" applyAlignment="1" applyProtection="1">
      <alignment horizontal="center" vertical="center"/>
      <protection locked="0"/>
    </xf>
    <xf numFmtId="0" fontId="39" fillId="43" borderId="16" xfId="102" applyFont="1" applyFill="1" applyBorder="1" applyAlignment="1" applyProtection="1">
      <alignment horizontal="center" vertical="center"/>
      <protection/>
    </xf>
    <xf numFmtId="0" fontId="39" fillId="46" borderId="36" xfId="102" applyFont="1" applyFill="1" applyBorder="1" applyAlignment="1" applyProtection="1">
      <alignment vertical="center"/>
      <protection/>
    </xf>
    <xf numFmtId="0" fontId="5" fillId="46" borderId="0" xfId="102" applyFont="1" applyFill="1" applyBorder="1" applyAlignment="1" applyProtection="1">
      <alignment vertical="center"/>
      <protection/>
    </xf>
    <xf numFmtId="0" fontId="37" fillId="46" borderId="0" xfId="102" applyFont="1" applyFill="1" applyBorder="1" applyAlignment="1" applyProtection="1">
      <alignment vertical="center"/>
      <protection/>
    </xf>
    <xf numFmtId="195" fontId="39" fillId="46" borderId="16" xfId="102" applyNumberFormat="1" applyFont="1" applyFill="1" applyBorder="1" applyAlignment="1" applyProtection="1">
      <alignment horizontal="center" vertical="center"/>
      <protection/>
    </xf>
    <xf numFmtId="37" fontId="37" fillId="33" borderId="24" xfId="102" applyNumberFormat="1" applyFont="1" applyFill="1" applyBorder="1" applyAlignment="1" applyProtection="1">
      <alignment horizontal="left" vertical="center"/>
      <protection/>
    </xf>
    <xf numFmtId="0" fontId="40" fillId="43" borderId="10" xfId="102" applyFont="1" applyFill="1" applyBorder="1" applyAlignment="1">
      <alignment horizontal="left" vertical="center"/>
      <protection/>
    </xf>
    <xf numFmtId="195" fontId="39" fillId="46" borderId="13" xfId="102" applyNumberFormat="1" applyFont="1" applyFill="1" applyBorder="1" applyAlignment="1" applyProtection="1">
      <alignment horizontal="center" vertical="center"/>
      <protection locked="0"/>
    </xf>
    <xf numFmtId="0" fontId="5" fillId="43" borderId="36" xfId="102" applyFont="1" applyFill="1" applyBorder="1" applyAlignment="1" applyProtection="1">
      <alignment vertical="center"/>
      <protection/>
    </xf>
    <xf numFmtId="0" fontId="5" fillId="43" borderId="20" xfId="102" applyFont="1" applyFill="1" applyBorder="1" applyAlignment="1" applyProtection="1">
      <alignment vertical="center"/>
      <protection/>
    </xf>
    <xf numFmtId="195" fontId="37" fillId="43" borderId="36" xfId="102" applyNumberFormat="1" applyFont="1" applyFill="1" applyBorder="1" applyAlignment="1" applyProtection="1">
      <alignment horizontal="center" vertical="center"/>
      <protection/>
    </xf>
    <xf numFmtId="0" fontId="37" fillId="43" borderId="0" xfId="102" applyFont="1" applyFill="1" applyBorder="1" applyAlignment="1" applyProtection="1">
      <alignment horizontal="left" vertical="center"/>
      <protection/>
    </xf>
    <xf numFmtId="0" fontId="37" fillId="43" borderId="20" xfId="102" applyFont="1" applyFill="1" applyBorder="1" applyAlignment="1" applyProtection="1">
      <alignment vertical="center"/>
      <protection/>
    </xf>
    <xf numFmtId="3" fontId="5" fillId="37" borderId="18" xfId="102" applyNumberFormat="1" applyFont="1" applyFill="1" applyBorder="1" applyAlignment="1" applyProtection="1">
      <alignment horizontal="right" vertical="center"/>
      <protection/>
    </xf>
    <xf numFmtId="3" fontId="5" fillId="37" borderId="12" xfId="102" applyNumberFormat="1" applyFont="1" applyFill="1" applyBorder="1" applyAlignment="1" applyProtection="1">
      <alignment horizontal="right" vertical="center"/>
      <protection/>
    </xf>
    <xf numFmtId="0" fontId="5" fillId="33" borderId="0" xfId="102" applyFont="1" applyFill="1" applyAlignment="1" applyProtection="1">
      <alignment horizontal="right" vertical="center"/>
      <protection/>
    </xf>
    <xf numFmtId="0" fontId="17" fillId="0" borderId="0" xfId="102" applyFont="1" applyAlignment="1" applyProtection="1">
      <alignment vertical="center"/>
      <protection/>
    </xf>
    <xf numFmtId="195" fontId="37" fillId="43" borderId="24" xfId="102" applyNumberFormat="1" applyFont="1" applyFill="1" applyBorder="1" applyAlignment="1" applyProtection="1">
      <alignment horizontal="center" vertical="center"/>
      <protection/>
    </xf>
    <xf numFmtId="0" fontId="90" fillId="0" borderId="0" xfId="102" applyFont="1" applyProtection="1">
      <alignment/>
      <protection locked="0"/>
    </xf>
    <xf numFmtId="3" fontId="5" fillId="35" borderId="12" xfId="102" applyNumberFormat="1" applyFont="1" applyFill="1" applyBorder="1" applyAlignment="1" applyProtection="1">
      <alignment vertical="center"/>
      <protection locked="0"/>
    </xf>
    <xf numFmtId="0" fontId="41" fillId="0" borderId="0" xfId="102" applyFont="1" applyAlignment="1" applyProtection="1">
      <alignment vertical="center"/>
      <protection/>
    </xf>
    <xf numFmtId="0" fontId="92" fillId="33" borderId="0" xfId="102" applyFont="1" applyFill="1" applyAlignment="1" applyProtection="1">
      <alignment horizontal="center" vertical="center"/>
      <protection/>
    </xf>
    <xf numFmtId="3" fontId="5" fillId="33" borderId="12" xfId="102" applyNumberFormat="1" applyFont="1" applyFill="1" applyBorder="1" applyAlignment="1" applyProtection="1">
      <alignment vertical="center"/>
      <protection/>
    </xf>
    <xf numFmtId="195" fontId="37" fillId="43" borderId="36" xfId="102" applyNumberFormat="1" applyFont="1" applyFill="1" applyBorder="1" applyAlignment="1" applyProtection="1">
      <alignment vertical="center"/>
      <protection/>
    </xf>
    <xf numFmtId="0" fontId="15" fillId="33" borderId="0" xfId="102" applyFont="1" applyFill="1" applyAlignment="1" applyProtection="1">
      <alignment horizontal="center" vertical="center"/>
      <protection/>
    </xf>
    <xf numFmtId="3" fontId="5" fillId="37" borderId="12" xfId="102" applyNumberFormat="1" applyFont="1" applyFill="1" applyBorder="1" applyAlignment="1" applyProtection="1">
      <alignment vertical="center"/>
      <protection/>
    </xf>
    <xf numFmtId="2" fontId="5" fillId="33" borderId="0" xfId="102" applyNumberFormat="1" applyFont="1" applyFill="1" applyAlignment="1" applyProtection="1">
      <alignment horizontal="right" vertical="center"/>
      <protection locked="0"/>
    </xf>
    <xf numFmtId="198" fontId="5" fillId="43" borderId="0" xfId="126" applyNumberFormat="1" applyFont="1" applyFill="1" applyAlignment="1">
      <alignment horizontal="center" vertical="center"/>
      <protection/>
    </xf>
    <xf numFmtId="195" fontId="39" fillId="46" borderId="24" xfId="102" applyNumberFormat="1" applyFont="1" applyFill="1" applyBorder="1" applyAlignment="1" applyProtection="1">
      <alignment horizontal="center" vertical="center"/>
      <protection/>
    </xf>
    <xf numFmtId="0" fontId="39" fillId="46" borderId="10" xfId="102" applyFont="1" applyFill="1" applyBorder="1" applyAlignment="1" applyProtection="1">
      <alignment vertical="center"/>
      <protection/>
    </xf>
    <xf numFmtId="0" fontId="37" fillId="46" borderId="13" xfId="102" applyFont="1" applyFill="1" applyBorder="1" applyAlignment="1" applyProtection="1">
      <alignment vertical="center"/>
      <protection/>
    </xf>
    <xf numFmtId="0" fontId="5" fillId="46" borderId="13" xfId="102" applyFont="1" applyFill="1" applyBorder="1" applyAlignment="1" applyProtection="1">
      <alignment vertical="center"/>
      <protection/>
    </xf>
    <xf numFmtId="3" fontId="4" fillId="39" borderId="22" xfId="102" applyNumberFormat="1" applyFont="1" applyFill="1" applyBorder="1" applyAlignment="1" applyProtection="1">
      <alignment vertical="center"/>
      <protection/>
    </xf>
    <xf numFmtId="0" fontId="5" fillId="35" borderId="0" xfId="102" applyFont="1" applyFill="1" applyAlignment="1" applyProtection="1">
      <alignment horizontal="left" vertical="center"/>
      <protection locked="0"/>
    </xf>
    <xf numFmtId="0" fontId="5" fillId="43" borderId="0" xfId="102" applyFont="1" applyFill="1" applyAlignment="1" applyProtection="1">
      <alignment vertical="center"/>
      <protection/>
    </xf>
    <xf numFmtId="188" fontId="37" fillId="43" borderId="36" xfId="102" applyNumberFormat="1" applyFont="1" applyFill="1" applyBorder="1" applyAlignment="1" applyProtection="1">
      <alignment horizontal="center" vertical="center"/>
      <protection/>
    </xf>
    <xf numFmtId="0" fontId="38" fillId="43" borderId="0" xfId="102" applyFont="1" applyFill="1" applyBorder="1" applyAlignment="1" applyProtection="1">
      <alignment horizontal="center" vertical="center"/>
      <protection/>
    </xf>
    <xf numFmtId="0" fontId="0" fillId="43" borderId="20" xfId="102" applyFill="1" applyBorder="1" applyAlignment="1" applyProtection="1">
      <alignment vertical="center"/>
      <protection/>
    </xf>
    <xf numFmtId="188" fontId="37" fillId="46" borderId="24" xfId="102" applyNumberFormat="1" applyFont="1" applyFill="1" applyBorder="1" applyAlignment="1" applyProtection="1">
      <alignment horizontal="center" vertical="center"/>
      <protection/>
    </xf>
    <xf numFmtId="0" fontId="5" fillId="0" borderId="0" xfId="102" applyFont="1" applyFill="1" applyBorder="1" applyAlignment="1" applyProtection="1">
      <alignment vertical="center"/>
      <protection/>
    </xf>
    <xf numFmtId="195" fontId="5" fillId="0" borderId="0" xfId="102" applyNumberFormat="1" applyFont="1" applyFill="1" applyBorder="1" applyAlignment="1" applyProtection="1">
      <alignment vertical="center"/>
      <protection locked="0"/>
    </xf>
    <xf numFmtId="188" fontId="37" fillId="43" borderId="18" xfId="102" applyNumberFormat="1" applyFont="1" applyFill="1" applyBorder="1" applyAlignment="1" applyProtection="1">
      <alignment horizontal="center" vertical="center"/>
      <protection/>
    </xf>
    <xf numFmtId="195" fontId="5" fillId="0" borderId="0" xfId="102" applyNumberFormat="1" applyFont="1" applyAlignment="1" applyProtection="1">
      <alignment vertical="center"/>
      <protection locked="0"/>
    </xf>
    <xf numFmtId="0" fontId="37" fillId="0" borderId="0" xfId="102" applyFont="1" applyFill="1" applyBorder="1" applyAlignment="1" applyProtection="1">
      <alignment horizontal="left" vertical="center"/>
      <protection/>
    </xf>
    <xf numFmtId="0" fontId="37" fillId="0" borderId="0" xfId="102" applyFont="1" applyFill="1" applyBorder="1" applyAlignment="1" applyProtection="1">
      <alignment vertical="center"/>
      <protection/>
    </xf>
    <xf numFmtId="195" fontId="37" fillId="0" borderId="0" xfId="102" applyNumberFormat="1" applyFont="1" applyFill="1" applyBorder="1" applyAlignment="1" applyProtection="1">
      <alignment horizontal="center" vertical="center"/>
      <protection locked="0"/>
    </xf>
    <xf numFmtId="0" fontId="37" fillId="0" borderId="0" xfId="102" applyFont="1" applyFill="1" applyBorder="1" applyAlignment="1" applyProtection="1">
      <alignment vertical="center"/>
      <protection locked="0"/>
    </xf>
    <xf numFmtId="188" fontId="37" fillId="46" borderId="18" xfId="102" applyNumberFormat="1" applyFont="1" applyFill="1" applyBorder="1" applyAlignment="1" applyProtection="1">
      <alignment horizontal="center" vertical="center"/>
      <protection/>
    </xf>
    <xf numFmtId="3" fontId="5" fillId="0" borderId="0" xfId="102" applyNumberFormat="1" applyFont="1" applyFill="1" applyBorder="1" applyAlignment="1" applyProtection="1">
      <alignment horizontal="left" vertical="center"/>
      <protection locked="0"/>
    </xf>
    <xf numFmtId="6" fontId="5" fillId="0" borderId="0" xfId="102" applyNumberFormat="1" applyFont="1" applyFill="1" applyBorder="1" applyAlignment="1" applyProtection="1">
      <alignment horizontal="left" vertical="center"/>
      <protection locked="0"/>
    </xf>
    <xf numFmtId="0" fontId="37" fillId="43" borderId="10" xfId="102" applyFont="1" applyFill="1" applyBorder="1" applyAlignment="1" applyProtection="1">
      <alignment horizontal="left" vertical="center"/>
      <protection/>
    </xf>
    <xf numFmtId="0" fontId="38" fillId="43" borderId="10" xfId="102" applyFont="1" applyFill="1" applyBorder="1" applyAlignment="1" applyProtection="1">
      <alignment horizontal="center" vertical="center"/>
      <protection/>
    </xf>
    <xf numFmtId="0" fontId="0" fillId="43" borderId="13" xfId="102" applyFill="1" applyBorder="1" applyAlignment="1" applyProtection="1">
      <alignment vertical="center"/>
      <protection/>
    </xf>
    <xf numFmtId="188" fontId="37" fillId="0" borderId="0" xfId="102" applyNumberFormat="1" applyFont="1" applyFill="1" applyBorder="1" applyAlignment="1" applyProtection="1">
      <alignment horizontal="center" vertical="center"/>
      <protection locked="0"/>
    </xf>
    <xf numFmtId="0" fontId="39" fillId="0" borderId="0" xfId="102" applyFont="1" applyFill="1" applyBorder="1" applyAlignment="1" applyProtection="1">
      <alignment horizontal="center" vertical="center"/>
      <protection/>
    </xf>
    <xf numFmtId="3" fontId="92" fillId="0" borderId="0" xfId="102" applyNumberFormat="1" applyFont="1" applyFill="1" applyBorder="1" applyAlignment="1" applyProtection="1">
      <alignment horizontal="center" vertical="center"/>
      <protection locked="0"/>
    </xf>
    <xf numFmtId="0" fontId="92" fillId="0" borderId="0" xfId="102" applyFont="1" applyFill="1" applyBorder="1" applyAlignment="1" applyProtection="1">
      <alignment horizontal="center" vertical="center"/>
      <protection locked="0"/>
    </xf>
    <xf numFmtId="0" fontId="92" fillId="0" borderId="0" xfId="102" applyFont="1" applyAlignment="1" applyProtection="1">
      <alignment horizontal="center" vertical="center"/>
      <protection locked="0"/>
    </xf>
    <xf numFmtId="0" fontId="5" fillId="43" borderId="0" xfId="102" applyFont="1" applyFill="1">
      <alignment/>
      <protection/>
    </xf>
    <xf numFmtId="0" fontId="0" fillId="0" borderId="0" xfId="102">
      <alignment/>
      <protection/>
    </xf>
    <xf numFmtId="0" fontId="5" fillId="43" borderId="0" xfId="102" applyFont="1" applyFill="1" applyAlignment="1">
      <alignment vertical="center"/>
      <protection/>
    </xf>
    <xf numFmtId="37" fontId="5" fillId="43" borderId="0" xfId="102" applyNumberFormat="1" applyFont="1" applyFill="1" applyAlignment="1">
      <alignment vertical="center"/>
      <protection/>
    </xf>
    <xf numFmtId="0" fontId="5" fillId="43" borderId="10" xfId="102" applyFont="1" applyFill="1" applyBorder="1" applyAlignment="1">
      <alignment vertical="center"/>
      <protection/>
    </xf>
    <xf numFmtId="0" fontId="5" fillId="43" borderId="0" xfId="102" applyFont="1" applyFill="1" applyAlignment="1">
      <alignment horizontal="center" vertical="center"/>
      <protection/>
    </xf>
    <xf numFmtId="0" fontId="6" fillId="43" borderId="0" xfId="102" applyFont="1" applyFill="1" applyAlignment="1">
      <alignment horizontal="center" vertical="center"/>
      <protection/>
    </xf>
    <xf numFmtId="195" fontId="5" fillId="43" borderId="0" xfId="102" applyNumberFormat="1" applyFont="1" applyFill="1" applyAlignment="1">
      <alignment vertical="center"/>
      <protection/>
    </xf>
    <xf numFmtId="195" fontId="5" fillId="43" borderId="17" xfId="102" applyNumberFormat="1" applyFont="1" applyFill="1" applyBorder="1" applyAlignment="1">
      <alignment vertical="center"/>
      <protection/>
    </xf>
    <xf numFmtId="6" fontId="5" fillId="43" borderId="0" xfId="102" applyNumberFormat="1" applyFont="1" applyFill="1" applyBorder="1" applyAlignment="1">
      <alignment vertical="center"/>
      <protection/>
    </xf>
    <xf numFmtId="195" fontId="5" fillId="43" borderId="0" xfId="102" applyNumberFormat="1" applyFont="1" applyFill="1" applyBorder="1" applyAlignment="1">
      <alignment vertical="center"/>
      <protection/>
    </xf>
    <xf numFmtId="0" fontId="91" fillId="46" borderId="0" xfId="102" applyFont="1" applyFill="1" applyAlignment="1">
      <alignment vertical="center"/>
      <protection/>
    </xf>
    <xf numFmtId="0" fontId="91" fillId="43" borderId="0" xfId="102" applyFont="1" applyFill="1" applyAlignment="1">
      <alignment horizontal="center" vertical="center"/>
      <protection/>
    </xf>
    <xf numFmtId="188" fontId="5" fillId="43" borderId="0" xfId="102" applyNumberFormat="1" applyFont="1" applyFill="1" applyAlignment="1">
      <alignment horizontal="center" vertical="center"/>
      <protection/>
    </xf>
    <xf numFmtId="199" fontId="91" fillId="43" borderId="0" xfId="102" applyNumberFormat="1" applyFont="1" applyFill="1" applyAlignment="1">
      <alignment horizontal="center" vertical="center"/>
      <protection/>
    </xf>
    <xf numFmtId="0" fontId="91" fillId="46" borderId="0" xfId="102" applyFont="1" applyFill="1" applyAlignment="1">
      <alignment horizontal="center" vertical="center"/>
      <protection/>
    </xf>
    <xf numFmtId="0" fontId="97" fillId="46" borderId="0" xfId="102" applyFont="1" applyFill="1" applyAlignment="1">
      <alignment horizontal="center" vertical="center"/>
      <protection/>
    </xf>
    <xf numFmtId="0" fontId="5" fillId="43" borderId="0" xfId="102" applyFont="1" applyFill="1" applyAlignment="1">
      <alignment horizontal="right" vertical="center"/>
      <protection/>
    </xf>
    <xf numFmtId="0" fontId="5" fillId="43" borderId="0" xfId="102" applyFont="1" applyFill="1" applyAlignment="1">
      <alignment horizontal="left" vertical="center"/>
      <protection/>
    </xf>
    <xf numFmtId="0" fontId="5" fillId="43" borderId="0" xfId="92" applyFont="1" applyFill="1">
      <alignment/>
      <protection/>
    </xf>
    <xf numFmtId="0" fontId="0" fillId="43" borderId="0" xfId="102" applyFill="1">
      <alignment/>
      <protection/>
    </xf>
    <xf numFmtId="0" fontId="4" fillId="43" borderId="0" xfId="92" applyFont="1" applyFill="1">
      <alignment/>
      <protection/>
    </xf>
    <xf numFmtId="0" fontId="0" fillId="43" borderId="0" xfId="92" applyFill="1">
      <alignment/>
      <protection/>
    </xf>
    <xf numFmtId="0" fontId="11" fillId="0" borderId="0" xfId="71" applyAlignment="1" applyProtection="1">
      <alignment/>
      <protection/>
    </xf>
    <xf numFmtId="0" fontId="5" fillId="33" borderId="19" xfId="0" applyFont="1" applyFill="1" applyBorder="1" applyAlignment="1" applyProtection="1">
      <alignment/>
      <protection/>
    </xf>
    <xf numFmtId="0" fontId="8" fillId="33" borderId="14" xfId="0" applyFont="1" applyFill="1" applyBorder="1" applyAlignment="1" applyProtection="1">
      <alignment horizontal="center" vertical="center"/>
      <protection/>
    </xf>
    <xf numFmtId="14" fontId="5" fillId="33" borderId="14" xfId="0" applyNumberFormat="1" applyFont="1" applyFill="1" applyBorder="1" applyAlignment="1" applyProtection="1" quotePrefix="1">
      <alignment horizontal="center" vertical="center"/>
      <protection/>
    </xf>
    <xf numFmtId="3" fontId="4" fillId="37" borderId="22" xfId="0" applyNumberFormat="1" applyFont="1" applyFill="1" applyBorder="1" applyAlignment="1" applyProtection="1">
      <alignment horizontal="center" vertical="center"/>
      <protection/>
    </xf>
    <xf numFmtId="1" fontId="5" fillId="35" borderId="12" xfId="0" applyNumberFormat="1" applyFont="1" applyFill="1" applyBorder="1" applyAlignment="1" applyProtection="1">
      <alignment horizontal="center" vertical="center"/>
      <protection locked="0"/>
    </xf>
    <xf numFmtId="0" fontId="37" fillId="0" borderId="0" xfId="121" applyFont="1" applyFill="1" applyBorder="1" applyAlignment="1" applyProtection="1">
      <alignment vertical="center"/>
      <protection/>
    </xf>
    <xf numFmtId="0" fontId="5" fillId="0" borderId="0" xfId="121" applyFont="1" applyFill="1" applyBorder="1" applyAlignment="1" applyProtection="1">
      <alignment vertical="center"/>
      <protection locked="0"/>
    </xf>
    <xf numFmtId="0" fontId="37" fillId="0" borderId="0" xfId="121" applyFont="1" applyFill="1" applyBorder="1" applyAlignment="1" applyProtection="1">
      <alignment vertical="center"/>
      <protection locked="0"/>
    </xf>
    <xf numFmtId="188" fontId="37" fillId="0" borderId="0" xfId="121" applyNumberFormat="1" applyFont="1" applyFill="1" applyBorder="1" applyAlignment="1" applyProtection="1">
      <alignment horizontal="center" vertical="center"/>
      <protection locked="0"/>
    </xf>
    <xf numFmtId="198" fontId="5" fillId="33" borderId="0" xfId="566" applyNumberFormat="1" applyFont="1" applyFill="1" applyAlignment="1" applyProtection="1">
      <alignment horizontal="center" vertical="center"/>
      <protection/>
    </xf>
    <xf numFmtId="3" fontId="5" fillId="40" borderId="22" xfId="0" applyNumberFormat="1" applyFont="1" applyFill="1" applyBorder="1" applyAlignment="1" applyProtection="1">
      <alignment vertical="center"/>
      <protection/>
    </xf>
    <xf numFmtId="3" fontId="5" fillId="39" borderId="22" xfId="121" applyNumberFormat="1" applyFont="1" applyFill="1" applyBorder="1" applyAlignment="1" applyProtection="1">
      <alignment vertical="center"/>
      <protection/>
    </xf>
    <xf numFmtId="3" fontId="5" fillId="39" borderId="22" xfId="0" applyNumberFormat="1" applyFont="1" applyFill="1" applyBorder="1" applyAlignment="1" applyProtection="1">
      <alignment vertical="center"/>
      <protection/>
    </xf>
    <xf numFmtId="0" fontId="5" fillId="0" borderId="0" xfId="0" applyFont="1" applyBorder="1" applyAlignment="1" applyProtection="1">
      <alignment vertical="center"/>
      <protection locked="0"/>
    </xf>
    <xf numFmtId="0" fontId="5" fillId="33" borderId="0" xfId="0" applyFont="1" applyFill="1" applyBorder="1" applyAlignment="1" applyProtection="1">
      <alignment vertical="center"/>
      <protection locked="0"/>
    </xf>
    <xf numFmtId="37" fontId="5" fillId="33" borderId="0" xfId="0" applyNumberFormat="1" applyFont="1" applyFill="1" applyBorder="1" applyAlignment="1" applyProtection="1">
      <alignment horizontal="fill" vertical="center"/>
      <protection locked="0"/>
    </xf>
    <xf numFmtId="37" fontId="5" fillId="33" borderId="0" xfId="0" applyNumberFormat="1" applyFont="1" applyFill="1" applyBorder="1" applyAlignment="1" applyProtection="1">
      <alignment horizontal="centerContinuous" vertical="center"/>
      <protection/>
    </xf>
    <xf numFmtId="0" fontId="5" fillId="33" borderId="0" xfId="0" applyFont="1" applyFill="1" applyBorder="1" applyAlignment="1" applyProtection="1">
      <alignment horizontal="center" vertical="center"/>
      <protection/>
    </xf>
    <xf numFmtId="37" fontId="5" fillId="33" borderId="0" xfId="0" applyNumberFormat="1" applyFont="1" applyFill="1" applyBorder="1" applyAlignment="1" applyProtection="1">
      <alignment horizontal="center" vertical="center"/>
      <protection/>
    </xf>
    <xf numFmtId="0" fontId="5" fillId="33" borderId="24" xfId="0" applyFont="1" applyFill="1" applyBorder="1" applyAlignment="1" applyProtection="1">
      <alignment vertical="center"/>
      <protection/>
    </xf>
    <xf numFmtId="0" fontId="5" fillId="33" borderId="0" xfId="0" applyFont="1" applyFill="1" applyAlignment="1" applyProtection="1">
      <alignment/>
      <protection locked="0"/>
    </xf>
    <xf numFmtId="198" fontId="5" fillId="35" borderId="12" xfId="0" applyNumberFormat="1" applyFont="1" applyFill="1" applyBorder="1" applyAlignment="1" applyProtection="1">
      <alignment vertical="center"/>
      <protection locked="0"/>
    </xf>
    <xf numFmtId="0" fontId="5" fillId="43" borderId="36" xfId="121" applyFont="1" applyFill="1" applyBorder="1" applyAlignment="1" applyProtection="1">
      <alignment vertical="center"/>
      <protection/>
    </xf>
    <xf numFmtId="0" fontId="5" fillId="43" borderId="0" xfId="121" applyFont="1" applyFill="1" applyBorder="1" applyAlignment="1" applyProtection="1">
      <alignment vertical="center"/>
      <protection/>
    </xf>
    <xf numFmtId="0" fontId="5" fillId="43" borderId="20" xfId="121" applyFont="1" applyFill="1" applyBorder="1" applyAlignment="1" applyProtection="1">
      <alignment vertical="center"/>
      <protection/>
    </xf>
    <xf numFmtId="0" fontId="37" fillId="43" borderId="36" xfId="121" applyFont="1" applyFill="1" applyBorder="1" applyAlignment="1" applyProtection="1">
      <alignment horizontal="left" vertical="center"/>
      <protection/>
    </xf>
    <xf numFmtId="0" fontId="37" fillId="43" borderId="0" xfId="121" applyFont="1" applyFill="1" applyBorder="1" applyAlignment="1" applyProtection="1">
      <alignment vertical="center"/>
      <protection/>
    </xf>
    <xf numFmtId="195" fontId="37" fillId="44" borderId="12" xfId="121" applyNumberFormat="1" applyFont="1" applyFill="1" applyBorder="1" applyAlignment="1" applyProtection="1">
      <alignment horizontal="center" vertical="center"/>
      <protection locked="0"/>
    </xf>
    <xf numFmtId="0" fontId="37" fillId="43" borderId="36" xfId="121" applyFont="1" applyFill="1" applyBorder="1" applyAlignment="1" applyProtection="1">
      <alignment vertical="center"/>
      <protection/>
    </xf>
    <xf numFmtId="0" fontId="5" fillId="43" borderId="0" xfId="121" applyFont="1" applyFill="1" applyBorder="1" applyAlignment="1" applyProtection="1">
      <alignment vertical="center"/>
      <protection locked="0"/>
    </xf>
    <xf numFmtId="0" fontId="37" fillId="43" borderId="0" xfId="121" applyFont="1" applyFill="1" applyBorder="1" applyAlignment="1" applyProtection="1">
      <alignment vertical="center"/>
      <protection locked="0"/>
    </xf>
    <xf numFmtId="188" fontId="37" fillId="43" borderId="16" xfId="121" applyNumberFormat="1" applyFont="1" applyFill="1" applyBorder="1" applyAlignment="1" applyProtection="1">
      <alignment horizontal="center" vertical="center"/>
      <protection locked="0"/>
    </xf>
    <xf numFmtId="0" fontId="39" fillId="46" borderId="36" xfId="121" applyFont="1" applyFill="1" applyBorder="1" applyAlignment="1" applyProtection="1">
      <alignment vertical="center"/>
      <protection locked="0"/>
    </xf>
    <xf numFmtId="0" fontId="5" fillId="46" borderId="0" xfId="121" applyFont="1" applyFill="1" applyBorder="1" applyAlignment="1" applyProtection="1">
      <alignment vertical="center"/>
      <protection locked="0"/>
    </xf>
    <xf numFmtId="0" fontId="37" fillId="46" borderId="0" xfId="121" applyFont="1" applyFill="1" applyBorder="1" applyAlignment="1" applyProtection="1">
      <alignment vertical="center"/>
      <protection locked="0"/>
    </xf>
    <xf numFmtId="195" fontId="39" fillId="46" borderId="13" xfId="121" applyNumberFormat="1" applyFont="1" applyFill="1" applyBorder="1" applyAlignment="1" applyProtection="1">
      <alignment horizontal="center" vertical="center"/>
      <protection locked="0"/>
    </xf>
    <xf numFmtId="0" fontId="37" fillId="43" borderId="24" xfId="0" applyFont="1" applyFill="1" applyBorder="1" applyAlignment="1" applyProtection="1">
      <alignment vertical="center"/>
      <protection locked="0"/>
    </xf>
    <xf numFmtId="0" fontId="37" fillId="43" borderId="10" xfId="0" applyFont="1" applyFill="1" applyBorder="1" applyAlignment="1" applyProtection="1">
      <alignment vertical="center"/>
      <protection locked="0"/>
    </xf>
    <xf numFmtId="0" fontId="5" fillId="43" borderId="10" xfId="0" applyFont="1" applyFill="1" applyBorder="1" applyAlignment="1" applyProtection="1">
      <alignment vertical="center"/>
      <protection locked="0"/>
    </xf>
    <xf numFmtId="195" fontId="39" fillId="46" borderId="13" xfId="0" applyNumberFormat="1" applyFont="1" applyFill="1" applyBorder="1" applyAlignment="1" applyProtection="1">
      <alignment horizontal="center" vertical="center"/>
      <protection locked="0"/>
    </xf>
    <xf numFmtId="195" fontId="37" fillId="43" borderId="36" xfId="121" applyNumberFormat="1" applyFont="1" applyFill="1" applyBorder="1" applyAlignment="1" applyProtection="1">
      <alignment horizontal="center" vertical="center"/>
      <protection/>
    </xf>
    <xf numFmtId="0" fontId="37" fillId="43" borderId="0" xfId="121" applyFont="1" applyFill="1" applyBorder="1" applyAlignment="1" applyProtection="1">
      <alignment horizontal="left" vertical="center"/>
      <protection/>
    </xf>
    <xf numFmtId="0" fontId="37" fillId="43" borderId="20" xfId="121" applyFont="1" applyFill="1" applyBorder="1" applyAlignment="1" applyProtection="1">
      <alignment vertical="center"/>
      <protection/>
    </xf>
    <xf numFmtId="195" fontId="37" fillId="43" borderId="24" xfId="121" applyNumberFormat="1" applyFont="1" applyFill="1" applyBorder="1" applyAlignment="1" applyProtection="1">
      <alignment horizontal="center" vertical="center"/>
      <protection/>
    </xf>
    <xf numFmtId="0" fontId="90" fillId="0" borderId="0" xfId="0" applyFont="1" applyAlignment="1" applyProtection="1">
      <alignment/>
      <protection locked="0"/>
    </xf>
    <xf numFmtId="195" fontId="37" fillId="43" borderId="36" xfId="121" applyNumberFormat="1" applyFont="1" applyFill="1" applyBorder="1" applyAlignment="1" applyProtection="1">
      <alignment vertical="center"/>
      <protection/>
    </xf>
    <xf numFmtId="195" fontId="39" fillId="46" borderId="24" xfId="121" applyNumberFormat="1" applyFont="1" applyFill="1" applyBorder="1" applyAlignment="1" applyProtection="1">
      <alignment horizontal="center" vertical="center"/>
      <protection/>
    </xf>
    <xf numFmtId="0" fontId="39" fillId="46" borderId="10" xfId="121" applyFont="1" applyFill="1" applyBorder="1" applyAlignment="1" applyProtection="1">
      <alignment vertical="center"/>
      <protection/>
    </xf>
    <xf numFmtId="0" fontId="37" fillId="46" borderId="13" xfId="121" applyFont="1" applyFill="1" applyBorder="1" applyAlignment="1" applyProtection="1">
      <alignment vertical="center"/>
      <protection/>
    </xf>
    <xf numFmtId="0" fontId="5" fillId="46" borderId="13" xfId="121" applyFont="1" applyFill="1" applyBorder="1" applyAlignment="1" applyProtection="1">
      <alignment vertical="center"/>
      <protection/>
    </xf>
    <xf numFmtId="188" fontId="37" fillId="43" borderId="36"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0" xfId="0" applyFill="1" applyBorder="1" applyAlignment="1" applyProtection="1">
      <alignment vertical="center"/>
      <protection/>
    </xf>
    <xf numFmtId="188" fontId="37" fillId="46" borderId="24" xfId="0" applyNumberFormat="1" applyFont="1" applyFill="1" applyBorder="1" applyAlignment="1" applyProtection="1">
      <alignment horizontal="center" vertical="center"/>
      <protection/>
    </xf>
    <xf numFmtId="188" fontId="37" fillId="43" borderId="18" xfId="0" applyNumberFormat="1" applyFont="1" applyFill="1" applyBorder="1" applyAlignment="1" applyProtection="1">
      <alignment horizontal="center" vertical="center"/>
      <protection/>
    </xf>
    <xf numFmtId="188" fontId="37" fillId="46" borderId="18" xfId="0" applyNumberFormat="1" applyFont="1" applyFill="1" applyBorder="1" applyAlignment="1" applyProtection="1">
      <alignment horizontal="center" vertical="center"/>
      <protection/>
    </xf>
    <xf numFmtId="0" fontId="37" fillId="43" borderId="10" xfId="0" applyFont="1" applyFill="1" applyBorder="1" applyAlignment="1" applyProtection="1">
      <alignment horizontal="left" vertical="center"/>
      <protection/>
    </xf>
    <xf numFmtId="0" fontId="38" fillId="43" borderId="10" xfId="0" applyFont="1" applyFill="1" applyBorder="1" applyAlignment="1" applyProtection="1">
      <alignment horizontal="center" vertical="center"/>
      <protection/>
    </xf>
    <xf numFmtId="0" fontId="0" fillId="43" borderId="13" xfId="0" applyFill="1" applyBorder="1" applyAlignment="1" applyProtection="1">
      <alignment vertical="center"/>
      <protection/>
    </xf>
    <xf numFmtId="0" fontId="37" fillId="43" borderId="3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0" xfId="0" applyNumberFormat="1" applyFont="1" applyFill="1" applyBorder="1" applyAlignment="1" applyProtection="1">
      <alignment horizontal="center" vertical="center"/>
      <protection/>
    </xf>
    <xf numFmtId="0" fontId="37" fillId="43" borderId="36" xfId="0" applyFont="1" applyFill="1" applyBorder="1" applyAlignment="1" applyProtection="1">
      <alignment horizontal="left" vertical="center"/>
      <protection/>
    </xf>
    <xf numFmtId="195" fontId="37" fillId="44" borderId="12" xfId="0" applyNumberFormat="1" applyFont="1" applyFill="1" applyBorder="1" applyAlignment="1" applyProtection="1">
      <alignment horizontal="center" vertical="center"/>
      <protection locked="0"/>
    </xf>
    <xf numFmtId="188" fontId="39" fillId="43" borderId="16" xfId="0" applyNumberFormat="1" applyFont="1" applyFill="1" applyBorder="1" applyAlignment="1" applyProtection="1">
      <alignment horizontal="center" vertical="center"/>
      <protection/>
    </xf>
    <xf numFmtId="0" fontId="39" fillId="46" borderId="36" xfId="0" applyFont="1" applyFill="1" applyBorder="1" applyAlignment="1" applyProtection="1">
      <alignment vertical="center"/>
      <protection/>
    </xf>
    <xf numFmtId="0" fontId="5" fillId="46" borderId="0" xfId="0" applyFont="1" applyFill="1" applyBorder="1" applyAlignment="1" applyProtection="1">
      <alignment vertical="center"/>
      <protection/>
    </xf>
    <xf numFmtId="0" fontId="37" fillId="46" borderId="0" xfId="0" applyFont="1" applyFill="1" applyBorder="1" applyAlignment="1" applyProtection="1">
      <alignment vertical="center"/>
      <protection/>
    </xf>
    <xf numFmtId="195" fontId="39" fillId="46" borderId="16" xfId="0" applyNumberFormat="1" applyFont="1" applyFill="1" applyBorder="1" applyAlignment="1" applyProtection="1">
      <alignment horizontal="center" vertical="center"/>
      <protection/>
    </xf>
    <xf numFmtId="37" fontId="37" fillId="33" borderId="24" xfId="0" applyNumberFormat="1" applyFont="1" applyFill="1" applyBorder="1" applyAlignment="1" applyProtection="1">
      <alignment horizontal="left" vertical="center"/>
      <protection/>
    </xf>
    <xf numFmtId="0" fontId="40" fillId="43" borderId="10" xfId="0" applyFont="1" applyFill="1" applyBorder="1" applyAlignment="1">
      <alignment horizontal="left" vertical="center"/>
    </xf>
    <xf numFmtId="0" fontId="5" fillId="43" borderId="36" xfId="121" applyFont="1" applyFill="1" applyBorder="1" applyAlignment="1" applyProtection="1">
      <alignment vertical="center"/>
      <protection locked="0"/>
    </xf>
    <xf numFmtId="0" fontId="5" fillId="43" borderId="20" xfId="0" applyFont="1" applyFill="1" applyBorder="1" applyAlignment="1" applyProtection="1">
      <alignment vertical="center"/>
      <protection locked="0"/>
    </xf>
    <xf numFmtId="195" fontId="13" fillId="43" borderId="36" xfId="121" applyNumberFormat="1" applyFont="1" applyFill="1" applyBorder="1" applyAlignment="1" applyProtection="1">
      <alignment horizontal="center" vertical="center"/>
      <protection locked="0"/>
    </xf>
    <xf numFmtId="0" fontId="13" fillId="43" borderId="0" xfId="121" applyFont="1" applyFill="1" applyBorder="1" applyAlignment="1" applyProtection="1">
      <alignment horizontal="left" vertical="center"/>
      <protection locked="0"/>
    </xf>
    <xf numFmtId="0" fontId="5" fillId="43" borderId="20" xfId="121" applyFont="1" applyFill="1" applyBorder="1" applyAlignment="1" applyProtection="1">
      <alignment vertical="center"/>
      <protection locked="0"/>
    </xf>
    <xf numFmtId="0" fontId="13" fillId="43" borderId="0" xfId="121" applyFont="1" applyFill="1" applyBorder="1" applyAlignment="1" applyProtection="1">
      <alignment vertical="center"/>
      <protection locked="0"/>
    </xf>
    <xf numFmtId="195" fontId="13" fillId="43" borderId="24" xfId="121" applyNumberFormat="1" applyFont="1" applyFill="1" applyBorder="1" applyAlignment="1" applyProtection="1">
      <alignment horizontal="center" vertical="center"/>
      <protection locked="0"/>
    </xf>
    <xf numFmtId="195" fontId="13" fillId="43" borderId="36" xfId="121" applyNumberFormat="1" applyFont="1" applyFill="1" applyBorder="1" applyAlignment="1" applyProtection="1">
      <alignment vertical="center"/>
      <protection locked="0"/>
    </xf>
    <xf numFmtId="195" fontId="13" fillId="46" borderId="24" xfId="121" applyNumberFormat="1" applyFont="1" applyFill="1" applyBorder="1" applyAlignment="1" applyProtection="1">
      <alignment horizontal="center" vertical="center"/>
      <protection locked="0"/>
    </xf>
    <xf numFmtId="0" fontId="13" fillId="46" borderId="10" xfId="121" applyFont="1" applyFill="1" applyBorder="1" applyAlignment="1" applyProtection="1">
      <alignment vertical="center"/>
      <protection locked="0"/>
    </xf>
    <xf numFmtId="0" fontId="5" fillId="46" borderId="13" xfId="121" applyFont="1" applyFill="1" applyBorder="1" applyAlignment="1" applyProtection="1">
      <alignment vertical="center"/>
      <protection locked="0"/>
    </xf>
    <xf numFmtId="0" fontId="5" fillId="46" borderId="13" xfId="0" applyFont="1" applyFill="1" applyBorder="1" applyAlignment="1" applyProtection="1">
      <alignment vertical="center"/>
      <protection locked="0"/>
    </xf>
    <xf numFmtId="0" fontId="5" fillId="43" borderId="36" xfId="0" applyFont="1" applyFill="1" applyBorder="1" applyAlignment="1" applyProtection="1">
      <alignment vertical="center"/>
      <protection/>
    </xf>
    <xf numFmtId="0" fontId="5" fillId="43" borderId="20" xfId="0" applyFont="1" applyFill="1" applyBorder="1" applyAlignment="1" applyProtection="1">
      <alignment/>
      <protection locked="0"/>
    </xf>
    <xf numFmtId="195" fontId="37" fillId="43" borderId="36" xfId="0" applyNumberFormat="1" applyFont="1" applyFill="1" applyBorder="1" applyAlignment="1" applyProtection="1">
      <alignment horizontal="center" vertical="center"/>
      <protection/>
    </xf>
    <xf numFmtId="0" fontId="37" fillId="43" borderId="20" xfId="0" applyFont="1" applyFill="1" applyBorder="1" applyAlignment="1" applyProtection="1">
      <alignment vertical="center"/>
      <protection/>
    </xf>
    <xf numFmtId="195" fontId="37" fillId="43" borderId="24" xfId="0" applyNumberFormat="1" applyFont="1" applyFill="1" applyBorder="1" applyAlignment="1" applyProtection="1">
      <alignment horizontal="center" vertical="center"/>
      <protection/>
    </xf>
    <xf numFmtId="0" fontId="43" fillId="0" borderId="0" xfId="0" applyFont="1" applyAlignment="1" applyProtection="1">
      <alignment horizontal="right" vertical="center"/>
      <protection/>
    </xf>
    <xf numFmtId="195" fontId="13" fillId="43" borderId="36" xfId="0" applyNumberFormat="1" applyFont="1" applyFill="1" applyBorder="1" applyAlignment="1" applyProtection="1">
      <alignment horizontal="center" vertical="center"/>
      <protection/>
    </xf>
    <xf numFmtId="0" fontId="5" fillId="43" borderId="20" xfId="0" applyFont="1" applyFill="1" applyBorder="1" applyAlignment="1" applyProtection="1">
      <alignment vertical="center"/>
      <protection/>
    </xf>
    <xf numFmtId="195" fontId="13" fillId="43" borderId="3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4" xfId="0" applyNumberFormat="1" applyFont="1" applyFill="1" applyBorder="1" applyAlignment="1" applyProtection="1">
      <alignment horizontal="center" vertical="center"/>
      <protection/>
    </xf>
    <xf numFmtId="195" fontId="13" fillId="46" borderId="24" xfId="0" applyNumberFormat="1" applyFont="1" applyFill="1" applyBorder="1" applyAlignment="1" applyProtection="1">
      <alignment horizontal="center" vertical="center"/>
      <protection/>
    </xf>
    <xf numFmtId="0" fontId="13" fillId="46" borderId="10" xfId="0" applyFont="1" applyFill="1" applyBorder="1" applyAlignment="1" applyProtection="1">
      <alignment vertical="center"/>
      <protection/>
    </xf>
    <xf numFmtId="0" fontId="5" fillId="46" borderId="13" xfId="0" applyFont="1" applyFill="1" applyBorder="1" applyAlignment="1" applyProtection="1">
      <alignment vertical="center"/>
      <protection/>
    </xf>
    <xf numFmtId="0" fontId="5" fillId="46" borderId="13" xfId="0" applyFont="1" applyFill="1" applyBorder="1" applyAlignment="1" applyProtection="1">
      <alignment/>
      <protection locked="0"/>
    </xf>
    <xf numFmtId="0" fontId="90" fillId="0" borderId="0" xfId="0" applyFont="1" applyAlignment="1">
      <alignment/>
    </xf>
    <xf numFmtId="0" fontId="5" fillId="0" borderId="0" xfId="0" applyFont="1" applyBorder="1" applyAlignment="1" applyProtection="1">
      <alignment/>
      <protection locked="0"/>
    </xf>
    <xf numFmtId="188" fontId="37"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95" fontId="37" fillId="43" borderId="36" xfId="0" applyNumberFormat="1" applyFont="1" applyFill="1" applyBorder="1" applyAlignment="1" applyProtection="1">
      <alignment vertical="center"/>
      <protection/>
    </xf>
    <xf numFmtId="195" fontId="37" fillId="46" borderId="24" xfId="0" applyNumberFormat="1" applyFont="1" applyFill="1" applyBorder="1" applyAlignment="1" applyProtection="1">
      <alignment horizontal="center" vertical="center"/>
      <protection/>
    </xf>
    <xf numFmtId="0" fontId="37" fillId="46" borderId="10" xfId="0" applyFont="1" applyFill="1" applyBorder="1" applyAlignment="1" applyProtection="1">
      <alignment vertical="center"/>
      <protection/>
    </xf>
    <xf numFmtId="0" fontId="37" fillId="46" borderId="13" xfId="0" applyFont="1" applyFill="1" applyBorder="1" applyAlignment="1" applyProtection="1">
      <alignment vertical="center"/>
      <protection/>
    </xf>
    <xf numFmtId="3" fontId="5" fillId="33" borderId="12" xfId="0" applyNumberFormat="1" applyFont="1" applyFill="1" applyBorder="1" applyAlignment="1" applyProtection="1">
      <alignment horizontal="right"/>
      <protection/>
    </xf>
    <xf numFmtId="3" fontId="5" fillId="33" borderId="12" xfId="0" applyNumberFormat="1" applyFont="1" applyFill="1" applyBorder="1" applyAlignment="1" applyProtection="1">
      <alignment horizontal="right" vertical="center"/>
      <protection/>
    </xf>
    <xf numFmtId="188" fontId="5" fillId="33" borderId="12" xfId="0" applyNumberFormat="1" applyFont="1" applyFill="1" applyBorder="1" applyAlignment="1" applyProtection="1">
      <alignment horizontal="right" vertical="center"/>
      <protection/>
    </xf>
    <xf numFmtId="178" fontId="5" fillId="33" borderId="12" xfId="0" applyNumberFormat="1" applyFont="1" applyFill="1" applyBorder="1" applyAlignment="1" applyProtection="1">
      <alignment horizontal="right" vertical="center"/>
      <protection/>
    </xf>
    <xf numFmtId="38" fontId="5" fillId="33" borderId="12" xfId="0" applyNumberFormat="1" applyFont="1" applyFill="1" applyBorder="1" applyAlignment="1" applyProtection="1">
      <alignment horizontal="right"/>
      <protection/>
    </xf>
    <xf numFmtId="38" fontId="5" fillId="33" borderId="12" xfId="0" applyNumberFormat="1" applyFont="1" applyFill="1" applyBorder="1" applyAlignment="1" applyProtection="1">
      <alignment horizontal="right" vertical="center"/>
      <protection/>
    </xf>
    <xf numFmtId="200" fontId="5" fillId="33" borderId="12" xfId="0" applyNumberFormat="1" applyFont="1" applyFill="1" applyBorder="1" applyAlignment="1" applyProtection="1">
      <alignment horizontal="right" vertical="center"/>
      <protection/>
    </xf>
    <xf numFmtId="3" fontId="5" fillId="33" borderId="14" xfId="0" applyNumberFormat="1" applyFont="1" applyFill="1" applyBorder="1" applyAlignment="1" applyProtection="1">
      <alignment horizontal="right" vertical="center"/>
      <protection/>
    </xf>
    <xf numFmtId="188" fontId="5" fillId="33"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protection/>
    </xf>
    <xf numFmtId="178" fontId="5" fillId="41" borderId="12" xfId="0" applyNumberFormat="1" applyFont="1" applyFill="1" applyBorder="1" applyAlignment="1" applyProtection="1">
      <alignment horizontal="right"/>
      <protection/>
    </xf>
    <xf numFmtId="3" fontId="5" fillId="33" borderId="22" xfId="0" applyNumberFormat="1" applyFont="1" applyFill="1" applyBorder="1" applyAlignment="1" applyProtection="1">
      <alignment horizontal="right" vertical="center"/>
      <protection/>
    </xf>
    <xf numFmtId="0" fontId="5" fillId="33" borderId="11" xfId="0" applyFont="1" applyFill="1" applyBorder="1" applyAlignment="1" applyProtection="1">
      <alignment horizontal="right" vertical="center"/>
      <protection/>
    </xf>
    <xf numFmtId="3" fontId="5" fillId="33" borderId="11" xfId="0" applyNumberFormat="1" applyFont="1" applyFill="1" applyBorder="1" applyAlignment="1" applyProtection="1">
      <alignment horizontal="right" vertical="center"/>
      <protection/>
    </xf>
    <xf numFmtId="197" fontId="5" fillId="33" borderId="12" xfId="0" applyNumberFormat="1" applyFont="1" applyFill="1" applyBorder="1" applyAlignment="1" applyProtection="1">
      <alignment horizontal="right" vertical="center"/>
      <protection/>
    </xf>
    <xf numFmtId="0" fontId="5" fillId="33" borderId="12" xfId="0" applyFont="1" applyFill="1" applyBorder="1" applyAlignment="1" applyProtection="1">
      <alignment horizontal="right" vertical="center"/>
      <protection/>
    </xf>
    <xf numFmtId="3" fontId="5" fillId="33" borderId="37" xfId="0" applyNumberFormat="1" applyFont="1" applyFill="1" applyBorder="1" applyAlignment="1" applyProtection="1">
      <alignment horizontal="right" vertical="center"/>
      <protection/>
    </xf>
    <xf numFmtId="0" fontId="5" fillId="33" borderId="37" xfId="0" applyFont="1" applyFill="1" applyBorder="1" applyAlignment="1" applyProtection="1">
      <alignment horizontal="right" vertical="center"/>
      <protection/>
    </xf>
    <xf numFmtId="3" fontId="5" fillId="41" borderId="14" xfId="0" applyNumberFormat="1" applyFont="1" applyFill="1" applyBorder="1" applyAlignment="1" applyProtection="1">
      <alignment horizontal="right" vertical="center"/>
      <protection/>
    </xf>
    <xf numFmtId="188" fontId="5" fillId="41" borderId="14" xfId="0" applyNumberFormat="1" applyFont="1" applyFill="1" applyBorder="1" applyAlignment="1" applyProtection="1">
      <alignment horizontal="right" vertical="center"/>
      <protection/>
    </xf>
    <xf numFmtId="3" fontId="5" fillId="37" borderId="22" xfId="121" applyNumberFormat="1" applyFont="1" applyFill="1" applyBorder="1" applyAlignment="1" applyProtection="1">
      <alignment horizontal="right" vertical="center"/>
      <protection/>
    </xf>
    <xf numFmtId="188" fontId="5" fillId="37" borderId="11" xfId="121" applyNumberFormat="1" applyFont="1" applyFill="1" applyBorder="1" applyAlignment="1" applyProtection="1">
      <alignment horizontal="right" vertical="center"/>
      <protection/>
    </xf>
    <xf numFmtId="10" fontId="5" fillId="35" borderId="12" xfId="0" applyNumberFormat="1" applyFont="1" applyFill="1" applyBorder="1" applyAlignment="1" applyProtection="1">
      <alignment vertical="center"/>
      <protection locked="0"/>
    </xf>
    <xf numFmtId="0" fontId="5" fillId="0" borderId="0" xfId="162" applyFont="1" applyAlignment="1">
      <alignment vertical="center"/>
      <protection/>
    </xf>
    <xf numFmtId="0" fontId="5" fillId="0" borderId="0" xfId="569" applyFont="1" applyAlignment="1">
      <alignment vertical="center" wrapText="1"/>
      <protection/>
    </xf>
    <xf numFmtId="0" fontId="5" fillId="0" borderId="0" xfId="172" applyFont="1" applyAlignment="1">
      <alignment vertical="center" wrapText="1"/>
      <protection/>
    </xf>
    <xf numFmtId="0" fontId="5" fillId="0" borderId="0" xfId="91" applyFont="1" applyAlignment="1">
      <alignment vertical="center" wrapText="1"/>
      <protection/>
    </xf>
    <xf numFmtId="0" fontId="5" fillId="0" borderId="0" xfId="92" applyFont="1" applyAlignment="1">
      <alignment vertical="center" wrapText="1"/>
      <protection/>
    </xf>
    <xf numFmtId="0" fontId="5" fillId="0" borderId="0" xfId="362" applyFont="1" applyAlignment="1">
      <alignment vertical="center" wrapText="1"/>
      <protection/>
    </xf>
    <xf numFmtId="0" fontId="5" fillId="0" borderId="0" xfId="110" applyFont="1" applyAlignment="1">
      <alignment vertical="center" wrapText="1"/>
      <protection/>
    </xf>
    <xf numFmtId="0" fontId="5" fillId="0" borderId="0" xfId="149" applyFont="1" applyAlignment="1">
      <alignment vertical="center" wrapText="1"/>
      <protection/>
    </xf>
    <xf numFmtId="0" fontId="5" fillId="0" borderId="0" xfId="157" applyFont="1" applyAlignment="1">
      <alignment vertical="center" wrapText="1"/>
      <protection/>
    </xf>
    <xf numFmtId="0" fontId="5" fillId="0" borderId="0" xfId="183" applyFont="1" applyAlignment="1">
      <alignment vertical="center" wrapText="1"/>
      <protection/>
    </xf>
    <xf numFmtId="0" fontId="90" fillId="43" borderId="20" xfId="0" applyFont="1" applyFill="1" applyBorder="1" applyAlignment="1" applyProtection="1">
      <alignment vertical="center"/>
      <protection/>
    </xf>
    <xf numFmtId="0" fontId="91" fillId="0" borderId="0" xfId="0" applyFont="1" applyAlignment="1">
      <alignment horizontal="center"/>
    </xf>
    <xf numFmtId="201" fontId="91" fillId="0" borderId="0" xfId="0" applyNumberFormat="1" applyFont="1" applyAlignment="1" applyProtection="1">
      <alignment horizontal="center" vertical="center"/>
      <protection locked="0"/>
    </xf>
    <xf numFmtId="0" fontId="43" fillId="0" borderId="0" xfId="0" applyFont="1" applyAlignment="1" applyProtection="1">
      <alignment vertical="center"/>
      <protection/>
    </xf>
    <xf numFmtId="0" fontId="11" fillId="32" borderId="0" xfId="71" applyFill="1" applyAlignment="1" applyProtection="1">
      <alignment/>
      <protection/>
    </xf>
    <xf numFmtId="0" fontId="68" fillId="32" borderId="0" xfId="449" applyFill="1">
      <alignment/>
      <protection/>
    </xf>
    <xf numFmtId="0" fontId="5" fillId="0" borderId="0" xfId="205" applyFont="1" applyAlignment="1">
      <alignment vertical="center"/>
      <protection/>
    </xf>
    <xf numFmtId="0" fontId="98"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3" fontId="5" fillId="33" borderId="16" xfId="102" applyNumberFormat="1" applyFont="1" applyFill="1" applyBorder="1" applyAlignment="1" applyProtection="1">
      <alignment vertical="center"/>
      <protection/>
    </xf>
    <xf numFmtId="0" fontId="5" fillId="33" borderId="0" xfId="102" applyFont="1" applyFill="1" applyAlignment="1" applyProtection="1">
      <alignment horizontal="left" vertical="center"/>
      <protection/>
    </xf>
    <xf numFmtId="3" fontId="5" fillId="33" borderId="0" xfId="121" applyNumberFormat="1" applyFont="1" applyFill="1" applyAlignment="1" applyProtection="1">
      <alignment horizontal="right" vertical="center"/>
      <protection/>
    </xf>
    <xf numFmtId="3" fontId="5" fillId="33" borderId="12" xfId="121" applyNumberFormat="1" applyFont="1" applyFill="1" applyBorder="1" applyAlignment="1" applyProtection="1">
      <alignment horizontal="right" vertical="center"/>
      <protection/>
    </xf>
    <xf numFmtId="0" fontId="5" fillId="33" borderId="0" xfId="121" applyFont="1" applyFill="1" applyAlignment="1" applyProtection="1">
      <alignment horizontal="left" vertical="center"/>
      <protection/>
    </xf>
    <xf numFmtId="3" fontId="5" fillId="33" borderId="18" xfId="0" applyNumberFormat="1" applyFont="1" applyFill="1" applyBorder="1" applyAlignment="1" applyProtection="1">
      <alignment horizontal="right" vertical="center"/>
      <protection/>
    </xf>
    <xf numFmtId="3" fontId="5" fillId="33" borderId="11" xfId="0" applyNumberFormat="1" applyFont="1" applyFill="1" applyBorder="1" applyAlignment="1" applyProtection="1">
      <alignment vertical="center"/>
      <protection/>
    </xf>
    <xf numFmtId="37" fontId="15" fillId="33" borderId="17" xfId="0" applyNumberFormat="1" applyFont="1" applyFill="1" applyBorder="1" applyAlignment="1" applyProtection="1">
      <alignment horizontal="center" vertical="center"/>
      <protection/>
    </xf>
    <xf numFmtId="0" fontId="5" fillId="0" borderId="0" xfId="92" applyFont="1" applyAlignment="1">
      <alignment horizontal="left" vertical="center"/>
      <protection/>
    </xf>
    <xf numFmtId="37" fontId="5" fillId="35" borderId="18" xfId="0" applyNumberFormat="1" applyFont="1" applyFill="1" applyBorder="1" applyAlignment="1" applyProtection="1">
      <alignment horizontal="left" vertical="center"/>
      <protection locked="0"/>
    </xf>
    <xf numFmtId="0" fontId="5" fillId="35" borderId="16" xfId="0" applyFont="1" applyFill="1" applyBorder="1" applyAlignment="1" applyProtection="1">
      <alignment vertical="center"/>
      <protection/>
    </xf>
    <xf numFmtId="49" fontId="5" fillId="35" borderId="18" xfId="546" applyNumberFormat="1" applyFont="1" applyFill="1" applyBorder="1" applyAlignment="1" applyProtection="1">
      <alignment horizontal="left" vertical="center"/>
      <protection locked="0"/>
    </xf>
    <xf numFmtId="49" fontId="5" fillId="35" borderId="16" xfId="546" applyNumberFormat="1" applyFont="1" applyFill="1" applyBorder="1" applyAlignment="1" applyProtection="1">
      <alignment horizontal="left" vertical="center"/>
      <protection locked="0"/>
    </xf>
    <xf numFmtId="49" fontId="5" fillId="35" borderId="12" xfId="546" applyNumberFormat="1" applyFont="1" applyFill="1" applyBorder="1" applyAlignment="1" applyProtection="1">
      <alignment horizontal="left" vertical="center"/>
      <protection locked="0"/>
    </xf>
    <xf numFmtId="0" fontId="5" fillId="35" borderId="18" xfId="546" applyFont="1" applyFill="1" applyBorder="1" applyAlignment="1" applyProtection="1">
      <alignment horizontal="left" vertical="center"/>
      <protection locked="0"/>
    </xf>
    <xf numFmtId="0" fontId="5" fillId="35" borderId="15" xfId="546" applyFont="1" applyFill="1" applyBorder="1" applyAlignment="1" applyProtection="1">
      <alignment horizontal="left" vertical="center"/>
      <protection locked="0"/>
    </xf>
    <xf numFmtId="0" fontId="29" fillId="35" borderId="16" xfId="546" applyFill="1" applyBorder="1" applyAlignment="1" applyProtection="1">
      <alignment horizontal="left" vertical="center"/>
      <protection locked="0"/>
    </xf>
    <xf numFmtId="3" fontId="5" fillId="33" borderId="15" xfId="0" applyNumberFormat="1" applyFont="1" applyFill="1" applyBorder="1" applyAlignment="1" applyProtection="1">
      <alignment vertical="center"/>
      <protection/>
    </xf>
    <xf numFmtId="3" fontId="5" fillId="33" borderId="10" xfId="0" applyNumberFormat="1" applyFont="1" applyFill="1" applyBorder="1" applyAlignment="1" applyProtection="1">
      <alignment vertical="center"/>
      <protection/>
    </xf>
    <xf numFmtId="0" fontId="5" fillId="43" borderId="0" xfId="0" applyFont="1" applyFill="1" applyAlignment="1" applyProtection="1">
      <alignment vertical="center"/>
      <protection/>
    </xf>
    <xf numFmtId="0" fontId="5" fillId="33" borderId="0" xfId="0" applyFont="1" applyFill="1" applyAlignment="1" applyProtection="1" quotePrefix="1">
      <alignment vertical="center"/>
      <protection/>
    </xf>
    <xf numFmtId="0" fontId="5" fillId="33" borderId="0" xfId="0" applyFont="1" applyFill="1" applyAlignment="1" applyProtection="1" quotePrefix="1">
      <alignment horizontal="left" vertical="center"/>
      <protection/>
    </xf>
    <xf numFmtId="37" fontId="5" fillId="46" borderId="12" xfId="0" applyNumberFormat="1" applyFont="1" applyFill="1" applyBorder="1" applyAlignment="1" applyProtection="1">
      <alignment horizontal="left" vertical="center"/>
      <protection/>
    </xf>
    <xf numFmtId="0" fontId="5" fillId="0" borderId="0" xfId="92" applyFont="1" applyAlignment="1">
      <alignment vertical="center"/>
      <protection/>
    </xf>
    <xf numFmtId="196" fontId="33" fillId="43" borderId="0" xfId="0" applyNumberFormat="1" applyFont="1" applyFill="1" applyBorder="1" applyAlignment="1">
      <alignment horizontal="center"/>
    </xf>
    <xf numFmtId="178" fontId="5" fillId="35" borderId="12" xfId="0" applyNumberFormat="1" applyFont="1" applyFill="1" applyBorder="1" applyAlignment="1" applyProtection="1">
      <alignment vertical="center"/>
      <protection locked="0"/>
    </xf>
    <xf numFmtId="178" fontId="5" fillId="35" borderId="11" xfId="0" applyNumberFormat="1" applyFont="1" applyFill="1" applyBorder="1" applyAlignment="1" applyProtection="1">
      <alignment vertical="center"/>
      <protection locked="0"/>
    </xf>
    <xf numFmtId="196" fontId="33" fillId="43" borderId="10" xfId="0" applyNumberFormat="1" applyFont="1" applyFill="1" applyBorder="1" applyAlignment="1">
      <alignment horizontal="center"/>
    </xf>
    <xf numFmtId="196" fontId="33" fillId="43" borderId="0" xfId="0" applyNumberFormat="1" applyFont="1" applyFill="1" applyAlignment="1">
      <alignment/>
    </xf>
    <xf numFmtId="37" fontId="4" fillId="38" borderId="18" xfId="0" applyNumberFormat="1" applyFont="1" applyFill="1" applyBorder="1" applyAlignment="1" applyProtection="1">
      <alignment horizontal="left" vertical="center"/>
      <protection/>
    </xf>
    <xf numFmtId="0" fontId="5" fillId="47" borderId="13" xfId="0" applyFont="1" applyFill="1" applyBorder="1" applyAlignment="1" applyProtection="1">
      <alignment vertical="center"/>
      <protection/>
    </xf>
    <xf numFmtId="164" fontId="5" fillId="35" borderId="14" xfId="0" applyNumberFormat="1" applyFont="1" applyFill="1" applyBorder="1" applyAlignment="1" applyProtection="1">
      <alignment vertical="center"/>
      <protection locked="0"/>
    </xf>
    <xf numFmtId="164" fontId="5" fillId="33" borderId="15" xfId="0" applyNumberFormat="1" applyFont="1" applyFill="1" applyBorder="1" applyAlignment="1" applyProtection="1">
      <alignment vertical="center"/>
      <protection locked="0"/>
    </xf>
    <xf numFmtId="37" fontId="5" fillId="33" borderId="14" xfId="0" applyNumberFormat="1" applyFont="1" applyFill="1" applyBorder="1" applyAlignment="1" applyProtection="1">
      <alignment vertical="center"/>
      <protection/>
    </xf>
    <xf numFmtId="37" fontId="4" fillId="47" borderId="18" xfId="0" applyNumberFormat="1" applyFont="1" applyFill="1" applyBorder="1" applyAlignment="1" applyProtection="1">
      <alignment horizontal="left" vertical="center"/>
      <protection/>
    </xf>
    <xf numFmtId="0" fontId="5" fillId="47" borderId="16" xfId="0" applyFont="1" applyFill="1" applyBorder="1" applyAlignment="1" applyProtection="1">
      <alignment vertical="center"/>
      <protection/>
    </xf>
    <xf numFmtId="37" fontId="5" fillId="38" borderId="11" xfId="0" applyNumberFormat="1" applyFont="1" applyFill="1" applyBorder="1" applyAlignment="1" applyProtection="1">
      <alignment horizontal="center" vertical="center"/>
      <protection/>
    </xf>
    <xf numFmtId="0" fontId="5" fillId="38" borderId="14" xfId="0" applyFont="1" applyFill="1" applyBorder="1" applyAlignment="1">
      <alignment horizontal="center" vertical="center"/>
    </xf>
    <xf numFmtId="37" fontId="5" fillId="36" borderId="18" xfId="0" applyNumberFormat="1" applyFont="1" applyFill="1" applyBorder="1" applyAlignment="1" applyProtection="1">
      <alignment horizontal="left" vertical="center"/>
      <protection/>
    </xf>
    <xf numFmtId="0" fontId="5" fillId="36" borderId="16" xfId="0" applyFont="1" applyFill="1" applyBorder="1" applyAlignment="1" applyProtection="1">
      <alignment vertical="center"/>
      <protection/>
    </xf>
    <xf numFmtId="37" fontId="14" fillId="38" borderId="23" xfId="0" applyNumberFormat="1" applyFont="1" applyFill="1" applyBorder="1" applyAlignment="1" applyProtection="1">
      <alignment horizontal="left" vertical="center"/>
      <protection/>
    </xf>
    <xf numFmtId="0" fontId="6" fillId="36" borderId="21" xfId="0" applyFont="1" applyFill="1" applyBorder="1" applyAlignment="1" applyProtection="1">
      <alignment vertical="center"/>
      <protection/>
    </xf>
    <xf numFmtId="0" fontId="5" fillId="38" borderId="36" xfId="0" applyFont="1" applyFill="1" applyBorder="1" applyAlignment="1" applyProtection="1">
      <alignment vertical="center"/>
      <protection/>
    </xf>
    <xf numFmtId="0" fontId="5" fillId="38" borderId="20" xfId="0" applyFont="1" applyFill="1" applyBorder="1" applyAlignment="1" applyProtection="1">
      <alignment vertical="center"/>
      <protection/>
    </xf>
    <xf numFmtId="0" fontId="5" fillId="38" borderId="24" xfId="0" applyFont="1" applyFill="1" applyBorder="1" applyAlignment="1" applyProtection="1">
      <alignment vertical="center"/>
      <protection/>
    </xf>
    <xf numFmtId="0" fontId="5" fillId="38" borderId="18" xfId="0" applyFont="1" applyFill="1" applyBorder="1" applyAlignment="1" applyProtection="1">
      <alignment vertical="center"/>
      <protection/>
    </xf>
    <xf numFmtId="0" fontId="5" fillId="38" borderId="16" xfId="0" applyFont="1" applyFill="1" applyBorder="1" applyAlignment="1" applyProtection="1">
      <alignment vertical="center"/>
      <protection/>
    </xf>
    <xf numFmtId="49" fontId="15" fillId="44" borderId="14" xfId="121" applyNumberFormat="1" applyFont="1" applyFill="1" applyBorder="1" applyAlignment="1" applyProtection="1">
      <alignment horizontal="center" vertical="center"/>
      <protection locked="0"/>
    </xf>
    <xf numFmtId="3" fontId="5" fillId="38" borderId="16" xfId="0" applyNumberFormat="1" applyFont="1" applyFill="1" applyBorder="1" applyAlignment="1" applyProtection="1">
      <alignment vertical="center"/>
      <protection/>
    </xf>
    <xf numFmtId="3" fontId="5" fillId="35" borderId="14" xfId="0" applyNumberFormat="1" applyFont="1" applyFill="1" applyBorder="1" applyAlignment="1" applyProtection="1">
      <alignment vertical="center"/>
      <protection locked="0"/>
    </xf>
    <xf numFmtId="0" fontId="4" fillId="38" borderId="18" xfId="0" applyFont="1" applyFill="1" applyBorder="1" applyAlignment="1">
      <alignment vertical="center"/>
    </xf>
    <xf numFmtId="0" fontId="1" fillId="38" borderId="15" xfId="0" applyFont="1" applyFill="1" applyBorder="1" applyAlignment="1">
      <alignment vertical="center"/>
    </xf>
    <xf numFmtId="0" fontId="0" fillId="38" borderId="15" xfId="0" applyFill="1" applyBorder="1" applyAlignment="1" applyProtection="1">
      <alignment vertical="center"/>
      <protection locked="0"/>
    </xf>
    <xf numFmtId="0" fontId="0" fillId="38" borderId="16" xfId="0" applyFill="1" applyBorder="1" applyAlignment="1" applyProtection="1">
      <alignment vertical="center"/>
      <protection locked="0"/>
    </xf>
    <xf numFmtId="196" fontId="5" fillId="46" borderId="13" xfId="121" applyNumberFormat="1" applyFont="1" applyFill="1" applyBorder="1" applyAlignment="1" applyProtection="1">
      <alignment horizontal="center"/>
      <protection/>
    </xf>
    <xf numFmtId="196" fontId="33" fillId="43" borderId="0" xfId="0" applyNumberFormat="1" applyFont="1" applyFill="1" applyAlignment="1">
      <alignment horizontal="center"/>
    </xf>
    <xf numFmtId="37" fontId="4" fillId="33" borderId="0" xfId="92" applyNumberFormat="1" applyFont="1" applyFill="1" applyAlignment="1" applyProtection="1">
      <alignment horizontal="left" vertical="center"/>
      <protection/>
    </xf>
    <xf numFmtId="37" fontId="5" fillId="33" borderId="0" xfId="92" applyNumberFormat="1" applyFont="1" applyFill="1" applyAlignment="1" applyProtection="1">
      <alignment horizontal="left" vertical="center"/>
      <protection/>
    </xf>
    <xf numFmtId="37" fontId="4" fillId="47" borderId="24" xfId="0" applyNumberFormat="1" applyFont="1" applyFill="1" applyBorder="1" applyAlignment="1" applyProtection="1">
      <alignment horizontal="left" vertical="center"/>
      <protection/>
    </xf>
    <xf numFmtId="0" fontId="5" fillId="47" borderId="20" xfId="0" applyFont="1" applyFill="1" applyBorder="1" applyAlignment="1" applyProtection="1">
      <alignment vertical="center"/>
      <protection/>
    </xf>
    <xf numFmtId="37" fontId="4" fillId="47" borderId="36" xfId="0" applyNumberFormat="1" applyFont="1" applyFill="1" applyBorder="1" applyAlignment="1" applyProtection="1">
      <alignment horizontal="left" vertical="center"/>
      <protection/>
    </xf>
    <xf numFmtId="0" fontId="5" fillId="38" borderId="21" xfId="0" applyFont="1" applyFill="1" applyBorder="1" applyAlignment="1" applyProtection="1">
      <alignment vertical="center"/>
      <protection/>
    </xf>
    <xf numFmtId="0" fontId="4" fillId="38" borderId="23" xfId="0" applyFont="1" applyFill="1" applyBorder="1" applyAlignment="1" applyProtection="1">
      <alignment vertical="center"/>
      <protection/>
    </xf>
    <xf numFmtId="0" fontId="5" fillId="38" borderId="13" xfId="0" applyFont="1" applyFill="1" applyBorder="1" applyAlignment="1" applyProtection="1">
      <alignment vertical="center"/>
      <protection/>
    </xf>
    <xf numFmtId="0" fontId="5" fillId="33" borderId="0" xfId="92" applyFont="1" applyFill="1" applyAlignment="1" applyProtection="1">
      <alignment vertical="center"/>
      <protection/>
    </xf>
    <xf numFmtId="0" fontId="5" fillId="43" borderId="0" xfId="92" applyFont="1" applyFill="1" applyAlignment="1" applyProtection="1">
      <alignment vertical="center"/>
      <protection/>
    </xf>
    <xf numFmtId="0" fontId="5" fillId="33" borderId="0" xfId="0" applyFont="1" applyFill="1" applyBorder="1" applyAlignment="1" applyProtection="1">
      <alignment horizontal="centerContinuous" vertical="center"/>
      <protection/>
    </xf>
    <xf numFmtId="0" fontId="5" fillId="35" borderId="12" xfId="92" applyFont="1" applyFill="1" applyBorder="1" applyAlignment="1" applyProtection="1">
      <alignment vertical="center"/>
      <protection locked="0"/>
    </xf>
    <xf numFmtId="0" fontId="5" fillId="35" borderId="12" xfId="92" applyFont="1" applyFill="1" applyBorder="1" applyAlignment="1" applyProtection="1">
      <alignment vertical="center"/>
      <protection locked="0"/>
    </xf>
    <xf numFmtId="3" fontId="5" fillId="35" borderId="12" xfId="92" applyNumberFormat="1" applyFont="1" applyFill="1" applyBorder="1" applyAlignment="1" applyProtection="1">
      <alignment vertical="center"/>
      <protection locked="0"/>
    </xf>
    <xf numFmtId="178" fontId="5" fillId="33" borderId="0" xfId="92" applyNumberFormat="1" applyFont="1" applyFill="1" applyBorder="1" applyAlignment="1" applyProtection="1">
      <alignment vertical="center"/>
      <protection/>
    </xf>
    <xf numFmtId="37" fontId="5" fillId="33" borderId="15" xfId="92" applyNumberFormat="1" applyFont="1" applyFill="1" applyBorder="1" applyAlignment="1" applyProtection="1">
      <alignment horizontal="left" vertical="center"/>
      <protection/>
    </xf>
    <xf numFmtId="165" fontId="5" fillId="43" borderId="0" xfId="0" applyNumberFormat="1" applyFont="1" applyFill="1" applyBorder="1" applyAlignment="1" applyProtection="1">
      <alignment vertical="center"/>
      <protection/>
    </xf>
    <xf numFmtId="165" fontId="5" fillId="43" borderId="10" xfId="0" applyNumberFormat="1" applyFont="1" applyFill="1" applyBorder="1" applyAlignment="1" applyProtection="1">
      <alignment vertical="center"/>
      <protection/>
    </xf>
    <xf numFmtId="3" fontId="5" fillId="43" borderId="0" xfId="0" applyNumberFormat="1" applyFont="1" applyFill="1" applyBorder="1" applyAlignment="1" applyProtection="1">
      <alignment vertical="center"/>
      <protection/>
    </xf>
    <xf numFmtId="37" fontId="5" fillId="43" borderId="0" xfId="0" applyNumberFormat="1" applyFont="1" applyFill="1" applyAlignment="1" applyProtection="1">
      <alignment horizontal="left" vertical="center"/>
      <protection/>
    </xf>
    <xf numFmtId="37" fontId="5" fillId="43" borderId="10" xfId="0" applyNumberFormat="1" applyFont="1" applyFill="1" applyBorder="1" applyAlignment="1" applyProtection="1">
      <alignment vertical="center"/>
      <protection/>
    </xf>
    <xf numFmtId="166" fontId="5" fillId="43" borderId="0" xfId="0" applyNumberFormat="1" applyFont="1" applyFill="1" applyAlignment="1" applyProtection="1">
      <alignment vertical="center"/>
      <protection/>
    </xf>
    <xf numFmtId="37" fontId="5" fillId="43" borderId="0" xfId="0" applyNumberFormat="1" applyFont="1" applyFill="1" applyBorder="1" applyAlignment="1" applyProtection="1">
      <alignment vertical="center"/>
      <protection/>
    </xf>
    <xf numFmtId="37" fontId="5" fillId="33" borderId="17" xfId="92" applyNumberFormat="1" applyFont="1" applyFill="1" applyBorder="1" applyAlignment="1" applyProtection="1">
      <alignment horizontal="center" vertical="center"/>
      <protection/>
    </xf>
    <xf numFmtId="37" fontId="5" fillId="33" borderId="14" xfId="92" applyNumberFormat="1" applyFont="1" applyFill="1" applyBorder="1" applyAlignment="1" applyProtection="1">
      <alignment horizontal="center" vertical="center"/>
      <protection/>
    </xf>
    <xf numFmtId="0" fontId="5" fillId="43" borderId="0" xfId="92" applyFont="1" applyFill="1" applyAlignment="1" applyProtection="1">
      <alignment vertical="center"/>
      <protection/>
    </xf>
    <xf numFmtId="165" fontId="5" fillId="43" borderId="0" xfId="92" applyNumberFormat="1" applyFont="1" applyFill="1" applyBorder="1" applyAlignment="1" applyProtection="1">
      <alignment vertical="center"/>
      <protection/>
    </xf>
    <xf numFmtId="0" fontId="5" fillId="43" borderId="0" xfId="92" applyFont="1" applyFill="1" applyAlignment="1" applyProtection="1">
      <alignment vertical="center"/>
      <protection locked="0"/>
    </xf>
    <xf numFmtId="37" fontId="5" fillId="43" borderId="0" xfId="92" applyNumberFormat="1" applyFont="1" applyFill="1" applyAlignment="1" applyProtection="1">
      <alignment horizontal="left" vertical="center"/>
      <protection/>
    </xf>
    <xf numFmtId="0" fontId="5" fillId="33" borderId="18" xfId="0" applyNumberFormat="1" applyFont="1" applyFill="1" applyBorder="1" applyAlignment="1" applyProtection="1">
      <alignment horizontal="left" vertical="center"/>
      <protection/>
    </xf>
    <xf numFmtId="0" fontId="39" fillId="43" borderId="23" xfId="242" applyFont="1" applyFill="1" applyBorder="1" applyAlignment="1">
      <alignment horizontal="left" vertical="center"/>
      <protection/>
    </xf>
    <xf numFmtId="0" fontId="4" fillId="43" borderId="17" xfId="0" applyFont="1" applyFill="1" applyBorder="1" applyAlignment="1">
      <alignment horizontal="centerContinuous" vertical="center"/>
    </xf>
    <xf numFmtId="0" fontId="98" fillId="43" borderId="21" xfId="0" applyFont="1" applyFill="1" applyBorder="1" applyAlignment="1">
      <alignment horizontal="center" vertical="center"/>
    </xf>
    <xf numFmtId="0" fontId="5" fillId="43" borderId="17" xfId="0" applyFont="1" applyFill="1" applyBorder="1" applyAlignment="1" applyProtection="1">
      <alignment vertical="center"/>
      <protection locked="0"/>
    </xf>
    <xf numFmtId="0" fontId="37" fillId="43" borderId="36" xfId="0" applyFont="1" applyFill="1" applyBorder="1" applyAlignment="1" applyProtection="1">
      <alignment vertical="center"/>
      <protection locked="0"/>
    </xf>
    <xf numFmtId="0" fontId="37" fillId="43" borderId="0" xfId="0" applyFont="1" applyFill="1" applyBorder="1" applyAlignment="1" applyProtection="1">
      <alignment vertical="center"/>
      <protection locked="0"/>
    </xf>
    <xf numFmtId="3" fontId="37" fillId="43" borderId="20" xfId="0" applyNumberFormat="1" applyFont="1" applyFill="1" applyBorder="1" applyAlignment="1" applyProtection="1">
      <alignment vertical="center"/>
      <protection locked="0"/>
    </xf>
    <xf numFmtId="3" fontId="37" fillId="43" borderId="13" xfId="0" applyNumberFormat="1" applyFont="1" applyFill="1" applyBorder="1" applyAlignment="1" applyProtection="1">
      <alignment vertical="center"/>
      <protection locked="0"/>
    </xf>
    <xf numFmtId="0" fontId="5" fillId="43" borderId="17" xfId="102" applyFont="1" applyFill="1" applyBorder="1" applyAlignment="1" applyProtection="1">
      <alignment vertical="center"/>
      <protection locked="0"/>
    </xf>
    <xf numFmtId="0" fontId="37" fillId="43" borderId="0" xfId="102" applyFont="1" applyFill="1" applyBorder="1" applyAlignment="1" applyProtection="1">
      <alignment vertical="center"/>
      <protection locked="0"/>
    </xf>
    <xf numFmtId="3" fontId="37" fillId="43" borderId="20" xfId="102" applyNumberFormat="1" applyFont="1" applyFill="1" applyBorder="1" applyAlignment="1" applyProtection="1">
      <alignment vertical="center"/>
      <protection locked="0"/>
    </xf>
    <xf numFmtId="0" fontId="37" fillId="43" borderId="10" xfId="102" applyFont="1" applyFill="1" applyBorder="1" applyAlignment="1" applyProtection="1">
      <alignment vertical="center"/>
      <protection locked="0"/>
    </xf>
    <xf numFmtId="3" fontId="37" fillId="43" borderId="13" xfId="102" applyNumberFormat="1" applyFont="1" applyFill="1" applyBorder="1" applyAlignment="1" applyProtection="1">
      <alignment vertical="center"/>
      <protection locked="0"/>
    </xf>
    <xf numFmtId="0" fontId="37" fillId="43" borderId="36" xfId="102" applyFont="1" applyFill="1" applyBorder="1" applyAlignment="1" applyProtection="1">
      <alignment horizontal="left" vertical="center"/>
      <protection locked="0"/>
    </xf>
    <xf numFmtId="0" fontId="37" fillId="43" borderId="24" xfId="102" applyFont="1" applyFill="1" applyBorder="1" applyAlignment="1" applyProtection="1">
      <alignment horizontal="left" vertical="center"/>
      <protection locked="0"/>
    </xf>
    <xf numFmtId="0" fontId="37" fillId="43" borderId="36" xfId="0" applyFont="1" applyFill="1" applyBorder="1" applyAlignment="1" applyProtection="1">
      <alignment horizontal="left" vertical="center"/>
      <protection locked="0"/>
    </xf>
    <xf numFmtId="0" fontId="37" fillId="43" borderId="24" xfId="0" applyFont="1" applyFill="1" applyBorder="1" applyAlignment="1" applyProtection="1">
      <alignment horizontal="left" vertical="center"/>
      <protection locked="0"/>
    </xf>
    <xf numFmtId="0" fontId="37" fillId="43" borderId="36" xfId="121" applyFont="1" applyFill="1" applyBorder="1" applyAlignment="1">
      <alignment horizontal="left" vertical="center"/>
      <protection/>
    </xf>
    <xf numFmtId="0" fontId="0" fillId="43" borderId="0" xfId="121" applyFill="1" applyBorder="1">
      <alignment/>
      <protection/>
    </xf>
    <xf numFmtId="0" fontId="37" fillId="43" borderId="24" xfId="121" applyFont="1" applyFill="1" applyBorder="1" applyAlignment="1">
      <alignment horizontal="left" vertical="center"/>
      <protection/>
    </xf>
    <xf numFmtId="0" fontId="0" fillId="43" borderId="10" xfId="121" applyFill="1" applyBorder="1">
      <alignment/>
      <protection/>
    </xf>
    <xf numFmtId="0" fontId="39" fillId="43" borderId="18" xfId="242" applyFont="1" applyFill="1" applyBorder="1" applyAlignment="1">
      <alignment horizontal="left" vertical="center"/>
      <protection/>
    </xf>
    <xf numFmtId="0" fontId="5" fillId="43" borderId="15" xfId="0" applyFont="1" applyFill="1" applyBorder="1" applyAlignment="1" applyProtection="1">
      <alignment vertical="center"/>
      <protection locked="0"/>
    </xf>
    <xf numFmtId="3" fontId="5" fillId="37" borderId="12" xfId="0" applyNumberFormat="1" applyFont="1" applyFill="1" applyBorder="1" applyAlignment="1" applyProtection="1">
      <alignment horizontal="right" vertical="center"/>
      <protection/>
    </xf>
    <xf numFmtId="0" fontId="5" fillId="0" borderId="0" xfId="92" applyFont="1">
      <alignment/>
      <protection/>
    </xf>
    <xf numFmtId="0" fontId="6" fillId="0" borderId="0" xfId="92" applyFont="1">
      <alignment/>
      <protection/>
    </xf>
    <xf numFmtId="178" fontId="0" fillId="0" borderId="0" xfId="0" applyNumberFormat="1" applyAlignment="1">
      <alignment vertical="center"/>
    </xf>
    <xf numFmtId="0" fontId="5" fillId="33" borderId="17" xfId="0" applyFont="1" applyFill="1" applyBorder="1" applyAlignment="1" applyProtection="1">
      <alignment horizontal="right" vertical="center"/>
      <protection/>
    </xf>
    <xf numFmtId="37" fontId="5" fillId="33" borderId="17" xfId="0" applyNumberFormat="1" applyFont="1" applyFill="1" applyBorder="1" applyAlignment="1" applyProtection="1">
      <alignment horizontal="fill" vertical="center"/>
      <protection locked="0"/>
    </xf>
    <xf numFmtId="37" fontId="5" fillId="33" borderId="21" xfId="0" applyNumberFormat="1" applyFont="1" applyFill="1" applyBorder="1" applyAlignment="1" applyProtection="1">
      <alignment horizontal="fill" vertical="center"/>
      <protection locked="0"/>
    </xf>
    <xf numFmtId="37" fontId="5" fillId="33" borderId="36" xfId="0" applyNumberFormat="1" applyFont="1" applyFill="1" applyBorder="1" applyAlignment="1" applyProtection="1">
      <alignment horizontal="fill" vertical="center"/>
      <protection/>
    </xf>
    <xf numFmtId="37" fontId="5" fillId="33" borderId="20" xfId="0" applyNumberFormat="1" applyFont="1" applyFill="1" applyBorder="1" applyAlignment="1" applyProtection="1">
      <alignment horizontal="fill" vertical="center"/>
      <protection locked="0"/>
    </xf>
    <xf numFmtId="37" fontId="5" fillId="33" borderId="24" xfId="0" applyNumberFormat="1" applyFont="1" applyFill="1" applyBorder="1" applyAlignment="1" applyProtection="1">
      <alignment horizontal="fill" vertical="center"/>
      <protection/>
    </xf>
    <xf numFmtId="0" fontId="5" fillId="33" borderId="10" xfId="0" applyFont="1" applyFill="1" applyBorder="1" applyAlignment="1" applyProtection="1">
      <alignment horizontal="right" vertical="center"/>
      <protection/>
    </xf>
    <xf numFmtId="37" fontId="5" fillId="33" borderId="10" xfId="0" applyNumberFormat="1" applyFont="1" applyFill="1" applyBorder="1" applyAlignment="1" applyProtection="1">
      <alignment horizontal="fill" vertical="center"/>
      <protection locked="0"/>
    </xf>
    <xf numFmtId="37" fontId="5" fillId="33" borderId="13" xfId="0" applyNumberFormat="1" applyFont="1" applyFill="1" applyBorder="1" applyAlignment="1" applyProtection="1">
      <alignment horizontal="fill" vertical="center"/>
      <protection locked="0"/>
    </xf>
    <xf numFmtId="0" fontId="5" fillId="33" borderId="17" xfId="0" applyNumberFormat="1" applyFont="1" applyFill="1" applyBorder="1" applyAlignment="1" applyProtection="1">
      <alignment horizontal="right" vertical="center"/>
      <protection/>
    </xf>
    <xf numFmtId="0" fontId="5" fillId="33" borderId="21" xfId="0" applyFont="1" applyFill="1" applyBorder="1" applyAlignment="1" applyProtection="1">
      <alignment vertical="center"/>
      <protection/>
    </xf>
    <xf numFmtId="0" fontId="5" fillId="33" borderId="17" xfId="102" applyFont="1" applyFill="1" applyBorder="1" applyAlignment="1" applyProtection="1">
      <alignment vertical="center"/>
      <protection/>
    </xf>
    <xf numFmtId="0" fontId="5" fillId="33" borderId="21" xfId="102" applyFont="1" applyFill="1" applyBorder="1" applyAlignment="1" applyProtection="1">
      <alignment vertical="center"/>
      <protection/>
    </xf>
    <xf numFmtId="37" fontId="5" fillId="33" borderId="36" xfId="102" applyNumberFormat="1" applyFont="1" applyFill="1" applyBorder="1" applyAlignment="1" applyProtection="1">
      <alignment horizontal="right" vertical="center"/>
      <protection/>
    </xf>
    <xf numFmtId="37" fontId="5" fillId="33" borderId="24" xfId="102" applyNumberFormat="1" applyFont="1" applyFill="1" applyBorder="1" applyAlignment="1" applyProtection="1">
      <alignment horizontal="right" vertical="center"/>
      <protection/>
    </xf>
    <xf numFmtId="0" fontId="5" fillId="33" borderId="10" xfId="102" applyFont="1" applyFill="1" applyBorder="1" applyAlignment="1" applyProtection="1">
      <alignment vertical="center"/>
      <protection/>
    </xf>
    <xf numFmtId="0" fontId="5" fillId="33" borderId="13" xfId="102" applyFont="1" applyFill="1" applyBorder="1" applyAlignment="1" applyProtection="1">
      <alignment vertical="center"/>
      <protection/>
    </xf>
    <xf numFmtId="0" fontId="5" fillId="33" borderId="17" xfId="71" applyNumberFormat="1" applyFont="1" applyFill="1" applyBorder="1" applyAlignment="1" applyProtection="1">
      <alignment horizontal="right" vertical="center"/>
      <protection/>
    </xf>
    <xf numFmtId="0" fontId="5" fillId="33" borderId="17" xfId="121" applyFont="1" applyFill="1" applyBorder="1" applyAlignment="1" applyProtection="1">
      <alignment vertical="center"/>
      <protection/>
    </xf>
    <xf numFmtId="0" fontId="5" fillId="33" borderId="21" xfId="121" applyFont="1" applyFill="1" applyBorder="1" applyAlignment="1" applyProtection="1">
      <alignment vertical="center"/>
      <protection/>
    </xf>
    <xf numFmtId="0" fontId="5" fillId="33" borderId="24" xfId="121" applyFont="1" applyFill="1" applyBorder="1" applyAlignment="1" applyProtection="1">
      <alignment vertical="center"/>
      <protection/>
    </xf>
    <xf numFmtId="0" fontId="5" fillId="33" borderId="10" xfId="71" applyNumberFormat="1" applyFont="1" applyFill="1" applyBorder="1" applyAlignment="1" applyProtection="1">
      <alignment horizontal="right" vertical="center"/>
      <protection/>
    </xf>
    <xf numFmtId="0" fontId="5" fillId="33" borderId="10" xfId="121" applyFont="1" applyFill="1" applyBorder="1" applyAlignment="1" applyProtection="1">
      <alignment vertical="center"/>
      <protection/>
    </xf>
    <xf numFmtId="0" fontId="5" fillId="33" borderId="13" xfId="12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15" fillId="33" borderId="17" xfId="0" applyFont="1" applyFill="1" applyBorder="1" applyAlignment="1" applyProtection="1">
      <alignment horizontal="center" vertical="center"/>
      <protection/>
    </xf>
    <xf numFmtId="0" fontId="0" fillId="33" borderId="21" xfId="0" applyFill="1" applyBorder="1" applyAlignment="1">
      <alignment vertical="center"/>
    </xf>
    <xf numFmtId="0" fontId="0" fillId="33" borderId="36" xfId="0" applyFill="1" applyBorder="1" applyAlignment="1">
      <alignment vertical="center"/>
    </xf>
    <xf numFmtId="0" fontId="0" fillId="33" borderId="0" xfId="0" applyFill="1" applyBorder="1" applyAlignment="1">
      <alignment vertical="center"/>
    </xf>
    <xf numFmtId="0" fontId="0" fillId="33" borderId="20" xfId="0" applyFill="1" applyBorder="1" applyAlignment="1">
      <alignment vertical="center"/>
    </xf>
    <xf numFmtId="0" fontId="0" fillId="33" borderId="24" xfId="0" applyFill="1" applyBorder="1" applyAlignment="1">
      <alignment vertical="center"/>
    </xf>
    <xf numFmtId="0" fontId="5" fillId="33" borderId="36" xfId="0" applyFont="1" applyFill="1" applyBorder="1" applyAlignment="1" applyProtection="1">
      <alignment horizontal="right" vertical="center"/>
      <protection/>
    </xf>
    <xf numFmtId="0" fontId="1" fillId="32" borderId="0" xfId="0" applyFont="1" applyFill="1" applyAlignment="1">
      <alignment/>
    </xf>
    <xf numFmtId="0" fontId="0" fillId="32" borderId="0" xfId="0" applyFill="1" applyAlignment="1">
      <alignment/>
    </xf>
    <xf numFmtId="37" fontId="4" fillId="33" borderId="23" xfId="0" applyNumberFormat="1" applyFont="1" applyFill="1" applyBorder="1" applyAlignment="1" applyProtection="1">
      <alignment horizontal="left" vertical="center"/>
      <protection/>
    </xf>
    <xf numFmtId="0" fontId="4" fillId="33" borderId="23" xfId="0" applyFont="1" applyFill="1" applyBorder="1" applyAlignment="1" applyProtection="1">
      <alignment vertical="center"/>
      <protection/>
    </xf>
    <xf numFmtId="37" fontId="4" fillId="33" borderId="23" xfId="102" applyNumberFormat="1" applyFont="1" applyFill="1" applyBorder="1" applyAlignment="1" applyProtection="1">
      <alignment horizontal="left" vertical="center"/>
      <protection/>
    </xf>
    <xf numFmtId="0" fontId="4" fillId="33" borderId="23" xfId="121" applyFont="1" applyFill="1" applyBorder="1" applyAlignment="1" applyProtection="1">
      <alignment vertical="center"/>
      <protection/>
    </xf>
    <xf numFmtId="0" fontId="4" fillId="35" borderId="18" xfId="0" applyFont="1" applyFill="1" applyBorder="1" applyAlignment="1" applyProtection="1">
      <alignment vertical="center"/>
      <protection locked="0"/>
    </xf>
    <xf numFmtId="3" fontId="4" fillId="35" borderId="18" xfId="0" applyNumberFormat="1" applyFont="1" applyFill="1" applyBorder="1" applyAlignment="1" applyProtection="1">
      <alignment vertical="center"/>
      <protection locked="0"/>
    </xf>
    <xf numFmtId="3" fontId="4" fillId="35" borderId="12"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xf>
    <xf numFmtId="0" fontId="4" fillId="0" borderId="0" xfId="0" applyFont="1" applyAlignment="1" applyProtection="1">
      <alignment vertical="center"/>
      <protection locked="0"/>
    </xf>
    <xf numFmtId="10" fontId="4" fillId="35" borderId="12" xfId="0" applyNumberFormat="1" applyFont="1" applyFill="1" applyBorder="1" applyAlignment="1" applyProtection="1">
      <alignment horizontal="center" vertical="center"/>
      <protection locked="0"/>
    </xf>
    <xf numFmtId="37" fontId="4" fillId="33" borderId="0" xfId="0" applyNumberFormat="1" applyFont="1" applyFill="1" applyBorder="1" applyAlignment="1" applyProtection="1">
      <alignment horizontal="left" vertical="center"/>
      <protection/>
    </xf>
    <xf numFmtId="0" fontId="4" fillId="33" borderId="0" xfId="0" applyFont="1" applyFill="1" applyAlignment="1" applyProtection="1">
      <alignment horizontal="centerContinuous" vertical="center"/>
      <protection/>
    </xf>
    <xf numFmtId="0" fontId="4" fillId="33" borderId="0" xfId="0" applyFont="1" applyFill="1" applyAlignment="1" applyProtection="1">
      <alignment horizontal="center" vertical="center" wrapText="1"/>
      <protection/>
    </xf>
    <xf numFmtId="3" fontId="5" fillId="33" borderId="0" xfId="0" applyNumberFormat="1" applyFont="1" applyFill="1" applyAlignment="1" applyProtection="1" quotePrefix="1">
      <alignment vertical="center"/>
      <protection/>
    </xf>
    <xf numFmtId="3" fontId="5" fillId="48" borderId="15" xfId="0" applyNumberFormat="1" applyFont="1" applyFill="1" applyBorder="1" applyAlignment="1" applyProtection="1">
      <alignment vertical="center"/>
      <protection locked="0"/>
    </xf>
    <xf numFmtId="0" fontId="5" fillId="33" borderId="0" xfId="0" applyFont="1" applyFill="1" applyAlignment="1" applyProtection="1" quotePrefix="1">
      <alignment horizontal="right" vertical="center"/>
      <protection/>
    </xf>
    <xf numFmtId="0" fontId="5" fillId="33" borderId="0" xfId="0" applyFont="1" applyFill="1" applyAlignment="1" applyProtection="1" quotePrefix="1">
      <alignment horizontal="left" vertical="top"/>
      <protection/>
    </xf>
    <xf numFmtId="3" fontId="5" fillId="48" borderId="10" xfId="0" applyNumberFormat="1" applyFont="1" applyFill="1" applyBorder="1" applyAlignment="1" applyProtection="1">
      <alignment vertical="center"/>
      <protection/>
    </xf>
    <xf numFmtId="0" fontId="5" fillId="33" borderId="0" xfId="0" applyFont="1" applyFill="1" applyAlignment="1" applyProtection="1" quotePrefix="1">
      <alignment horizontal="left"/>
      <protection/>
    </xf>
    <xf numFmtId="202" fontId="5" fillId="33" borderId="10" xfId="0" applyNumberFormat="1" applyFont="1" applyFill="1" applyBorder="1" applyAlignment="1" applyProtection="1">
      <alignment vertical="center"/>
      <protection/>
    </xf>
    <xf numFmtId="0" fontId="5" fillId="33" borderId="0" xfId="0" applyFont="1" applyFill="1" applyBorder="1" applyAlignment="1" applyProtection="1" quotePrefix="1">
      <alignment vertical="center"/>
      <protection/>
    </xf>
    <xf numFmtId="0" fontId="5" fillId="33" borderId="0" xfId="92" applyFont="1" applyFill="1" applyAlignment="1" applyProtection="1" quotePrefix="1">
      <alignment horizontal="left"/>
      <protection/>
    </xf>
    <xf numFmtId="3" fontId="5" fillId="33" borderId="0" xfId="92" applyNumberFormat="1" applyFont="1" applyFill="1" applyBorder="1" applyAlignment="1" applyProtection="1">
      <alignment vertical="center"/>
      <protection/>
    </xf>
    <xf numFmtId="10" fontId="5" fillId="33" borderId="10" xfId="92" applyNumberFormat="1" applyFont="1" applyFill="1" applyBorder="1" applyAlignment="1" applyProtection="1">
      <alignment vertical="center"/>
      <protection/>
    </xf>
    <xf numFmtId="10" fontId="5" fillId="33" borderId="0" xfId="92" applyNumberFormat="1" applyFont="1" applyFill="1" applyBorder="1" applyAlignment="1" applyProtection="1">
      <alignment vertical="center"/>
      <protection/>
    </xf>
    <xf numFmtId="0" fontId="5" fillId="33" borderId="0" xfId="92" applyFont="1" applyFill="1" applyAlignment="1" applyProtection="1">
      <alignment horizontal="left" vertical="center"/>
      <protection/>
    </xf>
    <xf numFmtId="3" fontId="5" fillId="33" borderId="10" xfId="92" applyNumberFormat="1" applyFont="1" applyFill="1" applyBorder="1" applyAlignment="1" applyProtection="1">
      <alignment vertical="center"/>
      <protection/>
    </xf>
    <xf numFmtId="0" fontId="5" fillId="33" borderId="0" xfId="92" applyFont="1" applyFill="1" applyAlignment="1" applyProtection="1" quotePrefix="1">
      <alignment vertical="center"/>
      <protection/>
    </xf>
    <xf numFmtId="3" fontId="5" fillId="33" borderId="0" xfId="92" applyNumberFormat="1" applyFont="1" applyFill="1" applyAlignment="1" applyProtection="1">
      <alignment vertical="center"/>
      <protection/>
    </xf>
    <xf numFmtId="0" fontId="4" fillId="33" borderId="0" xfId="92" applyFont="1" applyFill="1" applyAlignment="1" applyProtection="1" quotePrefix="1">
      <alignment vertical="center"/>
      <protection/>
    </xf>
    <xf numFmtId="0" fontId="4" fillId="43" borderId="0" xfId="92" applyFont="1" applyFill="1" applyAlignment="1" applyProtection="1">
      <alignment vertical="center"/>
      <protection/>
    </xf>
    <xf numFmtId="0" fontId="7" fillId="33" borderId="0" xfId="92" applyFont="1" applyFill="1" applyAlignment="1" applyProtection="1">
      <alignment horizontal="center" vertical="center"/>
      <protection/>
    </xf>
    <xf numFmtId="3" fontId="4" fillId="43" borderId="15" xfId="92" applyNumberFormat="1" applyFont="1" applyFill="1" applyBorder="1" applyAlignment="1" applyProtection="1">
      <alignment vertical="center"/>
      <protection/>
    </xf>
    <xf numFmtId="0" fontId="7" fillId="33" borderId="0" xfId="92" applyFont="1" applyFill="1" applyAlignment="1" applyProtection="1">
      <alignment horizontal="left" vertical="center"/>
      <protection/>
    </xf>
    <xf numFmtId="0" fontId="5" fillId="33" borderId="0" xfId="92" applyFont="1" applyFill="1" applyAlignment="1" applyProtection="1">
      <alignment horizontal="centerContinuous" vertical="center" wrapText="1"/>
      <protection/>
    </xf>
    <xf numFmtId="0" fontId="5" fillId="0" borderId="0" xfId="0" applyFont="1" applyAlignment="1">
      <alignment horizontal="right" vertical="center"/>
    </xf>
    <xf numFmtId="0" fontId="5" fillId="32" borderId="0" xfId="0" applyFont="1" applyFill="1" applyAlignment="1" applyProtection="1">
      <alignment horizontal="left" vertical="center"/>
      <protection/>
    </xf>
    <xf numFmtId="0" fontId="5" fillId="32" borderId="0" xfId="0" applyFont="1" applyFill="1" applyAlignment="1" applyProtection="1">
      <alignment vertical="center"/>
      <protection/>
    </xf>
    <xf numFmtId="37" fontId="5" fillId="32" borderId="0" xfId="0" applyNumberFormat="1" applyFont="1" applyFill="1" applyAlignment="1" applyProtection="1">
      <alignment vertical="center"/>
      <protection/>
    </xf>
    <xf numFmtId="1" fontId="5" fillId="32" borderId="0" xfId="0" applyNumberFormat="1" applyFont="1" applyFill="1" applyBorder="1" applyAlignment="1" applyProtection="1">
      <alignment horizontal="left" vertical="center"/>
      <protection/>
    </xf>
    <xf numFmtId="3" fontId="5" fillId="32" borderId="0" xfId="0" applyNumberFormat="1" applyFont="1" applyFill="1" applyAlignment="1" applyProtection="1">
      <alignment vertical="center"/>
      <protection/>
    </xf>
    <xf numFmtId="0" fontId="5" fillId="32" borderId="0" xfId="0" applyFont="1" applyFill="1" applyAlignment="1" applyProtection="1" quotePrefix="1">
      <alignment horizontal="left" vertical="center"/>
      <protection/>
    </xf>
    <xf numFmtId="3" fontId="5" fillId="32" borderId="0" xfId="0" applyNumberFormat="1" applyFont="1" applyFill="1" applyAlignment="1" applyProtection="1" quotePrefix="1">
      <alignment vertical="center"/>
      <protection/>
    </xf>
    <xf numFmtId="3" fontId="5" fillId="32" borderId="0" xfId="0" applyNumberFormat="1" applyFont="1" applyFill="1" applyBorder="1" applyAlignment="1" applyProtection="1">
      <alignment vertical="center"/>
      <protection/>
    </xf>
    <xf numFmtId="3" fontId="5" fillId="32" borderId="10" xfId="0" applyNumberFormat="1" applyFont="1" applyFill="1" applyBorder="1" applyAlignment="1" applyProtection="1">
      <alignment vertical="center"/>
      <protection/>
    </xf>
    <xf numFmtId="3" fontId="5" fillId="32" borderId="15" xfId="0" applyNumberFormat="1" applyFont="1" applyFill="1" applyBorder="1" applyAlignment="1" applyProtection="1">
      <alignment vertical="center"/>
      <protection/>
    </xf>
    <xf numFmtId="0" fontId="5" fillId="32" borderId="0" xfId="0" applyFont="1" applyFill="1" applyAlignment="1" applyProtection="1" quotePrefix="1">
      <alignment vertical="center"/>
      <protection/>
    </xf>
    <xf numFmtId="3" fontId="5" fillId="32" borderId="0" xfId="0" applyNumberFormat="1" applyFont="1" applyFill="1" applyBorder="1" applyAlignment="1" applyProtection="1" quotePrefix="1">
      <alignment vertical="center"/>
      <protection/>
    </xf>
    <xf numFmtId="0" fontId="5" fillId="32" borderId="0" xfId="0" applyFont="1" applyFill="1" applyBorder="1" applyAlignment="1" applyProtection="1" quotePrefix="1">
      <alignment horizontal="left" vertical="center"/>
      <protection/>
    </xf>
    <xf numFmtId="0" fontId="5" fillId="32" borderId="0" xfId="0" applyFont="1" applyFill="1" applyBorder="1" applyAlignment="1" applyProtection="1">
      <alignment vertical="center"/>
      <protection/>
    </xf>
    <xf numFmtId="0" fontId="5" fillId="32" borderId="0" xfId="0" applyFont="1" applyFill="1" applyBorder="1" applyAlignment="1" applyProtection="1" quotePrefix="1">
      <alignment vertical="center"/>
      <protection/>
    </xf>
    <xf numFmtId="3" fontId="5" fillId="32" borderId="0" xfId="0" applyNumberFormat="1" applyFont="1" applyFill="1" applyBorder="1" applyAlignment="1" applyProtection="1">
      <alignment horizontal="center" vertical="center"/>
      <protection/>
    </xf>
    <xf numFmtId="3" fontId="5" fillId="32" borderId="0" xfId="0" applyNumberFormat="1" applyFont="1" applyFill="1" applyBorder="1" applyAlignment="1" applyProtection="1">
      <alignment horizontal="center"/>
      <protection/>
    </xf>
    <xf numFmtId="3" fontId="5" fillId="48" borderId="15" xfId="0" applyNumberFormat="1" applyFont="1" applyFill="1" applyBorder="1" applyAlignment="1" applyProtection="1">
      <alignment vertical="center"/>
      <protection/>
    </xf>
    <xf numFmtId="10" fontId="5" fillId="32" borderId="0" xfId="0" applyNumberFormat="1" applyFont="1" applyFill="1" applyBorder="1" applyAlignment="1" applyProtection="1">
      <alignment vertical="center"/>
      <protection/>
    </xf>
    <xf numFmtId="171" fontId="5" fillId="32" borderId="0" xfId="0" applyNumberFormat="1" applyFont="1" applyFill="1" applyBorder="1" applyAlignment="1" applyProtection="1">
      <alignment vertical="center"/>
      <protection/>
    </xf>
    <xf numFmtId="0" fontId="5" fillId="32" borderId="0" xfId="0" applyFont="1" applyFill="1" applyBorder="1" applyAlignment="1" applyProtection="1">
      <alignment horizontal="left" vertical="center"/>
      <protection/>
    </xf>
    <xf numFmtId="3" fontId="5" fillId="32" borderId="0" xfId="0" applyNumberFormat="1" applyFont="1" applyFill="1" applyBorder="1" applyAlignment="1" applyProtection="1">
      <alignment vertical="center"/>
      <protection locked="0"/>
    </xf>
    <xf numFmtId="0" fontId="5" fillId="32" borderId="0" xfId="92" applyFont="1" applyFill="1" applyBorder="1" applyAlignment="1" applyProtection="1" quotePrefix="1">
      <alignment horizontal="left" vertical="center"/>
      <protection/>
    </xf>
    <xf numFmtId="0" fontId="5" fillId="32" borderId="0" xfId="92" applyFont="1" applyFill="1" applyBorder="1" applyAlignment="1" applyProtection="1">
      <alignment vertical="center"/>
      <protection/>
    </xf>
    <xf numFmtId="10" fontId="5" fillId="32" borderId="0" xfId="92" applyNumberFormat="1" applyFont="1" applyFill="1" applyBorder="1" applyAlignment="1" applyProtection="1">
      <alignment vertical="center"/>
      <protection/>
    </xf>
    <xf numFmtId="0" fontId="5" fillId="32" borderId="0" xfId="92" applyFont="1" applyFill="1" applyBorder="1" applyAlignment="1" applyProtection="1">
      <alignment horizontal="left" vertical="center"/>
      <protection/>
    </xf>
    <xf numFmtId="3" fontId="5" fillId="32" borderId="0" xfId="92" applyNumberFormat="1" applyFont="1" applyFill="1" applyBorder="1" applyAlignment="1" applyProtection="1">
      <alignment vertical="center"/>
      <protection/>
    </xf>
    <xf numFmtId="0" fontId="4" fillId="32" borderId="0" xfId="92" applyFont="1" applyFill="1" applyAlignment="1" applyProtection="1" quotePrefix="1">
      <alignment vertical="center"/>
      <protection/>
    </xf>
    <xf numFmtId="0" fontId="4" fillId="32" borderId="0" xfId="92" applyFont="1" applyFill="1" applyAlignment="1" applyProtection="1">
      <alignment vertical="center"/>
      <protection/>
    </xf>
    <xf numFmtId="3" fontId="4" fillId="32" borderId="15" xfId="92" applyNumberFormat="1" applyFont="1" applyFill="1" applyBorder="1" applyAlignment="1" applyProtection="1">
      <alignment vertical="center"/>
      <protection/>
    </xf>
    <xf numFmtId="0" fontId="7" fillId="32" borderId="0" xfId="92" applyFont="1" applyFill="1" applyBorder="1" applyAlignment="1" applyProtection="1">
      <alignment horizontal="center" vertical="center"/>
      <protection/>
    </xf>
    <xf numFmtId="0" fontId="7" fillId="32" borderId="0" xfId="92" applyFont="1" applyFill="1" applyAlignment="1" applyProtection="1">
      <alignment horizontal="left" vertical="center"/>
      <protection/>
    </xf>
    <xf numFmtId="0" fontId="7" fillId="32" borderId="0" xfId="92" applyFont="1" applyFill="1" applyAlignment="1" applyProtection="1">
      <alignment horizontal="center" vertical="center"/>
      <protection/>
    </xf>
    <xf numFmtId="0" fontId="5" fillId="32" borderId="0" xfId="92" applyFont="1" applyFill="1" applyAlignment="1" applyProtection="1">
      <alignment horizontal="left" vertical="center"/>
      <protection/>
    </xf>
    <xf numFmtId="0" fontId="7" fillId="32" borderId="0" xfId="92" applyFont="1" applyFill="1" applyAlignment="1" applyProtection="1">
      <alignment horizontal="right" vertical="center"/>
      <protection/>
    </xf>
    <xf numFmtId="0" fontId="5" fillId="32" borderId="0" xfId="92" applyFont="1" applyFill="1" applyAlignment="1" applyProtection="1">
      <alignment horizontal="right" vertical="center"/>
      <protection/>
    </xf>
    <xf numFmtId="0" fontId="5" fillId="0" borderId="0" xfId="92" applyFont="1" applyFill="1" applyAlignment="1" applyProtection="1">
      <alignment horizontal="left" vertical="center" wrapText="1"/>
      <protection/>
    </xf>
    <xf numFmtId="0" fontId="5" fillId="0" borderId="0" xfId="92" applyFont="1" applyFill="1" applyAlignment="1" applyProtection="1">
      <alignment horizontal="centerContinuous" vertical="center" wrapText="1"/>
      <protection/>
    </xf>
    <xf numFmtId="0" fontId="0" fillId="0" borderId="0" xfId="0" applyAlignment="1">
      <alignment horizontal="left"/>
    </xf>
    <xf numFmtId="1" fontId="5" fillId="32" borderId="0" xfId="0" applyNumberFormat="1" applyFont="1" applyFill="1" applyBorder="1" applyAlignment="1" applyProtection="1">
      <alignment horizontal="center" vertical="center"/>
      <protection/>
    </xf>
    <xf numFmtId="37" fontId="4" fillId="32" borderId="0" xfId="0" applyNumberFormat="1" applyFont="1" applyFill="1" applyAlignment="1" applyProtection="1">
      <alignment horizontal="center" vertical="center"/>
      <protection/>
    </xf>
    <xf numFmtId="0" fontId="4" fillId="32" borderId="0" xfId="0" applyFont="1" applyFill="1" applyAlignment="1" applyProtection="1">
      <alignment horizontal="centerContinuous" vertical="center"/>
      <protection/>
    </xf>
    <xf numFmtId="0" fontId="4" fillId="32" borderId="0" xfId="0" applyFont="1" applyFill="1" applyAlignment="1" applyProtection="1">
      <alignment horizontal="center" vertical="center"/>
      <protection/>
    </xf>
    <xf numFmtId="0" fontId="5" fillId="32" borderId="0" xfId="0" applyFont="1" applyFill="1" applyBorder="1" applyAlignment="1" applyProtection="1">
      <alignment horizontal="right" vertical="center"/>
      <protection/>
    </xf>
    <xf numFmtId="0" fontId="4" fillId="32" borderId="0" xfId="0" applyFont="1" applyFill="1" applyAlignment="1" applyProtection="1">
      <alignment horizontal="left" vertical="center"/>
      <protection/>
    </xf>
    <xf numFmtId="0" fontId="5" fillId="32" borderId="0" xfId="0" applyFont="1" applyFill="1" applyBorder="1" applyAlignment="1" applyProtection="1">
      <alignment horizontal="center" vertical="top"/>
      <protection/>
    </xf>
    <xf numFmtId="0" fontId="4" fillId="32" borderId="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wrapText="1"/>
      <protection/>
    </xf>
    <xf numFmtId="3" fontId="4" fillId="32" borderId="0" xfId="0" applyNumberFormat="1" applyFont="1" applyFill="1" applyBorder="1" applyAlignment="1" applyProtection="1">
      <alignment horizontal="left" vertical="center"/>
      <protection/>
    </xf>
    <xf numFmtId="3" fontId="5" fillId="32" borderId="0" xfId="0" applyNumberFormat="1" applyFont="1" applyFill="1" applyBorder="1" applyAlignment="1" applyProtection="1">
      <alignment/>
      <protection/>
    </xf>
    <xf numFmtId="0" fontId="4" fillId="32" borderId="0" xfId="0" applyFont="1" applyFill="1" applyBorder="1" applyAlignment="1" applyProtection="1" quotePrefix="1">
      <alignment horizontal="left" vertical="center"/>
      <protection/>
    </xf>
    <xf numFmtId="0" fontId="4" fillId="32" borderId="0" xfId="0" applyFont="1" applyFill="1" applyBorder="1" applyAlignment="1" applyProtection="1">
      <alignment vertical="center"/>
      <protection/>
    </xf>
    <xf numFmtId="3" fontId="4" fillId="32" borderId="0" xfId="0" applyNumberFormat="1" applyFont="1" applyFill="1" applyBorder="1" applyAlignment="1" applyProtection="1" quotePrefix="1">
      <alignment vertical="center"/>
      <protection/>
    </xf>
    <xf numFmtId="3" fontId="4" fillId="32" borderId="0" xfId="0" applyNumberFormat="1" applyFont="1" applyFill="1" applyBorder="1" applyAlignment="1" applyProtection="1">
      <alignment vertical="center"/>
      <protection/>
    </xf>
    <xf numFmtId="0" fontId="5" fillId="32" borderId="0" xfId="0" applyFont="1" applyFill="1" applyBorder="1" applyAlignment="1" applyProtection="1" quotePrefix="1">
      <alignment horizontal="right" vertical="center"/>
      <protection/>
    </xf>
    <xf numFmtId="3" fontId="4" fillId="32" borderId="15" xfId="0" applyNumberFormat="1" applyFont="1" applyFill="1" applyBorder="1" applyAlignment="1" applyProtection="1">
      <alignment vertical="center"/>
      <protection/>
    </xf>
    <xf numFmtId="3" fontId="5" fillId="48" borderId="0" xfId="0" applyNumberFormat="1" applyFont="1" applyFill="1" applyBorder="1" applyAlignment="1" applyProtection="1">
      <alignment vertical="center"/>
      <protection/>
    </xf>
    <xf numFmtId="3" fontId="4" fillId="48" borderId="0" xfId="0" applyNumberFormat="1" applyFont="1" applyFill="1" applyBorder="1" applyAlignment="1" applyProtection="1">
      <alignment vertical="center"/>
      <protection/>
    </xf>
    <xf numFmtId="3" fontId="4" fillId="32" borderId="0" xfId="0" applyNumberFormat="1" applyFont="1" applyFill="1" applyBorder="1" applyAlignment="1" applyProtection="1">
      <alignment horizontal="center" vertical="center"/>
      <protection/>
    </xf>
    <xf numFmtId="188" fontId="5" fillId="48" borderId="0" xfId="0" applyNumberFormat="1" applyFont="1" applyFill="1" applyBorder="1" applyAlignment="1" applyProtection="1">
      <alignment vertical="center"/>
      <protection/>
    </xf>
    <xf numFmtId="0" fontId="5" fillId="32" borderId="0" xfId="92" applyFont="1" applyFill="1" applyBorder="1" applyAlignment="1" applyProtection="1" quotePrefix="1">
      <alignment vertical="center"/>
      <protection/>
    </xf>
    <xf numFmtId="0" fontId="4" fillId="32" borderId="0" xfId="92" applyFont="1" applyFill="1" applyBorder="1" applyAlignment="1" applyProtection="1">
      <alignment vertical="center"/>
      <protection/>
    </xf>
    <xf numFmtId="3" fontId="4" fillId="32" borderId="0" xfId="92" applyNumberFormat="1" applyFont="1" applyFill="1" applyBorder="1" applyAlignment="1" applyProtection="1">
      <alignment vertical="center"/>
      <protection/>
    </xf>
    <xf numFmtId="0" fontId="4" fillId="32" borderId="0" xfId="92" applyFont="1" applyFill="1" applyBorder="1" applyAlignment="1" applyProtection="1" quotePrefix="1">
      <alignment vertical="center"/>
      <protection/>
    </xf>
    <xf numFmtId="0" fontId="7" fillId="0" borderId="0" xfId="92" applyFont="1" applyFill="1" applyAlignment="1" applyProtection="1">
      <alignment horizontal="center" vertical="center"/>
      <protection/>
    </xf>
    <xf numFmtId="0" fontId="7" fillId="0" borderId="0" xfId="92" applyFont="1" applyFill="1" applyAlignment="1" applyProtection="1">
      <alignment horizontal="left" vertical="center"/>
      <protection/>
    </xf>
    <xf numFmtId="0" fontId="5" fillId="0" borderId="0" xfId="92" applyFont="1" applyFill="1" applyAlignment="1" applyProtection="1">
      <alignment horizontal="left" vertical="center"/>
      <protection/>
    </xf>
    <xf numFmtId="3" fontId="5" fillId="0" borderId="0" xfId="92" applyNumberFormat="1" applyFont="1" applyFill="1" applyBorder="1" applyAlignment="1" applyProtection="1">
      <alignment vertical="center"/>
      <protection/>
    </xf>
    <xf numFmtId="0" fontId="0" fillId="0" borderId="0" xfId="0" applyFill="1" applyAlignment="1">
      <alignment/>
    </xf>
    <xf numFmtId="3" fontId="4" fillId="33" borderId="0" xfId="0" applyNumberFormat="1" applyFont="1" applyFill="1" applyAlignment="1" applyProtection="1">
      <alignment vertical="center"/>
      <protection/>
    </xf>
    <xf numFmtId="0" fontId="92" fillId="33" borderId="0" xfId="0" applyFont="1" applyFill="1" applyAlignment="1" applyProtection="1">
      <alignment vertical="center"/>
      <protection/>
    </xf>
    <xf numFmtId="0" fontId="5" fillId="33" borderId="23" xfId="0" applyFont="1" applyFill="1" applyBorder="1" applyAlignment="1">
      <alignment vertical="center"/>
    </xf>
    <xf numFmtId="0" fontId="5" fillId="33" borderId="17" xfId="0" applyFont="1" applyFill="1" applyBorder="1" applyAlignment="1">
      <alignment horizontal="center" vertical="center"/>
    </xf>
    <xf numFmtId="0" fontId="5" fillId="33" borderId="21" xfId="0" applyFont="1" applyFill="1" applyBorder="1" applyAlignment="1">
      <alignment vertical="center"/>
    </xf>
    <xf numFmtId="0" fontId="5" fillId="33" borderId="36" xfId="0" applyFont="1" applyFill="1" applyBorder="1" applyAlignment="1">
      <alignment vertical="center"/>
    </xf>
    <xf numFmtId="0" fontId="5" fillId="33" borderId="0" xfId="0" applyFont="1" applyFill="1" applyBorder="1" applyAlignment="1">
      <alignment horizontal="center" vertical="center"/>
    </xf>
    <xf numFmtId="0" fontId="5" fillId="33" borderId="20" xfId="0" applyFont="1" applyFill="1" applyBorder="1" applyAlignment="1">
      <alignment vertical="center"/>
    </xf>
    <xf numFmtId="0" fontId="5" fillId="33" borderId="24" xfId="0" applyFont="1" applyFill="1" applyBorder="1" applyAlignment="1">
      <alignment vertical="center"/>
    </xf>
    <xf numFmtId="0" fontId="5" fillId="33" borderId="10" xfId="0" applyFont="1" applyFill="1" applyBorder="1" applyAlignment="1">
      <alignment horizontal="center" vertical="center"/>
    </xf>
    <xf numFmtId="0" fontId="5" fillId="33" borderId="13" xfId="0" applyFont="1" applyFill="1" applyBorder="1" applyAlignment="1">
      <alignment vertical="center"/>
    </xf>
    <xf numFmtId="37" fontId="15" fillId="33"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3" borderId="0" xfId="0" applyNumberFormat="1" applyFont="1" applyFill="1" applyAlignment="1" applyProtection="1">
      <alignment horizontal="center" vertical="center"/>
      <protection/>
    </xf>
    <xf numFmtId="0" fontId="0" fillId="0" borderId="0" xfId="0" applyAlignment="1">
      <alignment horizontal="center" vertical="center"/>
    </xf>
    <xf numFmtId="37" fontId="4" fillId="33" borderId="0" xfId="92" applyNumberFormat="1" applyFont="1" applyFill="1" applyAlignment="1" applyProtection="1">
      <alignment vertical="center" wrapText="1"/>
      <protection/>
    </xf>
    <xf numFmtId="0" fontId="5" fillId="33" borderId="23" xfId="92" applyFont="1" applyFill="1" applyBorder="1" applyAlignment="1" applyProtection="1">
      <alignment vertical="center" wrapText="1"/>
      <protection/>
    </xf>
    <xf numFmtId="0" fontId="0" fillId="0" borderId="21" xfId="92" applyBorder="1" applyAlignment="1">
      <alignment vertical="center" wrapText="1"/>
      <protection/>
    </xf>
    <xf numFmtId="0" fontId="0" fillId="0" borderId="36" xfId="92" applyBorder="1" applyAlignment="1">
      <alignment vertical="center" wrapText="1"/>
      <protection/>
    </xf>
    <xf numFmtId="0" fontId="0" fillId="0" borderId="20" xfId="92" applyBorder="1" applyAlignment="1">
      <alignment vertical="center" wrapText="1"/>
      <protection/>
    </xf>
    <xf numFmtId="0" fontId="0" fillId="0" borderId="24" xfId="92" applyBorder="1" applyAlignment="1">
      <alignment vertical="center" wrapText="1"/>
      <protection/>
    </xf>
    <xf numFmtId="0" fontId="0" fillId="0" borderId="13" xfId="92" applyBorder="1" applyAlignment="1">
      <alignment vertical="center" wrapText="1"/>
      <protection/>
    </xf>
    <xf numFmtId="0" fontId="17" fillId="33" borderId="0" xfId="0" applyFont="1" applyFill="1" applyBorder="1" applyAlignment="1">
      <alignment vertical="center"/>
    </xf>
    <xf numFmtId="0" fontId="20" fillId="0" borderId="0" xfId="0" applyFont="1" applyAlignment="1">
      <alignment vertical="center"/>
    </xf>
    <xf numFmtId="37" fontId="14" fillId="33" borderId="0" xfId="0" applyNumberFormat="1" applyFont="1" applyFill="1" applyBorder="1" applyAlignment="1" applyProtection="1">
      <alignment horizontal="center" vertical="center"/>
      <protection/>
    </xf>
    <xf numFmtId="0" fontId="5" fillId="34" borderId="17" xfId="0" applyFont="1" applyFill="1" applyBorder="1" applyAlignment="1">
      <alignment vertical="center" wrapText="1"/>
    </xf>
    <xf numFmtId="0" fontId="0" fillId="0" borderId="17" xfId="0" applyBorder="1" applyAlignment="1">
      <alignment vertical="center" wrapText="1"/>
    </xf>
    <xf numFmtId="0" fontId="4" fillId="36" borderId="18" xfId="0" applyFont="1" applyFill="1" applyBorder="1" applyAlignment="1">
      <alignment horizontal="center" vertical="center"/>
    </xf>
    <xf numFmtId="0" fontId="1" fillId="36" borderId="16" xfId="0" applyFont="1" applyFill="1" applyBorder="1" applyAlignment="1">
      <alignment horizontal="center" vertical="center"/>
    </xf>
    <xf numFmtId="37" fontId="4" fillId="49" borderId="18" xfId="121" applyNumberFormat="1" applyFont="1" applyFill="1" applyBorder="1" applyAlignment="1" applyProtection="1">
      <alignment horizontal="center" vertical="center"/>
      <protection/>
    </xf>
    <xf numFmtId="0" fontId="0" fillId="0" borderId="16" xfId="121" applyBorder="1" applyAlignment="1">
      <alignment horizontal="center" vertical="center"/>
      <protection/>
    </xf>
    <xf numFmtId="0" fontId="5" fillId="0" borderId="0" xfId="546" applyFont="1" applyAlignment="1">
      <alignment horizontal="left" vertical="center" wrapText="1"/>
      <protection/>
    </xf>
    <xf numFmtId="0" fontId="29" fillId="0" borderId="0" xfId="546" applyAlignment="1">
      <alignment horizontal="left" vertical="center" wrapText="1"/>
      <protection/>
    </xf>
    <xf numFmtId="0" fontId="14" fillId="0" borderId="0" xfId="546" applyFont="1" applyAlignment="1">
      <alignment horizontal="left" vertical="center"/>
      <protection/>
    </xf>
    <xf numFmtId="0" fontId="1" fillId="33" borderId="0" xfId="0" applyFont="1" applyFill="1" applyAlignment="1" applyProtection="1">
      <alignment horizontal="center" vertical="center"/>
      <protection/>
    </xf>
    <xf numFmtId="37" fontId="5" fillId="33" borderId="0" xfId="0" applyNumberFormat="1"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0" borderId="0" xfId="0" applyAlignment="1">
      <alignment vertical="center"/>
    </xf>
    <xf numFmtId="0" fontId="9" fillId="36" borderId="11" xfId="0" applyFont="1" applyFill="1" applyBorder="1" applyAlignment="1" applyProtection="1">
      <alignment horizontal="center" vertical="center" wrapText="1" shrinkToFit="1"/>
      <protection/>
    </xf>
    <xf numFmtId="0" fontId="9" fillId="36" borderId="19"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4" fillId="32" borderId="0" xfId="0" applyFont="1" applyFill="1" applyAlignment="1" applyProtection="1">
      <alignment horizontal="center" vertical="center"/>
      <protection/>
    </xf>
    <xf numFmtId="0" fontId="5" fillId="33" borderId="0" xfId="93" applyFont="1" applyFill="1" applyAlignment="1">
      <alignment horizontal="center" vertical="center"/>
      <protection/>
    </xf>
    <xf numFmtId="0" fontId="5" fillId="33" borderId="0" xfId="92" applyFont="1" applyFill="1" applyAlignment="1" applyProtection="1">
      <alignment horizontal="center" vertical="center"/>
      <protection/>
    </xf>
    <xf numFmtId="0" fontId="5" fillId="32" borderId="0" xfId="92" applyFont="1" applyFill="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0" fillId="32" borderId="0" xfId="0" applyFill="1" applyBorder="1" applyAlignment="1">
      <alignment horizontal="center" vertical="center"/>
    </xf>
    <xf numFmtId="0" fontId="5" fillId="0" borderId="0" xfId="92" applyFont="1" applyFill="1" applyAlignment="1" applyProtection="1">
      <alignment horizontal="center" vertical="center"/>
      <protection/>
    </xf>
    <xf numFmtId="0" fontId="5" fillId="0" borderId="0" xfId="93" applyFont="1" applyFill="1" applyAlignment="1">
      <alignment horizontal="center" vertical="center"/>
      <protection/>
    </xf>
    <xf numFmtId="37" fontId="5" fillId="33" borderId="18"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37" fontId="4" fillId="32" borderId="0" xfId="0" applyNumberFormat="1" applyFont="1" applyFill="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0" fillId="0" borderId="13" xfId="0" applyBorder="1" applyAlignment="1" applyProtection="1">
      <alignment vertical="center"/>
      <protection/>
    </xf>
    <xf numFmtId="1" fontId="5" fillId="33" borderId="24" xfId="0"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4" fillId="43" borderId="0" xfId="102" applyFont="1" applyFill="1" applyAlignment="1">
      <alignment horizontal="center" vertical="center"/>
      <protection/>
    </xf>
    <xf numFmtId="0" fontId="14" fillId="43" borderId="0" xfId="102" applyFont="1" applyFill="1" applyAlignment="1">
      <alignment horizontal="center" vertical="center"/>
      <protection/>
    </xf>
    <xf numFmtId="0" fontId="5" fillId="43" borderId="0" xfId="102" applyFont="1" applyFill="1" applyAlignment="1">
      <alignment vertical="center" wrapText="1"/>
      <protection/>
    </xf>
    <xf numFmtId="0" fontId="14" fillId="43" borderId="0" xfId="567" applyFont="1" applyFill="1" applyAlignment="1">
      <alignment horizontal="center"/>
      <protection/>
    </xf>
    <xf numFmtId="0" fontId="0" fillId="43" borderId="0" xfId="102" applyFill="1" applyAlignment="1">
      <alignment horizontal="center"/>
      <protection/>
    </xf>
    <xf numFmtId="3" fontId="5" fillId="33" borderId="17" xfId="126" applyNumberFormat="1" applyFont="1" applyFill="1" applyBorder="1" applyAlignment="1" applyProtection="1">
      <alignment horizontal="right" vertical="center"/>
      <protection/>
    </xf>
    <xf numFmtId="0" fontId="0" fillId="0" borderId="21" xfId="126" applyBorder="1" applyAlignment="1">
      <alignment horizontal="right" vertical="center"/>
      <protection/>
    </xf>
    <xf numFmtId="0" fontId="5" fillId="33" borderId="0" xfId="126" applyFont="1" applyFill="1" applyAlignment="1" applyProtection="1">
      <alignment horizontal="right" vertical="center"/>
      <protection/>
    </xf>
    <xf numFmtId="0" fontId="5" fillId="0" borderId="20" xfId="126" applyFont="1" applyBorder="1" applyAlignment="1">
      <alignment horizontal="right" vertical="center"/>
      <protection/>
    </xf>
    <xf numFmtId="0" fontId="5" fillId="33"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43" borderId="23" xfId="121" applyFont="1" applyFill="1" applyBorder="1" applyAlignment="1" applyProtection="1">
      <alignment horizontal="center" vertical="center"/>
      <protection/>
    </xf>
    <xf numFmtId="0" fontId="38" fillId="43" borderId="17" xfId="121" applyFont="1" applyFill="1" applyBorder="1" applyAlignment="1" applyProtection="1">
      <alignment horizontal="center" vertical="center"/>
      <protection/>
    </xf>
    <xf numFmtId="0" fontId="0" fillId="0" borderId="21" xfId="121" applyBorder="1" applyAlignment="1" applyProtection="1">
      <alignment vertical="center"/>
      <protection/>
    </xf>
    <xf numFmtId="0" fontId="0" fillId="0" borderId="17" xfId="0" applyBorder="1" applyAlignment="1">
      <alignment vertical="center"/>
    </xf>
    <xf numFmtId="0" fontId="0" fillId="0" borderId="21" xfId="0" applyBorder="1" applyAlignment="1">
      <alignment vertical="center"/>
    </xf>
    <xf numFmtId="188" fontId="38" fillId="43" borderId="23" xfId="0" applyNumberFormat="1" applyFont="1" applyFill="1" applyBorder="1" applyAlignment="1" applyProtection="1">
      <alignment horizontal="center"/>
      <protection/>
    </xf>
    <xf numFmtId="0" fontId="16" fillId="0" borderId="17" xfId="0" applyFont="1" applyBorder="1" applyAlignment="1">
      <alignment/>
    </xf>
    <xf numFmtId="0" fontId="16" fillId="0" borderId="21" xfId="0" applyFont="1" applyBorder="1" applyAlignment="1">
      <alignment/>
    </xf>
    <xf numFmtId="188" fontId="38" fillId="43" borderId="23" xfId="102" applyNumberFormat="1" applyFont="1" applyFill="1" applyBorder="1" applyAlignment="1" applyProtection="1">
      <alignment horizontal="center"/>
      <protection/>
    </xf>
    <xf numFmtId="0" fontId="16" fillId="0" borderId="17" xfId="102" applyFont="1" applyBorder="1" applyAlignment="1">
      <alignment/>
      <protection/>
    </xf>
    <xf numFmtId="0" fontId="16" fillId="0" borderId="21" xfId="102" applyFont="1" applyBorder="1" applyAlignment="1">
      <alignment/>
      <protection/>
    </xf>
    <xf numFmtId="0" fontId="38" fillId="0" borderId="0" xfId="102" applyFont="1" applyFill="1" applyBorder="1" applyAlignment="1" applyProtection="1">
      <alignment horizontal="center" vertical="center"/>
      <protection/>
    </xf>
    <xf numFmtId="0" fontId="0" fillId="0" borderId="0" xfId="102" applyFill="1" applyBorder="1" applyAlignment="1" applyProtection="1">
      <alignment vertical="center"/>
      <protection/>
    </xf>
    <xf numFmtId="0" fontId="38" fillId="43" borderId="23" xfId="102" applyFont="1" applyFill="1" applyBorder="1" applyAlignment="1" applyProtection="1">
      <alignment horizontal="center" vertical="center"/>
      <protection/>
    </xf>
    <xf numFmtId="0" fontId="0" fillId="0" borderId="17" xfId="102" applyBorder="1" applyAlignment="1">
      <alignment vertical="center"/>
      <protection/>
    </xf>
    <xf numFmtId="0" fontId="0" fillId="0" borderId="21" xfId="102" applyBorder="1" applyAlignment="1">
      <alignment vertical="center"/>
      <protection/>
    </xf>
    <xf numFmtId="0" fontId="5" fillId="33" borderId="0" xfId="71" applyNumberFormat="1" applyFont="1" applyFill="1" applyBorder="1" applyAlignment="1" applyProtection="1">
      <alignment horizontal="right" vertical="center"/>
      <protection/>
    </xf>
    <xf numFmtId="0" fontId="5" fillId="0" borderId="0" xfId="71" applyFont="1" applyAlignment="1" applyProtection="1">
      <alignment horizontal="right" vertical="center"/>
      <protection/>
    </xf>
    <xf numFmtId="0" fontId="38" fillId="43" borderId="23" xfId="0" applyFont="1" applyFill="1" applyBorder="1" applyAlignment="1" applyProtection="1">
      <alignment horizontal="center" vertical="center"/>
      <protection/>
    </xf>
    <xf numFmtId="0" fontId="31" fillId="43" borderId="23" xfId="121" applyFont="1" applyFill="1" applyBorder="1" applyAlignment="1" applyProtection="1">
      <alignment horizontal="center" vertical="center"/>
      <protection locked="0"/>
    </xf>
    <xf numFmtId="0" fontId="40" fillId="0" borderId="17" xfId="0" applyFont="1" applyBorder="1" applyAlignment="1">
      <alignment horizontal="center" vertical="center"/>
    </xf>
    <xf numFmtId="0" fontId="0" fillId="0" borderId="21" xfId="0" applyBorder="1" applyAlignment="1">
      <alignment/>
    </xf>
    <xf numFmtId="0" fontId="0" fillId="0" borderId="17" xfId="0" applyBorder="1" applyAlignment="1">
      <alignment horizontal="center" vertical="center"/>
    </xf>
    <xf numFmtId="0" fontId="0" fillId="0" borderId="0" xfId="0" applyBorder="1" applyAlignment="1">
      <alignment horizontal="right" vertical="center"/>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0" fontId="14" fillId="43" borderId="23" xfId="121" applyFont="1" applyFill="1" applyBorder="1" applyAlignment="1" applyProtection="1">
      <alignment horizontal="center"/>
      <protection/>
    </xf>
    <xf numFmtId="0" fontId="0" fillId="0" borderId="17" xfId="121" applyBorder="1" applyAlignment="1" applyProtection="1">
      <alignment horizontal="center"/>
      <protection/>
    </xf>
    <xf numFmtId="0" fontId="0" fillId="0" borderId="21" xfId="121" applyBorder="1" applyAlignment="1" applyProtection="1">
      <alignment horizontal="center"/>
      <protection/>
    </xf>
    <xf numFmtId="0" fontId="14" fillId="43" borderId="17" xfId="121" applyFont="1" applyFill="1" applyBorder="1" applyAlignment="1" applyProtection="1">
      <alignment horizontal="center"/>
      <protection/>
    </xf>
    <xf numFmtId="0" fontId="14" fillId="43" borderId="21" xfId="121" applyFont="1" applyFill="1" applyBorder="1" applyAlignment="1" applyProtection="1">
      <alignment horizontal="center"/>
      <protection/>
    </xf>
    <xf numFmtId="0" fontId="0" fillId="0" borderId="17" xfId="0" applyBorder="1" applyAlignment="1">
      <alignment horizontal="center"/>
    </xf>
    <xf numFmtId="0" fontId="0" fillId="0" borderId="21" xfId="0" applyBorder="1" applyAlignment="1">
      <alignment horizontal="center"/>
    </xf>
    <xf numFmtId="37" fontId="5" fillId="43" borderId="0" xfId="0" applyNumberFormat="1" applyFont="1" applyFill="1" applyAlignment="1" applyProtection="1">
      <alignment horizontal="center" vertical="center"/>
      <protection/>
    </xf>
    <xf numFmtId="37" fontId="5" fillId="33" borderId="17" xfId="0" applyNumberFormat="1" applyFont="1" applyFill="1" applyBorder="1" applyAlignment="1" applyProtection="1">
      <alignment horizontal="center" vertical="center"/>
      <protection/>
    </xf>
    <xf numFmtId="37" fontId="5" fillId="43" borderId="0" xfId="148" applyNumberFormat="1" applyFont="1" applyFill="1" applyAlignment="1" applyProtection="1">
      <alignment horizontal="center"/>
      <protection/>
    </xf>
    <xf numFmtId="37" fontId="4" fillId="33" borderId="10" xfId="0" applyNumberFormat="1" applyFont="1" applyFill="1" applyBorder="1" applyAlignment="1" applyProtection="1">
      <alignment horizontal="center" vertical="center"/>
      <protection locked="0"/>
    </xf>
    <xf numFmtId="0" fontId="5" fillId="33" borderId="0" xfId="0" applyFont="1" applyFill="1" applyAlignment="1">
      <alignment horizontal="right" vertical="center"/>
    </xf>
    <xf numFmtId="0" fontId="0" fillId="0" borderId="0" xfId="0" applyAlignment="1" applyProtection="1">
      <alignment vertical="center"/>
      <protection/>
    </xf>
    <xf numFmtId="0" fontId="5" fillId="33" borderId="0" xfId="0" applyFont="1" applyFill="1" applyAlignment="1" applyProtection="1">
      <alignment horizontal="right" vertical="center"/>
      <protection/>
    </xf>
    <xf numFmtId="195" fontId="33" fillId="44" borderId="10" xfId="0" applyNumberFormat="1" applyFont="1" applyFill="1" applyBorder="1" applyAlignment="1" applyProtection="1">
      <alignment horizontal="center"/>
      <protection locked="0"/>
    </xf>
    <xf numFmtId="195" fontId="33" fillId="43" borderId="0" xfId="0" applyNumberFormat="1" applyFont="1" applyFill="1" applyBorder="1" applyAlignment="1">
      <alignment horizontal="center"/>
    </xf>
    <xf numFmtId="0" fontId="33" fillId="43" borderId="17" xfId="0" applyFont="1" applyFill="1" applyBorder="1" applyAlignment="1">
      <alignment horizontal="center"/>
    </xf>
    <xf numFmtId="0" fontId="33" fillId="43" borderId="0" xfId="0" applyFont="1" applyFill="1" applyAlignment="1">
      <alignment wrapText="1"/>
    </xf>
    <xf numFmtId="5" fontId="33" fillId="43" borderId="10" xfId="0" applyNumberFormat="1" applyFont="1" applyFill="1" applyBorder="1" applyAlignment="1">
      <alignment horizontal="center"/>
    </xf>
    <xf numFmtId="0" fontId="87" fillId="43" borderId="26" xfId="0" applyFont="1" applyFill="1" applyBorder="1" applyAlignment="1">
      <alignment horizontal="center" vertical="center"/>
    </xf>
    <xf numFmtId="0" fontId="33" fillId="0" borderId="26" xfId="0" applyFont="1" applyBorder="1" applyAlignment="1">
      <alignment horizontal="center" vertical="center"/>
    </xf>
    <xf numFmtId="0" fontId="87" fillId="43" borderId="0" xfId="0" applyFont="1" applyFill="1" applyAlignment="1">
      <alignment horizontal="center" wrapText="1"/>
    </xf>
    <xf numFmtId="0" fontId="33" fillId="0" borderId="0" xfId="0" applyFont="1" applyAlignment="1">
      <alignment wrapText="1"/>
    </xf>
    <xf numFmtId="0" fontId="87" fillId="43" borderId="0" xfId="0" applyFont="1" applyFill="1" applyAlignment="1">
      <alignment horizontal="center"/>
    </xf>
    <xf numFmtId="0" fontId="33" fillId="0" borderId="0" xfId="0" applyFont="1" applyAlignment="1">
      <alignment horizontal="center" wrapText="1"/>
    </xf>
    <xf numFmtId="0" fontId="87" fillId="43" borderId="0" xfId="0" applyFont="1" applyFill="1" applyAlignment="1">
      <alignment horizontal="center" vertical="center"/>
    </xf>
    <xf numFmtId="0" fontId="87" fillId="0" borderId="0" xfId="0" applyFont="1" applyAlignment="1">
      <alignment horizontal="center" vertical="center"/>
    </xf>
    <xf numFmtId="195" fontId="33" fillId="43" borderId="0" xfId="0" applyNumberFormat="1" applyFont="1" applyFill="1" applyAlignment="1">
      <alignment/>
    </xf>
    <xf numFmtId="195" fontId="33" fillId="43" borderId="0" xfId="0" applyNumberFormat="1" applyFont="1" applyFill="1" applyAlignment="1">
      <alignment horizontal="center"/>
    </xf>
    <xf numFmtId="195" fontId="33" fillId="44" borderId="28"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1" xfId="0" applyFont="1" applyFill="1" applyBorder="1" applyAlignment="1">
      <alignment/>
    </xf>
    <xf numFmtId="0" fontId="33" fillId="43" borderId="32" xfId="0" applyFont="1" applyFill="1" applyBorder="1" applyAlignment="1">
      <alignment/>
    </xf>
    <xf numFmtId="0" fontId="87" fillId="43" borderId="0" xfId="0" applyFont="1" applyFill="1" applyBorder="1" applyAlignment="1">
      <alignment horizontal="center" wrapText="1"/>
    </xf>
    <xf numFmtId="0" fontId="87"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0" fontId="33" fillId="43" borderId="33" xfId="0" applyFont="1" applyFill="1" applyBorder="1" applyAlignment="1">
      <alignment vertical="top" wrapText="1"/>
    </xf>
    <xf numFmtId="0" fontId="33" fillId="0" borderId="0" xfId="0" applyFont="1" applyAlignment="1">
      <alignment vertical="top" wrapText="1"/>
    </xf>
    <xf numFmtId="0" fontId="33" fillId="0" borderId="29" xfId="0" applyFont="1" applyBorder="1" applyAlignment="1">
      <alignment vertical="top" wrapText="1"/>
    </xf>
    <xf numFmtId="196" fontId="33" fillId="43" borderId="0" xfId="0" applyNumberFormat="1" applyFont="1" applyFill="1" applyBorder="1" applyAlignment="1">
      <alignment horizontal="center"/>
    </xf>
    <xf numFmtId="0" fontId="33" fillId="0" borderId="29" xfId="0" applyFont="1" applyBorder="1" applyAlignment="1">
      <alignment horizontal="center"/>
    </xf>
    <xf numFmtId="178" fontId="33" fillId="44" borderId="10" xfId="0" applyNumberFormat="1" applyFont="1" applyFill="1" applyBorder="1" applyAlignment="1" applyProtection="1">
      <alignment horizontal="center"/>
      <protection locked="0"/>
    </xf>
    <xf numFmtId="196" fontId="33" fillId="0" borderId="29" xfId="0" applyNumberFormat="1" applyFont="1" applyBorder="1" applyAlignment="1">
      <alignment horizontal="center"/>
    </xf>
  </cellXfs>
  <cellStyles count="5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3 2" xfId="97"/>
    <cellStyle name="Normal 10 3 3" xfId="98"/>
    <cellStyle name="Normal 10 4" xfId="99"/>
    <cellStyle name="Normal 10 4 2" xfId="100"/>
    <cellStyle name="Normal 10 4 3" xfId="101"/>
    <cellStyle name="Normal 10 5" xfId="102"/>
    <cellStyle name="Normal 10 5 2" xfId="103"/>
    <cellStyle name="Normal 10 5 3" xfId="104"/>
    <cellStyle name="Normal 10 6" xfId="105"/>
    <cellStyle name="Normal 10 6 2" xfId="106"/>
    <cellStyle name="Normal 10 6 3" xfId="107"/>
    <cellStyle name="Normal 10 7" xfId="108"/>
    <cellStyle name="Normal 10 7 2" xfId="109"/>
    <cellStyle name="Normal 11" xfId="110"/>
    <cellStyle name="Normal 11 2" xfId="111"/>
    <cellStyle name="Normal 11 2 2" xfId="112"/>
    <cellStyle name="Normal 11 2 3" xfId="113"/>
    <cellStyle name="Normal 11 3" xfId="114"/>
    <cellStyle name="Normal 11 4" xfId="115"/>
    <cellStyle name="Normal 11 5" xfId="116"/>
    <cellStyle name="Normal 11 5 2" xfId="117"/>
    <cellStyle name="Normal 11 5 3" xfId="118"/>
    <cellStyle name="Normal 11 6" xfId="119"/>
    <cellStyle name="Normal 12" xfId="120"/>
    <cellStyle name="Normal 12 10" xfId="121"/>
    <cellStyle name="Normal 12 11" xfId="122"/>
    <cellStyle name="Normal 12 12" xfId="123"/>
    <cellStyle name="Normal 12 13" xfId="124"/>
    <cellStyle name="Normal 12 2" xfId="125"/>
    <cellStyle name="Normal 12 2 2" xfId="126"/>
    <cellStyle name="Normal 12 3" xfId="127"/>
    <cellStyle name="Normal 12 4" xfId="128"/>
    <cellStyle name="Normal 12 5" xfId="129"/>
    <cellStyle name="Normal 12 6" xfId="130"/>
    <cellStyle name="Normal 12 7" xfId="131"/>
    <cellStyle name="Normal 12 8" xfId="132"/>
    <cellStyle name="Normal 12 9" xfId="133"/>
    <cellStyle name="Normal 13" xfId="134"/>
    <cellStyle name="Normal 13 10" xfId="135"/>
    <cellStyle name="Normal 13 11" xfId="136"/>
    <cellStyle name="Normal 13 12" xfId="137"/>
    <cellStyle name="Normal 13 13" xfId="138"/>
    <cellStyle name="Normal 13 2" xfId="139"/>
    <cellStyle name="Normal 13 2 2" xfId="140"/>
    <cellStyle name="Normal 13 3" xfId="141"/>
    <cellStyle name="Normal 13 4" xfId="142"/>
    <cellStyle name="Normal 13 5" xfId="143"/>
    <cellStyle name="Normal 13 6" xfId="144"/>
    <cellStyle name="Normal 13 7" xfId="145"/>
    <cellStyle name="Normal 13 8" xfId="146"/>
    <cellStyle name="Normal 13 9" xfId="147"/>
    <cellStyle name="Normal 14" xfId="148"/>
    <cellStyle name="Normal 14 2" xfId="149"/>
    <cellStyle name="Normal 14 3" xfId="150"/>
    <cellStyle name="Normal 14 4" xfId="151"/>
    <cellStyle name="Normal 14 5" xfId="152"/>
    <cellStyle name="Normal 14 6" xfId="153"/>
    <cellStyle name="Normal 14 7" xfId="154"/>
    <cellStyle name="Normal 14 7 2" xfId="155"/>
    <cellStyle name="Normal 15" xfId="156"/>
    <cellStyle name="Normal 15 2" xfId="157"/>
    <cellStyle name="Normal 15 3" xfId="158"/>
    <cellStyle name="Normal 15 4" xfId="159"/>
    <cellStyle name="Normal 15 5" xfId="160"/>
    <cellStyle name="Normal 16" xfId="161"/>
    <cellStyle name="Normal 16 2" xfId="162"/>
    <cellStyle name="Normal 16 3" xfId="163"/>
    <cellStyle name="Normal 16 4" xfId="164"/>
    <cellStyle name="Normal 16 5" xfId="165"/>
    <cellStyle name="Normal 17" xfId="166"/>
    <cellStyle name="Normal 17 2" xfId="167"/>
    <cellStyle name="Normal 17 3" xfId="168"/>
    <cellStyle name="Normal 17 4" xfId="169"/>
    <cellStyle name="Normal 17 5" xfId="170"/>
    <cellStyle name="Normal 18" xfId="171"/>
    <cellStyle name="Normal 18 2" xfId="172"/>
    <cellStyle name="Normal 18 2 2" xfId="173"/>
    <cellStyle name="Normal 18 2 3" xfId="174"/>
    <cellStyle name="Normal 18 3" xfId="175"/>
    <cellStyle name="Normal 18 4" xfId="176"/>
    <cellStyle name="Normal 18 5" xfId="177"/>
    <cellStyle name="Normal 18 6" xfId="178"/>
    <cellStyle name="Normal 18 7" xfId="179"/>
    <cellStyle name="Normal 18 8" xfId="180"/>
    <cellStyle name="Normal 18 9" xfId="181"/>
    <cellStyle name="Normal 19" xfId="182"/>
    <cellStyle name="Normal 19 2" xfId="183"/>
    <cellStyle name="Normal 19 2 2" xfId="184"/>
    <cellStyle name="Normal 19 2 3" xfId="185"/>
    <cellStyle name="Normal 19 3" xfId="186"/>
    <cellStyle name="Normal 19 4" xfId="187"/>
    <cellStyle name="Normal 19 5" xfId="188"/>
    <cellStyle name="Normal 19 6" xfId="189"/>
    <cellStyle name="Normal 19 7" xfId="190"/>
    <cellStyle name="Normal 19 8" xfId="191"/>
    <cellStyle name="Normal 2" xfId="192"/>
    <cellStyle name="Normal 2 10" xfId="193"/>
    <cellStyle name="Normal 2 10 10" xfId="194"/>
    <cellStyle name="Normal 2 10 11" xfId="195"/>
    <cellStyle name="Normal 2 10 11 2" xfId="196"/>
    <cellStyle name="Normal 2 10 11 2 2" xfId="197"/>
    <cellStyle name="Normal 2 10 11 2 2 2" xfId="198"/>
    <cellStyle name="Normal 2 10 11 2 2 3" xfId="199"/>
    <cellStyle name="Normal 2 10 11 3" xfId="200"/>
    <cellStyle name="Normal 2 10 11 4" xfId="201"/>
    <cellStyle name="Normal 2 10 11 5" xfId="202"/>
    <cellStyle name="Normal 2 10 12" xfId="203"/>
    <cellStyle name="Normal 2 10 2" xfId="204"/>
    <cellStyle name="Normal 2 10 2 2" xfId="205"/>
    <cellStyle name="Normal 2 10 3" xfId="206"/>
    <cellStyle name="Normal 2 10 3 2" xfId="207"/>
    <cellStyle name="Normal 2 10 4" xfId="208"/>
    <cellStyle name="Normal 2 10 4 2" xfId="209"/>
    <cellStyle name="Normal 2 10 5" xfId="210"/>
    <cellStyle name="Normal 2 10 5 2" xfId="211"/>
    <cellStyle name="Normal 2 10 6" xfId="212"/>
    <cellStyle name="Normal 2 10 6 2" xfId="213"/>
    <cellStyle name="Normal 2 10 7" xfId="214"/>
    <cellStyle name="Normal 2 10 7 2" xfId="215"/>
    <cellStyle name="Normal 2 10 8" xfId="216"/>
    <cellStyle name="Normal 2 10 8 2" xfId="217"/>
    <cellStyle name="Normal 2 10 9" xfId="218"/>
    <cellStyle name="Normal 2 11" xfId="219"/>
    <cellStyle name="Normal 2 11 10" xfId="220"/>
    <cellStyle name="Normal 2 11 11" xfId="221"/>
    <cellStyle name="Normal 2 11 2" xfId="222"/>
    <cellStyle name="Normal 2 11 2 2" xfId="223"/>
    <cellStyle name="Normal 2 11 3" xfId="224"/>
    <cellStyle name="Normal 2 11 3 2" xfId="225"/>
    <cellStyle name="Normal 2 11 4" xfId="226"/>
    <cellStyle name="Normal 2 11 4 2" xfId="227"/>
    <cellStyle name="Normal 2 11 5" xfId="228"/>
    <cellStyle name="Normal 2 11 5 2" xfId="229"/>
    <cellStyle name="Normal 2 11 6" xfId="230"/>
    <cellStyle name="Normal 2 11 6 2" xfId="231"/>
    <cellStyle name="Normal 2 11 7" xfId="232"/>
    <cellStyle name="Normal 2 11 7 2" xfId="233"/>
    <cellStyle name="Normal 2 11 8" xfId="234"/>
    <cellStyle name="Normal 2 11 8 2" xfId="235"/>
    <cellStyle name="Normal 2 11 9" xfId="236"/>
    <cellStyle name="Normal 2 12" xfId="237"/>
    <cellStyle name="Normal 2 13" xfId="238"/>
    <cellStyle name="Normal 2 14" xfId="239"/>
    <cellStyle name="Normal 2 15" xfId="240"/>
    <cellStyle name="Normal 2 16" xfId="241"/>
    <cellStyle name="Normal 2 17" xfId="242"/>
    <cellStyle name="Normal 2 17 2" xfId="243"/>
    <cellStyle name="Normal 2 17 3" xfId="244"/>
    <cellStyle name="Normal 2 2" xfId="245"/>
    <cellStyle name="Normal 2 2 10" xfId="246"/>
    <cellStyle name="Normal 2 2 10 2" xfId="247"/>
    <cellStyle name="Normal 2 2 11" xfId="248"/>
    <cellStyle name="Normal 2 2 11 2" xfId="249"/>
    <cellStyle name="Normal 2 2 12" xfId="250"/>
    <cellStyle name="Normal 2 2 12 2" xfId="251"/>
    <cellStyle name="Normal 2 2 12 2 2" xfId="252"/>
    <cellStyle name="Normal 2 2 12 2 3" xfId="253"/>
    <cellStyle name="Normal 2 2 12 2 4" xfId="254"/>
    <cellStyle name="Normal 2 2 12 3" xfId="255"/>
    <cellStyle name="Normal 2 2 12 4" xfId="256"/>
    <cellStyle name="Normal 2 2 13" xfId="257"/>
    <cellStyle name="Normal 2 2 13 2" xfId="258"/>
    <cellStyle name="Normal 2 2 13 2 2" xfId="259"/>
    <cellStyle name="Normal 2 2 13 2 3" xfId="260"/>
    <cellStyle name="Normal 2 2 13 2 4" xfId="261"/>
    <cellStyle name="Normal 2 2 13 3" xfId="262"/>
    <cellStyle name="Normal 2 2 13 4" xfId="263"/>
    <cellStyle name="Normal 2 2 14" xfId="264"/>
    <cellStyle name="Normal 2 2 14 2" xfId="265"/>
    <cellStyle name="Normal 2 2 15" xfId="266"/>
    <cellStyle name="Normal 2 2 15 2" xfId="267"/>
    <cellStyle name="Normal 2 2 16" xfId="268"/>
    <cellStyle name="Normal 2 2 16 2" xfId="269"/>
    <cellStyle name="Normal 2 2 16 3" xfId="270"/>
    <cellStyle name="Normal 2 2 17" xfId="271"/>
    <cellStyle name="Normal 2 2 18" xfId="272"/>
    <cellStyle name="Normal 2 2 19" xfId="273"/>
    <cellStyle name="Normal 2 2 2" xfId="274"/>
    <cellStyle name="Normal 2 2 2 2" xfId="275"/>
    <cellStyle name="Normal 2 2 2 2 2" xfId="276"/>
    <cellStyle name="Normal 2 2 2 2 3" xfId="277"/>
    <cellStyle name="Normal 2 2 2 2 3 2" xfId="278"/>
    <cellStyle name="Normal 2 2 2 2 3 3" xfId="279"/>
    <cellStyle name="Normal 2 2 2 3" xfId="280"/>
    <cellStyle name="Normal 2 2 2 3 2" xfId="281"/>
    <cellStyle name="Normal 2 2 2 3 3" xfId="282"/>
    <cellStyle name="Normal 2 2 2 3 4" xfId="283"/>
    <cellStyle name="Normal 2 2 2 4" xfId="284"/>
    <cellStyle name="Normal 2 2 2 4 2" xfId="285"/>
    <cellStyle name="Normal 2 2 2 5" xfId="286"/>
    <cellStyle name="Normal 2 2 2 5 2" xfId="287"/>
    <cellStyle name="Normal 2 2 2 5 3" xfId="288"/>
    <cellStyle name="Normal 2 2 2 5 4" xfId="289"/>
    <cellStyle name="Normal 2 2 2 6" xfId="290"/>
    <cellStyle name="Normal 2 2 2 6 2" xfId="291"/>
    <cellStyle name="Normal 2 2 2 7" xfId="292"/>
    <cellStyle name="Normal 2 2 2 7 2" xfId="293"/>
    <cellStyle name="Normal 2 2 2 7 3" xfId="294"/>
    <cellStyle name="Normal 2 2 2 8" xfId="295"/>
    <cellStyle name="Normal 2 2 20" xfId="296"/>
    <cellStyle name="Normal 2 2 21" xfId="297"/>
    <cellStyle name="Normal 2 2 22" xfId="298"/>
    <cellStyle name="Normal 2 2 3" xfId="299"/>
    <cellStyle name="Normal 2 2 3 2" xfId="300"/>
    <cellStyle name="Normal 2 2 4" xfId="301"/>
    <cellStyle name="Normal 2 2 4 2" xfId="302"/>
    <cellStyle name="Normal 2 2 5" xfId="303"/>
    <cellStyle name="Normal 2 2 5 2" xfId="304"/>
    <cellStyle name="Normal 2 2 6" xfId="305"/>
    <cellStyle name="Normal 2 2 6 2" xfId="306"/>
    <cellStyle name="Normal 2 2 7" xfId="307"/>
    <cellStyle name="Normal 2 2 7 2" xfId="308"/>
    <cellStyle name="Normal 2 2 8" xfId="309"/>
    <cellStyle name="Normal 2 2 8 2" xfId="310"/>
    <cellStyle name="Normal 2 2 9" xfId="311"/>
    <cellStyle name="Normal 2 2 9 2" xfId="312"/>
    <cellStyle name="Normal 2 3" xfId="313"/>
    <cellStyle name="Normal 2 3 10" xfId="314"/>
    <cellStyle name="Normal 2 3 11" xfId="315"/>
    <cellStyle name="Normal 2 3 12" xfId="316"/>
    <cellStyle name="Normal 2 3 13" xfId="317"/>
    <cellStyle name="Normal 2 3 14" xfId="318"/>
    <cellStyle name="Normal 2 3 15" xfId="319"/>
    <cellStyle name="Normal 2 3 2" xfId="320"/>
    <cellStyle name="Normal 2 3 2 2" xfId="321"/>
    <cellStyle name="Normal 2 3 2 2 2" xfId="322"/>
    <cellStyle name="Normal 2 3 2 2 3" xfId="323"/>
    <cellStyle name="Normal 2 3 2 3" xfId="324"/>
    <cellStyle name="Normal 2 3 2 4" xfId="325"/>
    <cellStyle name="Normal 2 3 2 5" xfId="326"/>
    <cellStyle name="Normal 2 3 3" xfId="327"/>
    <cellStyle name="Normal 2 3 3 2" xfId="328"/>
    <cellStyle name="Normal 2 3 3 3" xfId="329"/>
    <cellStyle name="Normal 2 3 4" xfId="330"/>
    <cellStyle name="Normal 2 3 5" xfId="331"/>
    <cellStyle name="Normal 2 3 6" xfId="332"/>
    <cellStyle name="Normal 2 3 7" xfId="333"/>
    <cellStyle name="Normal 2 3 8" xfId="334"/>
    <cellStyle name="Normal 2 3 9" xfId="335"/>
    <cellStyle name="Normal 2 4" xfId="336"/>
    <cellStyle name="Normal 2 4 10" xfId="337"/>
    <cellStyle name="Normal 2 4 11" xfId="338"/>
    <cellStyle name="Normal 2 4 12" xfId="339"/>
    <cellStyle name="Normal 2 4 12 2" xfId="340"/>
    <cellStyle name="Normal 2 4 12 3" xfId="341"/>
    <cellStyle name="Normal 2 4 13" xfId="342"/>
    <cellStyle name="Normal 2 4 13 2" xfId="343"/>
    <cellStyle name="Normal 2 4 13 3" xfId="344"/>
    <cellStyle name="Normal 2 4 2" xfId="345"/>
    <cellStyle name="Normal 2 4 2 2" xfId="346"/>
    <cellStyle name="Normal 2 4 2 2 2" xfId="347"/>
    <cellStyle name="Normal 2 4 2 2 3" xfId="348"/>
    <cellStyle name="Normal 2 4 2 3" xfId="349"/>
    <cellStyle name="Normal 2 4 2 4" xfId="350"/>
    <cellStyle name="Normal 2 4 2 5" xfId="351"/>
    <cellStyle name="Normal 2 4 3" xfId="352"/>
    <cellStyle name="Normal 2 4 3 2" xfId="353"/>
    <cellStyle name="Normal 2 4 3 3" xfId="354"/>
    <cellStyle name="Normal 2 4 4" xfId="355"/>
    <cellStyle name="Normal 2 4 5" xfId="356"/>
    <cellStyle name="Normal 2 4 6" xfId="357"/>
    <cellStyle name="Normal 2 4 7" xfId="358"/>
    <cellStyle name="Normal 2 4 8" xfId="359"/>
    <cellStyle name="Normal 2 4 9" xfId="360"/>
    <cellStyle name="Normal 2 5" xfId="361"/>
    <cellStyle name="Normal 2 5 10" xfId="362"/>
    <cellStyle name="Normal 2 5 11" xfId="363"/>
    <cellStyle name="Normal 2 5 12" xfId="364"/>
    <cellStyle name="Normal 2 5 12 2" xfId="365"/>
    <cellStyle name="Normal 2 5 12 3" xfId="366"/>
    <cellStyle name="Normal 2 5 2" xfId="367"/>
    <cellStyle name="Normal 2 5 2 2" xfId="368"/>
    <cellStyle name="Normal 2 5 3" xfId="369"/>
    <cellStyle name="Normal 2 5 3 2" xfId="370"/>
    <cellStyle name="Normal 2 5 4" xfId="371"/>
    <cellStyle name="Normal 2 5 5" xfId="372"/>
    <cellStyle name="Normal 2 5 6" xfId="373"/>
    <cellStyle name="Normal 2 5 7" xfId="374"/>
    <cellStyle name="Normal 2 5 8" xfId="375"/>
    <cellStyle name="Normal 2 5 9" xfId="376"/>
    <cellStyle name="Normal 2 6" xfId="377"/>
    <cellStyle name="Normal 2 6 10" xfId="378"/>
    <cellStyle name="Normal 2 6 11" xfId="379"/>
    <cellStyle name="Normal 2 6 12" xfId="380"/>
    <cellStyle name="Normal 2 6 2" xfId="381"/>
    <cellStyle name="Normal 2 6 2 2" xfId="382"/>
    <cellStyle name="Normal 2 6 3" xfId="383"/>
    <cellStyle name="Normal 2 6 3 2" xfId="384"/>
    <cellStyle name="Normal 2 6 4" xfId="385"/>
    <cellStyle name="Normal 2 6 5" xfId="386"/>
    <cellStyle name="Normal 2 6 6" xfId="387"/>
    <cellStyle name="Normal 2 6 7" xfId="388"/>
    <cellStyle name="Normal 2 6 8" xfId="389"/>
    <cellStyle name="Normal 2 6 9" xfId="390"/>
    <cellStyle name="Normal 2 7" xfId="391"/>
    <cellStyle name="Normal 2 7 10" xfId="392"/>
    <cellStyle name="Normal 2 7 11" xfId="393"/>
    <cellStyle name="Normal 2 7 2" xfId="394"/>
    <cellStyle name="Normal 2 7 2 2" xfId="395"/>
    <cellStyle name="Normal 2 7 2 3" xfId="396"/>
    <cellStyle name="Normal 2 7 3" xfId="397"/>
    <cellStyle name="Normal 2 7 3 2" xfId="398"/>
    <cellStyle name="Normal 2 7 4" xfId="399"/>
    <cellStyle name="Normal 2 7 4 2" xfId="400"/>
    <cellStyle name="Normal 2 7 5" xfId="401"/>
    <cellStyle name="Normal 2 7 5 2" xfId="402"/>
    <cellStyle name="Normal 2 7 6" xfId="403"/>
    <cellStyle name="Normal 2 7 6 2" xfId="404"/>
    <cellStyle name="Normal 2 7 7" xfId="405"/>
    <cellStyle name="Normal 2 7 7 2" xfId="406"/>
    <cellStyle name="Normal 2 7 8" xfId="407"/>
    <cellStyle name="Normal 2 7 8 2" xfId="408"/>
    <cellStyle name="Normal 2 7 9" xfId="409"/>
    <cellStyle name="Normal 2 8" xfId="410"/>
    <cellStyle name="Normal 2 8 10" xfId="411"/>
    <cellStyle name="Normal 2 8 11" xfId="412"/>
    <cellStyle name="Normal 2 8 2" xfId="413"/>
    <cellStyle name="Normal 2 8 2 2" xfId="414"/>
    <cellStyle name="Normal 2 8 3" xfId="415"/>
    <cellStyle name="Normal 2 8 3 2" xfId="416"/>
    <cellStyle name="Normal 2 8 4" xfId="417"/>
    <cellStyle name="Normal 2 8 4 2" xfId="418"/>
    <cellStyle name="Normal 2 8 5" xfId="419"/>
    <cellStyle name="Normal 2 8 5 2" xfId="420"/>
    <cellStyle name="Normal 2 8 6" xfId="421"/>
    <cellStyle name="Normal 2 8 6 2" xfId="422"/>
    <cellStyle name="Normal 2 8 7" xfId="423"/>
    <cellStyle name="Normal 2 8 7 2" xfId="424"/>
    <cellStyle name="Normal 2 8 8" xfId="425"/>
    <cellStyle name="Normal 2 8 8 2" xfId="426"/>
    <cellStyle name="Normal 2 8 9" xfId="427"/>
    <cellStyle name="Normal 2 9" xfId="428"/>
    <cellStyle name="Normal 2 9 10" xfId="429"/>
    <cellStyle name="Normal 2 9 11" xfId="430"/>
    <cellStyle name="Normal 2 9 2" xfId="431"/>
    <cellStyle name="Normal 2 9 2 2" xfId="432"/>
    <cellStyle name="Normal 2 9 3" xfId="433"/>
    <cellStyle name="Normal 2 9 3 2" xfId="434"/>
    <cellStyle name="Normal 2 9 4" xfId="435"/>
    <cellStyle name="Normal 2 9 4 2" xfId="436"/>
    <cellStyle name="Normal 2 9 5" xfId="437"/>
    <cellStyle name="Normal 2 9 5 2" xfId="438"/>
    <cellStyle name="Normal 2 9 6" xfId="439"/>
    <cellStyle name="Normal 2 9 6 2" xfId="440"/>
    <cellStyle name="Normal 2 9 7" xfId="441"/>
    <cellStyle name="Normal 2 9 7 2" xfId="442"/>
    <cellStyle name="Normal 2 9 8" xfId="443"/>
    <cellStyle name="Normal 2 9 8 2" xfId="444"/>
    <cellStyle name="Normal 2 9 9" xfId="445"/>
    <cellStyle name="Normal 20" xfId="446"/>
    <cellStyle name="Normal 20 2" xfId="447"/>
    <cellStyle name="Normal 20 3"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3" xfId="458"/>
    <cellStyle name="Normal 23" xfId="459"/>
    <cellStyle name="Normal 23 2" xfId="460"/>
    <cellStyle name="Normal 23 3" xfId="461"/>
    <cellStyle name="Normal 24" xfId="462"/>
    <cellStyle name="Normal 24 2" xfId="463"/>
    <cellStyle name="Normal 24 3" xfId="464"/>
    <cellStyle name="Normal 25" xfId="465"/>
    <cellStyle name="Normal 25 2" xfId="466"/>
    <cellStyle name="Normal 25 3" xfId="467"/>
    <cellStyle name="Normal 26" xfId="468"/>
    <cellStyle name="Normal 27" xfId="469"/>
    <cellStyle name="Normal 27 2" xfId="470"/>
    <cellStyle name="Normal 3" xfId="471"/>
    <cellStyle name="Normal 3 10" xfId="472"/>
    <cellStyle name="Normal 3 10 2" xfId="473"/>
    <cellStyle name="Normal 3 11" xfId="474"/>
    <cellStyle name="Normal 3 12" xfId="475"/>
    <cellStyle name="Normal 3 13" xfId="476"/>
    <cellStyle name="Normal 3 14" xfId="477"/>
    <cellStyle name="Normal 3 15" xfId="478"/>
    <cellStyle name="Normal 3 2" xfId="479"/>
    <cellStyle name="Normal 3 2 2" xfId="480"/>
    <cellStyle name="Normal 3 2 2 2" xfId="481"/>
    <cellStyle name="Normal 3 2 2 3" xfId="482"/>
    <cellStyle name="Normal 3 2 3" xfId="483"/>
    <cellStyle name="Normal 3 2 4" xfId="484"/>
    <cellStyle name="Normal 3 2 5" xfId="485"/>
    <cellStyle name="Normal 3 3" xfId="486"/>
    <cellStyle name="Normal 3 3 2" xfId="487"/>
    <cellStyle name="Normal 3 3 2 2" xfId="488"/>
    <cellStyle name="Normal 3 3 2 3" xfId="489"/>
    <cellStyle name="Normal 3 3 3" xfId="490"/>
    <cellStyle name="Normal 3 3 4" xfId="491"/>
    <cellStyle name="Normal 3 4" xfId="492"/>
    <cellStyle name="Normal 3 5" xfId="493"/>
    <cellStyle name="Normal 3 6" xfId="494"/>
    <cellStyle name="Normal 3 7" xfId="495"/>
    <cellStyle name="Normal 3 7 2" xfId="496"/>
    <cellStyle name="Normal 3 7 3" xfId="497"/>
    <cellStyle name="Normal 3 8" xfId="498"/>
    <cellStyle name="Normal 3 8 2" xfId="499"/>
    <cellStyle name="Normal 3 8 3" xfId="500"/>
    <cellStyle name="Normal 3 9" xfId="501"/>
    <cellStyle name="Normal 3 9 2" xfId="502"/>
    <cellStyle name="Normal 3 9 3" xfId="503"/>
    <cellStyle name="Normal 4" xfId="504"/>
    <cellStyle name="Normal 4 10" xfId="505"/>
    <cellStyle name="Normal 4 11" xfId="506"/>
    <cellStyle name="Normal 4 12" xfId="507"/>
    <cellStyle name="Normal 4 13" xfId="508"/>
    <cellStyle name="Normal 4 2" xfId="509"/>
    <cellStyle name="Normal 4 2 2" xfId="510"/>
    <cellStyle name="Normal 4 2 2 2" xfId="511"/>
    <cellStyle name="Normal 4 2 2 3" xfId="512"/>
    <cellStyle name="Normal 4 2 2 3 2" xfId="513"/>
    <cellStyle name="Normal 4 2 3" xfId="514"/>
    <cellStyle name="Normal 4 2 4" xfId="515"/>
    <cellStyle name="Normal 4 2 5" xfId="516"/>
    <cellStyle name="Normal 4 3" xfId="517"/>
    <cellStyle name="Normal 4 3 2" xfId="518"/>
    <cellStyle name="Normal 4 3 3" xfId="519"/>
    <cellStyle name="Normal 4 4" xfId="520"/>
    <cellStyle name="Normal 4 5" xfId="521"/>
    <cellStyle name="Normal 4 5 2" xfId="522"/>
    <cellStyle name="Normal 4 5 3" xfId="523"/>
    <cellStyle name="Normal 4 6" xfId="524"/>
    <cellStyle name="Normal 4 6 2" xfId="525"/>
    <cellStyle name="Normal 4 6 3" xfId="526"/>
    <cellStyle name="Normal 4 7" xfId="527"/>
    <cellStyle name="Normal 4 8" xfId="528"/>
    <cellStyle name="Normal 4 9" xfId="529"/>
    <cellStyle name="Normal 5" xfId="530"/>
    <cellStyle name="Normal 5 2" xfId="531"/>
    <cellStyle name="Normal 5 3" xfId="532"/>
    <cellStyle name="Normal 5 3 2" xfId="533"/>
    <cellStyle name="Normal 5 3 3" xfId="534"/>
    <cellStyle name="Normal 5 4" xfId="535"/>
    <cellStyle name="Normal 5 5" xfId="536"/>
    <cellStyle name="Normal 5 5 2" xfId="537"/>
    <cellStyle name="Normal 5 5 3" xfId="538"/>
    <cellStyle name="Normal 5 6" xfId="539"/>
    <cellStyle name="Normal 6" xfId="540"/>
    <cellStyle name="Normal 6 2" xfId="541"/>
    <cellStyle name="Normal 6 3" xfId="542"/>
    <cellStyle name="Normal 6 4" xfId="543"/>
    <cellStyle name="Normal 6 5" xfId="544"/>
    <cellStyle name="Normal 7" xfId="545"/>
    <cellStyle name="Normal 7 2" xfId="546"/>
    <cellStyle name="Normal 7 2 2" xfId="547"/>
    <cellStyle name="Normal 7 2 2 2" xfId="548"/>
    <cellStyle name="Normal 7 2 2 3" xfId="549"/>
    <cellStyle name="Normal 7 2 3" xfId="550"/>
    <cellStyle name="Normal 7 2 4" xfId="551"/>
    <cellStyle name="Normal 7 2 4 2" xfId="552"/>
    <cellStyle name="Normal 7 2 4 3" xfId="553"/>
    <cellStyle name="Normal 7 2 5" xfId="554"/>
    <cellStyle name="Normal 7 3" xfId="555"/>
    <cellStyle name="Normal 7 4" xfId="556"/>
    <cellStyle name="Normal 7 4 2" xfId="557"/>
    <cellStyle name="Normal 7 4 3" xfId="558"/>
    <cellStyle name="Normal 7 5" xfId="559"/>
    <cellStyle name="Normal 7 5 2" xfId="560"/>
    <cellStyle name="Normal 7 5 3" xfId="561"/>
    <cellStyle name="Normal 7 5 4" xfId="562"/>
    <cellStyle name="Normal 7 5 5" xfId="563"/>
    <cellStyle name="Normal 7 6" xfId="564"/>
    <cellStyle name="Normal 7 7" xfId="565"/>
    <cellStyle name="Normal 8" xfId="566"/>
    <cellStyle name="Normal 8 2" xfId="567"/>
    <cellStyle name="Normal 8 3" xfId="568"/>
    <cellStyle name="Normal 9" xfId="569"/>
    <cellStyle name="Normal 9 2" xfId="570"/>
    <cellStyle name="Normal 9 2 2" xfId="571"/>
    <cellStyle name="Normal 9 2 3" xfId="572"/>
    <cellStyle name="Normal 9 3" xfId="573"/>
    <cellStyle name="Normal 9 4" xfId="574"/>
    <cellStyle name="Normal 9 5" xfId="575"/>
    <cellStyle name="Normal 9 5 2" xfId="576"/>
    <cellStyle name="Normal 9 5 3" xfId="577"/>
    <cellStyle name="Normal 9 6" xfId="578"/>
    <cellStyle name="Normal 9 6 2" xfId="579"/>
    <cellStyle name="Normal 9 6 3" xfId="580"/>
    <cellStyle name="Normal_debt" xfId="581"/>
    <cellStyle name="Normal_lpform" xfId="582"/>
    <cellStyle name="Note" xfId="583"/>
    <cellStyle name="Output" xfId="584"/>
    <cellStyle name="Percent" xfId="585"/>
    <cellStyle name="Title" xfId="586"/>
    <cellStyle name="Total" xfId="587"/>
    <cellStyle name="Warning Text" xfId="588"/>
  </cellStyles>
  <dxfs count="329">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mailto:megan.schulz@ks.gov" TargetMode="Externa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26"/>
  <sheetViews>
    <sheetView tabSelected="1" zoomScale="80" zoomScaleNormal="80" zoomScalePageLayoutView="0" workbookViewId="0" topLeftCell="A1">
      <selection activeCell="S3" sqref="S3"/>
    </sheetView>
  </sheetViews>
  <sheetFormatPr defaultColWidth="8.796875" defaultRowHeight="15"/>
  <cols>
    <col min="1" max="1" width="75.796875" style="18" customWidth="1"/>
    <col min="2" max="16384" width="8.8984375" style="18" customWidth="1"/>
  </cols>
  <sheetData>
    <row r="1" ht="15.75">
      <c r="A1" s="17" t="s">
        <v>992</v>
      </c>
    </row>
    <row r="3" ht="39.75" customHeight="1">
      <c r="A3" s="439" t="s">
        <v>1030</v>
      </c>
    </row>
    <row r="4" ht="15.75">
      <c r="A4" s="19"/>
    </row>
    <row r="5" ht="49.5" customHeight="1">
      <c r="A5" s="20" t="s">
        <v>7</v>
      </c>
    </row>
    <row r="6" ht="15.75">
      <c r="A6" s="20"/>
    </row>
    <row r="7" ht="85.5" customHeight="1">
      <c r="A7" s="20" t="s">
        <v>949</v>
      </c>
    </row>
    <row r="8" ht="15.75">
      <c r="A8" s="20"/>
    </row>
    <row r="9" ht="32.25" customHeight="1">
      <c r="A9" s="20" t="s">
        <v>289</v>
      </c>
    </row>
    <row r="11" ht="51" customHeight="1">
      <c r="A11" s="20" t="s">
        <v>63</v>
      </c>
    </row>
    <row r="13" ht="15.75">
      <c r="A13" s="17" t="s">
        <v>16</v>
      </c>
    </row>
    <row r="14" ht="15.75">
      <c r="A14" s="17"/>
    </row>
    <row r="15" ht="15.75">
      <c r="A15" s="19" t="s">
        <v>17</v>
      </c>
    </row>
    <row r="17" ht="37.5" customHeight="1">
      <c r="A17" s="21" t="s">
        <v>314</v>
      </c>
    </row>
    <row r="18" ht="9" customHeight="1">
      <c r="A18" s="21"/>
    </row>
    <row r="20" ht="15.75">
      <c r="A20" s="17" t="s">
        <v>69</v>
      </c>
    </row>
    <row r="22" ht="36" customHeight="1">
      <c r="A22" s="20" t="s">
        <v>290</v>
      </c>
    </row>
    <row r="23" ht="15.75">
      <c r="A23" s="20"/>
    </row>
    <row r="24" ht="15.75">
      <c r="A24" s="22" t="s">
        <v>291</v>
      </c>
    </row>
    <row r="25" ht="12" customHeight="1">
      <c r="A25" s="20"/>
    </row>
    <row r="26" ht="15.75">
      <c r="A26" s="23" t="s">
        <v>214</v>
      </c>
    </row>
    <row r="27" ht="15.75">
      <c r="A27" s="24"/>
    </row>
    <row r="28" ht="84.75" customHeight="1">
      <c r="A28" s="25" t="s">
        <v>2</v>
      </c>
    </row>
    <row r="29" ht="12.75" customHeight="1">
      <c r="A29" s="26"/>
    </row>
    <row r="30" ht="15.75">
      <c r="A30" s="27" t="s">
        <v>292</v>
      </c>
    </row>
    <row r="31" ht="15.75">
      <c r="A31" s="26"/>
    </row>
    <row r="32" ht="15.75">
      <c r="A32" s="28" t="s">
        <v>15</v>
      </c>
    </row>
    <row r="33" ht="15.75">
      <c r="A33" s="26"/>
    </row>
    <row r="34" ht="15.75">
      <c r="A34" s="20" t="s">
        <v>162</v>
      </c>
    </row>
    <row r="36" ht="15.75">
      <c r="A36" s="17" t="s">
        <v>163</v>
      </c>
    </row>
    <row r="38" ht="66.75" customHeight="1">
      <c r="A38" s="20" t="s">
        <v>714</v>
      </c>
    </row>
    <row r="39" ht="35.25" customHeight="1">
      <c r="A39" s="20" t="s">
        <v>224</v>
      </c>
    </row>
    <row r="40" ht="53.25" customHeight="1">
      <c r="A40" s="29" t="s">
        <v>293</v>
      </c>
    </row>
    <row r="42" ht="84" customHeight="1">
      <c r="A42" s="20" t="s">
        <v>715</v>
      </c>
    </row>
    <row r="43" ht="53.25" customHeight="1">
      <c r="A43" s="20" t="s">
        <v>294</v>
      </c>
    </row>
    <row r="44" ht="102" customHeight="1">
      <c r="A44" s="20" t="s">
        <v>64</v>
      </c>
    </row>
    <row r="45" ht="102" customHeight="1">
      <c r="A45" s="444" t="s">
        <v>716</v>
      </c>
    </row>
    <row r="46" ht="15.75" customHeight="1">
      <c r="A46" s="20"/>
    </row>
    <row r="47" ht="73.5" customHeight="1">
      <c r="A47" s="810" t="s">
        <v>914</v>
      </c>
    </row>
    <row r="48" ht="69.75" customHeight="1">
      <c r="A48" s="811" t="s">
        <v>601</v>
      </c>
    </row>
    <row r="49" ht="69.75" customHeight="1">
      <c r="A49" s="812" t="s">
        <v>915</v>
      </c>
    </row>
    <row r="50" ht="15.75" customHeight="1">
      <c r="A50" s="20"/>
    </row>
    <row r="51" ht="69.75" customHeight="1">
      <c r="A51" s="20" t="s">
        <v>602</v>
      </c>
    </row>
    <row r="52" ht="37.5" customHeight="1">
      <c r="A52" s="20" t="s">
        <v>603</v>
      </c>
    </row>
    <row r="53" ht="87" customHeight="1">
      <c r="A53" s="20" t="s">
        <v>958</v>
      </c>
    </row>
    <row r="54" ht="94.5" customHeight="1">
      <c r="A54" s="444" t="s">
        <v>717</v>
      </c>
    </row>
    <row r="55" ht="101.25" customHeight="1">
      <c r="A55" s="813" t="s">
        <v>950</v>
      </c>
    </row>
    <row r="57" ht="84.75" customHeight="1">
      <c r="A57" s="20" t="s">
        <v>959</v>
      </c>
    </row>
    <row r="58" ht="159" customHeight="1">
      <c r="A58" s="20" t="s">
        <v>960</v>
      </c>
    </row>
    <row r="59" ht="38.25" customHeight="1">
      <c r="A59" s="20" t="s">
        <v>961</v>
      </c>
    </row>
    <row r="60" ht="15.75">
      <c r="A60" s="20"/>
    </row>
    <row r="61" ht="68.25" customHeight="1">
      <c r="A61" s="813" t="s">
        <v>916</v>
      </c>
    </row>
    <row r="62" ht="15.75">
      <c r="A62" s="20"/>
    </row>
    <row r="63" ht="66.75" customHeight="1">
      <c r="A63" s="20" t="s">
        <v>604</v>
      </c>
    </row>
    <row r="64" ht="37.5" customHeight="1">
      <c r="A64" s="20" t="s">
        <v>612</v>
      </c>
    </row>
    <row r="65" ht="91.5" customHeight="1">
      <c r="A65" s="20" t="s">
        <v>613</v>
      </c>
    </row>
    <row r="66" ht="47.25" customHeight="1">
      <c r="A66" s="294" t="s">
        <v>614</v>
      </c>
    </row>
    <row r="68" s="20" customFormat="1" ht="66.75" customHeight="1">
      <c r="A68" s="20" t="s">
        <v>605</v>
      </c>
    </row>
    <row r="70" ht="67.5" customHeight="1">
      <c r="A70" s="20" t="s">
        <v>606</v>
      </c>
    </row>
    <row r="71" ht="15" customHeight="1">
      <c r="A71" s="20"/>
    </row>
    <row r="72" ht="161.25" customHeight="1">
      <c r="A72" s="813" t="s">
        <v>917</v>
      </c>
    </row>
    <row r="74" ht="95.25" customHeight="1">
      <c r="A74" s="20" t="s">
        <v>918</v>
      </c>
    </row>
    <row r="75" ht="70.5" customHeight="1">
      <c r="A75" s="813" t="s">
        <v>919</v>
      </c>
    </row>
    <row r="76" ht="103.5" customHeight="1">
      <c r="A76" s="444" t="s">
        <v>920</v>
      </c>
    </row>
    <row r="77" ht="81" customHeight="1">
      <c r="A77" s="444" t="s">
        <v>921</v>
      </c>
    </row>
    <row r="78" ht="93" customHeight="1">
      <c r="A78" s="444" t="s">
        <v>922</v>
      </c>
    </row>
    <row r="79" ht="138.75" customHeight="1">
      <c r="A79" s="20" t="s">
        <v>923</v>
      </c>
    </row>
    <row r="80" ht="83.25" customHeight="1">
      <c r="A80" s="813" t="s">
        <v>924</v>
      </c>
    </row>
    <row r="81" ht="123" customHeight="1">
      <c r="A81" s="20" t="s">
        <v>925</v>
      </c>
    </row>
    <row r="82" ht="135" customHeight="1">
      <c r="A82" s="20" t="s">
        <v>926</v>
      </c>
    </row>
    <row r="83" ht="65.25" customHeight="1">
      <c r="A83" s="20" t="s">
        <v>927</v>
      </c>
    </row>
    <row r="84" ht="114" customHeight="1">
      <c r="A84" s="20" t="s">
        <v>928</v>
      </c>
    </row>
    <row r="85" ht="61.5" customHeight="1">
      <c r="A85" s="20" t="s">
        <v>929</v>
      </c>
    </row>
    <row r="86" ht="117" customHeight="1">
      <c r="A86" s="20" t="s">
        <v>930</v>
      </c>
    </row>
    <row r="87" ht="117" customHeight="1">
      <c r="A87" s="445" t="s">
        <v>931</v>
      </c>
    </row>
    <row r="88" ht="117" customHeight="1">
      <c r="A88" s="446" t="s">
        <v>932</v>
      </c>
    </row>
    <row r="89" ht="77.25" customHeight="1">
      <c r="A89" s="814" t="s">
        <v>933</v>
      </c>
    </row>
    <row r="90" ht="94.5" customHeight="1">
      <c r="A90" s="814" t="s">
        <v>948</v>
      </c>
    </row>
    <row r="91" ht="15" customHeight="1">
      <c r="A91" s="315"/>
    </row>
    <row r="92" ht="67.5" customHeight="1">
      <c r="A92" s="813" t="s">
        <v>607</v>
      </c>
    </row>
    <row r="93" ht="29.25" customHeight="1">
      <c r="A93" s="815" t="s">
        <v>608</v>
      </c>
    </row>
    <row r="94" ht="44.25" customHeight="1">
      <c r="A94" s="444" t="s">
        <v>934</v>
      </c>
    </row>
    <row r="95" ht="129.75" customHeight="1">
      <c r="A95" s="444" t="s">
        <v>935</v>
      </c>
    </row>
    <row r="96" ht="155.25" customHeight="1">
      <c r="A96" s="444" t="s">
        <v>936</v>
      </c>
    </row>
    <row r="97" ht="84.75" customHeight="1">
      <c r="A97" s="816" t="s">
        <v>937</v>
      </c>
    </row>
    <row r="98" ht="89.25" customHeight="1">
      <c r="A98" s="817" t="s">
        <v>938</v>
      </c>
    </row>
    <row r="99" ht="15" customHeight="1">
      <c r="A99" s="315"/>
    </row>
    <row r="100" ht="150" customHeight="1">
      <c r="A100" s="20" t="s">
        <v>939</v>
      </c>
    </row>
    <row r="101" ht="138" customHeight="1">
      <c r="A101" s="20" t="s">
        <v>940</v>
      </c>
    </row>
    <row r="102" ht="74.25" customHeight="1">
      <c r="A102" s="20" t="s">
        <v>941</v>
      </c>
    </row>
    <row r="103" ht="28.5" customHeight="1">
      <c r="A103" s="20" t="s">
        <v>942</v>
      </c>
    </row>
    <row r="104" ht="15" customHeight="1">
      <c r="A104" s="315"/>
    </row>
    <row r="105" ht="68.25" customHeight="1">
      <c r="A105" s="813" t="s">
        <v>943</v>
      </c>
    </row>
    <row r="106" ht="15" customHeight="1">
      <c r="A106" s="818"/>
    </row>
    <row r="107" ht="67.5" customHeight="1">
      <c r="A107" s="444" t="s">
        <v>944</v>
      </c>
    </row>
    <row r="108" ht="125.25" customHeight="1">
      <c r="A108" s="444" t="s">
        <v>945</v>
      </c>
    </row>
    <row r="109" ht="134.25" customHeight="1">
      <c r="A109" s="444" t="s">
        <v>946</v>
      </c>
    </row>
    <row r="110" ht="59.25" customHeight="1">
      <c r="A110" s="20"/>
    </row>
    <row r="111" ht="30.75" customHeight="1">
      <c r="A111" s="20"/>
    </row>
    <row r="112" ht="15" customHeight="1"/>
    <row r="113" ht="36.75" customHeight="1">
      <c r="A113" s="20"/>
    </row>
    <row r="114" ht="34.5" customHeight="1">
      <c r="A114" s="316"/>
    </row>
    <row r="115" ht="99.75" customHeight="1">
      <c r="A115" s="444"/>
    </row>
    <row r="116" ht="34.5" customHeight="1">
      <c r="A116" s="444"/>
    </row>
    <row r="117" ht="85.5" customHeight="1">
      <c r="A117" s="444"/>
    </row>
    <row r="118" ht="91.5" customHeight="1">
      <c r="A118" s="444"/>
    </row>
    <row r="119" ht="58.5" customHeight="1">
      <c r="A119" s="316"/>
    </row>
    <row r="120" ht="66" customHeight="1">
      <c r="A120" s="316"/>
    </row>
    <row r="121" ht="16.5" customHeight="1">
      <c r="A121" s="20"/>
    </row>
    <row r="122" ht="72.75" customHeight="1">
      <c r="A122" s="20"/>
    </row>
    <row r="124" ht="69" customHeight="1">
      <c r="A124" s="444"/>
    </row>
    <row r="125" ht="110.25" customHeight="1">
      <c r="A125" s="444"/>
    </row>
    <row r="126" ht="132" customHeight="1">
      <c r="A126" s="444"/>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Q102" sqref="Q102"/>
    </sheetView>
  </sheetViews>
  <sheetFormatPr defaultColWidth="8.796875" defaultRowHeight="15"/>
  <cols>
    <col min="1" max="1" width="8.8984375" style="30" customWidth="1"/>
    <col min="2" max="2" width="17.8984375" style="30" customWidth="1"/>
    <col min="3" max="3" width="16.09765625" style="30" customWidth="1"/>
    <col min="4" max="8" width="12.796875" style="30" customWidth="1"/>
    <col min="9" max="9" width="10.19921875" style="30" customWidth="1"/>
    <col min="10" max="16384" width="8.8984375" style="30" customWidth="1"/>
  </cols>
  <sheetData>
    <row r="1" spans="1:9" ht="15.75">
      <c r="A1" s="32"/>
      <c r="B1" s="140">
        <f>inputPrYr!D3</f>
        <v>0</v>
      </c>
      <c r="C1" s="140"/>
      <c r="D1" s="32"/>
      <c r="E1" s="32"/>
      <c r="F1" s="32"/>
      <c r="G1" s="32"/>
      <c r="H1" s="32"/>
      <c r="I1" s="32">
        <f>inputPrYr!C6</f>
        <v>0</v>
      </c>
    </row>
    <row r="2" spans="1:9" ht="15.75">
      <c r="A2" s="32"/>
      <c r="B2" s="32"/>
      <c r="C2" s="32"/>
      <c r="D2" s="32"/>
      <c r="E2" s="32"/>
      <c r="F2" s="32"/>
      <c r="G2" s="32"/>
      <c r="H2" s="32"/>
      <c r="I2" s="32"/>
    </row>
    <row r="3" spans="1:9" ht="15.75">
      <c r="A3" s="1132" t="s">
        <v>1014</v>
      </c>
      <c r="B3" s="1094"/>
      <c r="C3" s="1094"/>
      <c r="D3" s="1094"/>
      <c r="E3" s="1094"/>
      <c r="F3" s="1094"/>
      <c r="G3" s="1094"/>
      <c r="H3" s="1094"/>
      <c r="I3" s="1094"/>
    </row>
    <row r="4" spans="1:9" ht="15.75">
      <c r="A4" s="32"/>
      <c r="B4" s="32"/>
      <c r="C4" s="141"/>
      <c r="D4" s="894"/>
      <c r="E4" s="894"/>
      <c r="F4" s="32"/>
      <c r="G4" s="32"/>
      <c r="H4" s="32"/>
      <c r="I4" s="32"/>
    </row>
    <row r="5" spans="1:9" ht="21" customHeight="1">
      <c r="A5" s="32"/>
      <c r="B5" s="142" t="s">
        <v>267</v>
      </c>
      <c r="C5" s="907" t="s">
        <v>1003</v>
      </c>
      <c r="D5" s="1129" t="str">
        <f>CONCATENATE("Allocation for Year ",I1,"")</f>
        <v>Allocation for Year 0</v>
      </c>
      <c r="E5" s="1130"/>
      <c r="F5" s="1130"/>
      <c r="G5" s="1130"/>
      <c r="H5" s="1131"/>
      <c r="I5" s="32"/>
    </row>
    <row r="6" spans="1:9" ht="15.75">
      <c r="A6" s="32"/>
      <c r="B6" s="143" t="str">
        <f>CONCATENATE("for ",I1-1,"")</f>
        <v>for -1</v>
      </c>
      <c r="C6" s="143" t="str">
        <f>CONCATENATE("Tax Year ",I1-2,"")</f>
        <v>Tax Year -2</v>
      </c>
      <c r="D6" s="106" t="s">
        <v>173</v>
      </c>
      <c r="E6" s="106" t="s">
        <v>174</v>
      </c>
      <c r="F6" s="106" t="s">
        <v>172</v>
      </c>
      <c r="G6" s="908" t="s">
        <v>1004</v>
      </c>
      <c r="H6" s="908" t="s">
        <v>1005</v>
      </c>
      <c r="I6" s="693"/>
    </row>
    <row r="7" spans="1:9" ht="15.75">
      <c r="A7" s="32"/>
      <c r="B7" s="58" t="str">
        <f>(inputPrYr!B22)</f>
        <v>General</v>
      </c>
      <c r="C7" s="109">
        <f>(inputPrYr!E22)</f>
        <v>0</v>
      </c>
      <c r="D7" s="109">
        <f>IF(inputPrYr!E22=0,0,D23-SUM(D8:D19))</f>
        <v>0</v>
      </c>
      <c r="E7" s="109">
        <f>IF(inputPrYr!E22=0,0,E24-SUM(E8:E19))</f>
        <v>0</v>
      </c>
      <c r="F7" s="109">
        <f>IF(inputPrYr!E22=0,0,F25-SUM(F8:F19))</f>
        <v>0</v>
      </c>
      <c r="G7" s="109">
        <f>IF(inputPrYr!E22=0,0,G26-SUM(G8:G19))</f>
        <v>0</v>
      </c>
      <c r="H7" s="109">
        <f>IF(inputPrYr!E22=0,0,H27-SUM(H8:H19))</f>
        <v>0</v>
      </c>
      <c r="I7" s="694"/>
    </row>
    <row r="8" spans="1:9" ht="15.75">
      <c r="A8" s="32"/>
      <c r="B8" s="58" t="str">
        <f>IF(inputPrYr!$B23&gt;"  ",(inputPrYr!$B23),"  ")</f>
        <v>Debt Service</v>
      </c>
      <c r="C8" s="109" t="str">
        <f>IF(inputPrYr!$E23&gt;0,(inputPrYr!$E23),"  ")</f>
        <v>  </v>
      </c>
      <c r="D8" s="109" t="str">
        <f>IF(inputPrYr!E23&gt;0,ROUND(C8*$D$30,0),"  ")</f>
        <v>  </v>
      </c>
      <c r="E8" s="109" t="str">
        <f>IF(inputPrYr!E23&gt;0,ROUND(+C8*E$31,0)," ")</f>
        <v> </v>
      </c>
      <c r="F8" s="109" t="str">
        <f>IF(inputPrYr!E23&gt;0,ROUND(C8*F$32,0)," ")</f>
        <v> </v>
      </c>
      <c r="G8" s="109" t="str">
        <f>IF(inputPrYr!E23&gt;0,ROUND(C8*G$33,0)," ")</f>
        <v> </v>
      </c>
      <c r="H8" s="109" t="str">
        <f>IF(inputPrYr!E23&gt;0,ROUND(C8*H$34,0)," ")</f>
        <v> </v>
      </c>
      <c r="I8" s="694"/>
    </row>
    <row r="9" spans="1:9" ht="15.75">
      <c r="A9" s="32"/>
      <c r="B9" s="58" t="str">
        <f>IF(inputPrYr!$B24&gt;"  ",(inputPrYr!$B24),"  ")</f>
        <v>Library</v>
      </c>
      <c r="C9" s="109" t="str">
        <f>IF(inputPrYr!$E24&gt;0,(inputPrYr!$E24),"  ")</f>
        <v>  </v>
      </c>
      <c r="D9" s="109" t="str">
        <f>IF(inputPrYr!E24&gt;0,ROUND(C9*$D$30,0),"  ")</f>
        <v>  </v>
      </c>
      <c r="E9" s="109" t="str">
        <f>IF(inputPrYr!E24&gt;0,ROUND(+C9*E$31,0)," ")</f>
        <v> </v>
      </c>
      <c r="F9" s="109" t="str">
        <f>IF(inputPrYr!E24&gt;0,ROUND(C9*F$32,0)," ")</f>
        <v> </v>
      </c>
      <c r="G9" s="109" t="str">
        <f>IF(inputPrYr!E24&gt;0,ROUND(C9*G$33,0)," ")</f>
        <v> </v>
      </c>
      <c r="H9" s="109" t="str">
        <f>IF(inputPrYr!E24&gt;0,ROUND(C9*H$34,0)," ")</f>
        <v> </v>
      </c>
      <c r="I9" s="694"/>
    </row>
    <row r="10" spans="1:9" ht="15.75">
      <c r="A10" s="32"/>
      <c r="B10" s="58" t="str">
        <f>IF(inputPrYr!$B26&gt;"  ",(inputPrYr!$B26),"  ")</f>
        <v>  </v>
      </c>
      <c r="C10" s="109" t="str">
        <f>IF(inputPrYr!$E26&gt;0,(inputPrYr!$E26),"  ")</f>
        <v>  </v>
      </c>
      <c r="D10" s="109" t="str">
        <f>IF(inputPrYr!E26&gt;0,ROUND(C10*$D$30,0),"  ")</f>
        <v>  </v>
      </c>
      <c r="E10" s="109" t="str">
        <f>IF(inputPrYr!E26&gt;0,ROUND(+C10*E$31,0)," ")</f>
        <v> </v>
      </c>
      <c r="F10" s="109" t="str">
        <f>IF(inputPrYr!E26&gt;0,ROUND(+C10*F$32,0)," ")</f>
        <v> </v>
      </c>
      <c r="G10" s="109" t="str">
        <f>IF(inputPrYr!E26&gt;0,ROUND(C10*G$33,0)," ")</f>
        <v> </v>
      </c>
      <c r="H10" s="109" t="str">
        <f>IF(inputPrYr!E26&gt;0,ROUND(C10*H$34,0)," ")</f>
        <v> </v>
      </c>
      <c r="I10" s="694"/>
    </row>
    <row r="11" spans="1:9" ht="15.75">
      <c r="A11" s="32"/>
      <c r="B11" s="58" t="str">
        <f>IF(inputPrYr!$B27&gt;"  ",(inputPrYr!$B27),"  ")</f>
        <v>  </v>
      </c>
      <c r="C11" s="109" t="str">
        <f>IF(inputPrYr!$E27&gt;0,(inputPrYr!$E27),"  ")</f>
        <v>  </v>
      </c>
      <c r="D11" s="109" t="str">
        <f>IF(inputPrYr!E27&gt;0,ROUND(C11*$D$30,0),"  ")</f>
        <v>  </v>
      </c>
      <c r="E11" s="109" t="str">
        <f>IF(inputPrYr!E27&gt;0,ROUND(+C11*E$31,0)," ")</f>
        <v> </v>
      </c>
      <c r="F11" s="109" t="str">
        <f>IF(inputPrYr!E27&gt;0,ROUND(+C11*F$32,0)," ")</f>
        <v> </v>
      </c>
      <c r="G11" s="109" t="str">
        <f>IF(inputPrYr!E27&gt;0,ROUND(C11*G$33,0)," ")</f>
        <v> </v>
      </c>
      <c r="H11" s="109" t="str">
        <f>IF(inputPrYr!E27&gt;0,ROUND(C11*H$34,0)," ")</f>
        <v> </v>
      </c>
      <c r="I11" s="694"/>
    </row>
    <row r="12" spans="1:9" ht="15.75">
      <c r="A12" s="32"/>
      <c r="B12" s="58" t="str">
        <f>IF(inputPrYr!$B28&gt;"  ",(inputPrYr!$B28),"  ")</f>
        <v>  </v>
      </c>
      <c r="C12" s="109" t="str">
        <f>IF(inputPrYr!$E28&gt;0,(inputPrYr!$E28),"  ")</f>
        <v>  </v>
      </c>
      <c r="D12" s="109" t="str">
        <f>IF(inputPrYr!E28&gt;0,ROUND(C12*$D$30,0),"  ")</f>
        <v>  </v>
      </c>
      <c r="E12" s="109" t="str">
        <f>IF(inputPrYr!E28&gt;0,ROUND(+C12*E$31,0)," ")</f>
        <v> </v>
      </c>
      <c r="F12" s="109" t="str">
        <f>IF(inputPrYr!E28&gt;0,ROUND(+C12*F$32,0)," ")</f>
        <v> </v>
      </c>
      <c r="G12" s="109" t="str">
        <f>IF(inputPrYr!E28&gt;0,ROUND(C12*G$33,0)," ")</f>
        <v> </v>
      </c>
      <c r="H12" s="109" t="str">
        <f>IF(inputPrYr!E28&gt;0,ROUND(C12*H$34,0)," ")</f>
        <v> </v>
      </c>
      <c r="I12" s="694"/>
    </row>
    <row r="13" spans="1:9" ht="15.75">
      <c r="A13" s="32"/>
      <c r="B13" s="58" t="str">
        <f>IF(inputPrYr!$B29&gt;"  ",(inputPrYr!$B29),"  ")</f>
        <v>  </v>
      </c>
      <c r="C13" s="109" t="str">
        <f>IF(inputPrYr!$E29&gt;0,(inputPrYr!$E29),"  ")</f>
        <v>  </v>
      </c>
      <c r="D13" s="109" t="str">
        <f>IF(inputPrYr!E29&gt;0,ROUND(C13*$D$30,0),"  ")</f>
        <v>  </v>
      </c>
      <c r="E13" s="109" t="str">
        <f>IF(inputPrYr!E29&gt;0,ROUND(+C13*E$31,0)," ")</f>
        <v> </v>
      </c>
      <c r="F13" s="109" t="str">
        <f>IF(inputPrYr!E29&gt;0,ROUND(+C13*F$32,0)," ")</f>
        <v> </v>
      </c>
      <c r="G13" s="109" t="str">
        <f>IF(inputPrYr!E29&gt;0,ROUND(C13*G$33,0)," ")</f>
        <v> </v>
      </c>
      <c r="H13" s="109" t="str">
        <f>IF(inputPrYr!E29&gt;0,ROUND(C13*H$34,0)," ")</f>
        <v> </v>
      </c>
      <c r="I13" s="694"/>
    </row>
    <row r="14" spans="1:9" ht="15.75">
      <c r="A14" s="32"/>
      <c r="B14" s="58" t="str">
        <f>IF(inputPrYr!$B30&gt;"  ",(inputPrYr!$B30),"  ")</f>
        <v>  </v>
      </c>
      <c r="C14" s="109" t="str">
        <f>IF(inputPrYr!$E30&gt;0,(inputPrYr!$E30),"  ")</f>
        <v>  </v>
      </c>
      <c r="D14" s="109" t="str">
        <f>IF(inputPrYr!E30&gt;0,ROUND(C14*$D$30,0),"  ")</f>
        <v>  </v>
      </c>
      <c r="E14" s="109" t="str">
        <f>IF(inputPrYr!E30&gt;0,ROUND(+C14*E$31,0)," ")</f>
        <v> </v>
      </c>
      <c r="F14" s="109" t="str">
        <f>IF(inputPrYr!E30&gt;0,ROUND(+C14*F$32,0)," ")</f>
        <v> </v>
      </c>
      <c r="G14" s="109" t="str">
        <f>IF(inputPrYr!E30&gt;0,ROUND(C14*G$33,0)," ")</f>
        <v> </v>
      </c>
      <c r="H14" s="109" t="str">
        <f>IF(inputPrYr!E30&gt;0,ROUND(C14*H$34,0)," ")</f>
        <v> </v>
      </c>
      <c r="I14" s="694"/>
    </row>
    <row r="15" spans="1:9" ht="15.75">
      <c r="A15" s="32"/>
      <c r="B15" s="58" t="str">
        <f>IF(inputPrYr!$B31&gt;"  ",(inputPrYr!$B31),"  ")</f>
        <v>  </v>
      </c>
      <c r="C15" s="109" t="str">
        <f>IF(inputPrYr!$E31&gt;0,(inputPrYr!$E31),"  ")</f>
        <v>  </v>
      </c>
      <c r="D15" s="109" t="str">
        <f>IF(inputPrYr!E31&gt;0,ROUND(C15*$D$30,0),"  ")</f>
        <v>  </v>
      </c>
      <c r="E15" s="109" t="str">
        <f>IF(inputPrYr!E31&gt;0,ROUND(+C15*E$31,0)," ")</f>
        <v> </v>
      </c>
      <c r="F15" s="109" t="str">
        <f>IF(inputPrYr!E31&gt;0,ROUND(+C15*F$32,0)," ")</f>
        <v> </v>
      </c>
      <c r="G15" s="109" t="str">
        <f>IF(inputPrYr!E31&gt;0,ROUND(C15*G$33,0)," ")</f>
        <v> </v>
      </c>
      <c r="H15" s="109" t="str">
        <f>IF(inputPrYr!E31&gt;0,ROUND(C15*H$34,0)," ")</f>
        <v> </v>
      </c>
      <c r="I15" s="694"/>
    </row>
    <row r="16" spans="1:9" ht="15.75">
      <c r="A16" s="32"/>
      <c r="B16" s="58" t="str">
        <f>IF(inputPrYr!$B32&gt;"  ",(inputPrYr!$B32),"  ")</f>
        <v>  </v>
      </c>
      <c r="C16" s="109" t="str">
        <f>IF(inputPrYr!$E32&gt;0,(inputPrYr!$E32),"  ")</f>
        <v>  </v>
      </c>
      <c r="D16" s="109" t="str">
        <f>IF(inputPrYr!E32&gt;0,ROUND(C16*$D$30,0),"  ")</f>
        <v>  </v>
      </c>
      <c r="E16" s="109" t="str">
        <f>IF(inputPrYr!E32&gt;0,ROUND(+C16*E$31,0)," ")</f>
        <v> </v>
      </c>
      <c r="F16" s="109" t="str">
        <f>IF(inputPrYr!E32&gt;0,ROUND(+C16*F$32,0)," ")</f>
        <v> </v>
      </c>
      <c r="G16" s="109" t="str">
        <f>IF(inputPrYr!E32&gt;0,ROUND(C16*G$33,0)," ")</f>
        <v> </v>
      </c>
      <c r="H16" s="109" t="str">
        <f>IF(inputPrYr!E32&gt;0,ROUND(C16*H$34,0)," ")</f>
        <v> </v>
      </c>
      <c r="I16" s="694"/>
    </row>
    <row r="17" spans="1:9" ht="15.75">
      <c r="A17" s="32"/>
      <c r="B17" s="58" t="str">
        <f>IF(inputPrYr!$B33&gt;"  ",(inputPrYr!$B33),"  ")</f>
        <v>  </v>
      </c>
      <c r="C17" s="109" t="str">
        <f>IF(inputPrYr!$E33&gt;0,(inputPrYr!$E33),"  ")</f>
        <v>  </v>
      </c>
      <c r="D17" s="109" t="str">
        <f>IF(inputPrYr!E33&gt;0,ROUND(C17*$D$30,0),"  ")</f>
        <v>  </v>
      </c>
      <c r="E17" s="109" t="str">
        <f>IF(inputPrYr!E33&gt;0,ROUND(+C17*E$31,0)," ")</f>
        <v> </v>
      </c>
      <c r="F17" s="109" t="str">
        <f>IF(inputPrYr!E33&gt;0,ROUND(+C17*F$32,0)," ")</f>
        <v> </v>
      </c>
      <c r="G17" s="109" t="str">
        <f>IF(inputPrYr!E33&gt;0,ROUND(C17*G$33,0)," ")</f>
        <v> </v>
      </c>
      <c r="H17" s="109" t="str">
        <f>IF(inputPrYr!E33&gt;0,ROUND(C17*H$34,0)," ")</f>
        <v> </v>
      </c>
      <c r="I17" s="694"/>
    </row>
    <row r="18" spans="1:9" ht="15.75">
      <c r="A18" s="32"/>
      <c r="B18" s="58" t="str">
        <f>IF(inputPrYr!$B34&gt;"  ",(inputPrYr!$B34),"  ")</f>
        <v>  </v>
      </c>
      <c r="C18" s="109" t="str">
        <f>IF(inputPrYr!$E34&gt;0,(inputPrYr!$E34),"  ")</f>
        <v>  </v>
      </c>
      <c r="D18" s="109" t="str">
        <f>IF(inputPrYr!E34&gt;0,ROUND(C18*$D$30,0),"  ")</f>
        <v>  </v>
      </c>
      <c r="E18" s="109" t="str">
        <f>IF(inputPrYr!E34&gt;0,ROUND(+C18*E$31,0)," ")</f>
        <v> </v>
      </c>
      <c r="F18" s="109" t="str">
        <f>IF(inputPrYr!E34&gt;0,ROUND(+C18*F$32,0)," ")</f>
        <v> </v>
      </c>
      <c r="G18" s="109" t="str">
        <f>IF(inputPrYr!E34&gt;0,ROUND(C18*G$33,0)," ")</f>
        <v> </v>
      </c>
      <c r="H18" s="109" t="str">
        <f>IF(inputPrYr!E34&gt;0,ROUND(C18*H$34,0)," ")</f>
        <v> </v>
      </c>
      <c r="I18" s="694"/>
    </row>
    <row r="19" spans="1:9" ht="15.75">
      <c r="A19" s="32"/>
      <c r="B19" s="58" t="str">
        <f>IF(inputPrYr!$B35&gt;"  ",(inputPrYr!$B35),"  ")</f>
        <v>  </v>
      </c>
      <c r="C19" s="109" t="str">
        <f>IF(inputPrYr!$E35&gt;0,(inputPrYr!$E35),"  ")</f>
        <v>  </v>
      </c>
      <c r="D19" s="109" t="str">
        <f>IF(inputPrYr!E35&gt;0,ROUND(C19*$D$30,0),"  ")</f>
        <v>  </v>
      </c>
      <c r="E19" s="109" t="str">
        <f>IF(inputPrYr!E35&gt;0,ROUND(+C19*E$31,0)," ")</f>
        <v> </v>
      </c>
      <c r="F19" s="109" t="str">
        <f>IF(inputPrYr!E35&gt;0,ROUND(+C19*F$32,0)," ")</f>
        <v> </v>
      </c>
      <c r="G19" s="109" t="str">
        <f>IF(inputPrYr!E35&gt;0,ROUND(C19*G$33,0)," ")</f>
        <v> </v>
      </c>
      <c r="H19" s="109" t="str">
        <f>IF(inputPrYr!E35&gt;0,ROUND(C19*H$34,0)," ")</f>
        <v> </v>
      </c>
      <c r="I19" s="694"/>
    </row>
    <row r="20" spans="1:9" ht="15.75">
      <c r="A20" s="32"/>
      <c r="B20" s="58" t="str">
        <f>inputPrYr!B38</f>
        <v>Recreation</v>
      </c>
      <c r="C20" s="102">
        <f>inputPrYr!E38</f>
        <v>0</v>
      </c>
      <c r="D20" s="109" t="str">
        <f>IF(inputPrYr!E38&gt;0,ROUND(C20*$D$30,0),"  ")</f>
        <v>  </v>
      </c>
      <c r="E20" s="109" t="str">
        <f>IF(inputPrYr!E38&gt;0,ROUND(+C20*E$31,0)," ")</f>
        <v> </v>
      </c>
      <c r="F20" s="109" t="str">
        <f>IF(inputPrYr!E38&gt;0,ROUND(+C20*F$32,0)," ")</f>
        <v> </v>
      </c>
      <c r="G20" s="109" t="str">
        <f>IF(inputPrYr!E38&gt;0,ROUND(C20*G$33,0)," ")</f>
        <v> </v>
      </c>
      <c r="H20" s="109" t="str">
        <f>IF(inputPrYr!E38&gt;0,ROUND(C20*H$34,0)," ")</f>
        <v> </v>
      </c>
      <c r="I20" s="694"/>
    </row>
    <row r="21" spans="1:9" ht="16.5" thickBot="1">
      <c r="A21" s="32"/>
      <c r="B21" s="695" t="s">
        <v>97</v>
      </c>
      <c r="C21" s="116">
        <f aca="true" t="shared" si="0" ref="C21:H21">SUM(C7:C19)</f>
        <v>0</v>
      </c>
      <c r="D21" s="144">
        <f t="shared" si="0"/>
        <v>0</v>
      </c>
      <c r="E21" s="144">
        <f t="shared" si="0"/>
        <v>0</v>
      </c>
      <c r="F21" s="144">
        <f t="shared" si="0"/>
        <v>0</v>
      </c>
      <c r="G21" s="144">
        <f t="shared" si="0"/>
        <v>0</v>
      </c>
      <c r="H21" s="144">
        <f t="shared" si="0"/>
        <v>0</v>
      </c>
      <c r="I21" s="32"/>
    </row>
    <row r="22" spans="1:9" ht="16.5" thickTop="1">
      <c r="A22" s="32"/>
      <c r="B22" s="847"/>
      <c r="C22" s="906"/>
      <c r="D22" s="906"/>
      <c r="E22" s="906"/>
      <c r="F22" s="906"/>
      <c r="G22" s="906"/>
      <c r="H22" s="906"/>
      <c r="I22" s="847"/>
    </row>
    <row r="23" spans="1:9" ht="15.75">
      <c r="A23" s="32"/>
      <c r="B23" s="912" t="s">
        <v>98</v>
      </c>
      <c r="C23" s="905"/>
      <c r="D23" s="904">
        <f>(inputOth!E43)</f>
        <v>0</v>
      </c>
      <c r="E23" s="905"/>
      <c r="F23" s="847"/>
      <c r="G23" s="847"/>
      <c r="H23" s="847"/>
      <c r="I23" s="847"/>
    </row>
    <row r="24" spans="1:9" ht="15.75">
      <c r="A24" s="32"/>
      <c r="B24" s="912" t="s">
        <v>1006</v>
      </c>
      <c r="C24" s="847"/>
      <c r="D24" s="847"/>
      <c r="E24" s="904">
        <f>(inputOth!E44)</f>
        <v>0</v>
      </c>
      <c r="F24" s="847"/>
      <c r="G24" s="847"/>
      <c r="H24" s="847"/>
      <c r="I24" s="847"/>
    </row>
    <row r="25" spans="1:9" ht="15.75">
      <c r="A25" s="32"/>
      <c r="B25" s="912" t="s">
        <v>1007</v>
      </c>
      <c r="C25" s="847"/>
      <c r="D25" s="847"/>
      <c r="E25" s="847"/>
      <c r="F25" s="904">
        <f>inputOth!E45</f>
        <v>0</v>
      </c>
      <c r="G25" s="906"/>
      <c r="H25" s="906"/>
      <c r="I25" s="847"/>
    </row>
    <row r="26" spans="1:9" ht="15.75">
      <c r="A26" s="32"/>
      <c r="B26" s="909" t="s">
        <v>1008</v>
      </c>
      <c r="C26" s="847"/>
      <c r="D26" s="847"/>
      <c r="E26" s="847"/>
      <c r="F26" s="906"/>
      <c r="G26" s="904">
        <f>inputOth!E46</f>
        <v>0</v>
      </c>
      <c r="H26" s="906"/>
      <c r="I26" s="847"/>
    </row>
    <row r="27" spans="1:9" ht="15.75">
      <c r="A27" s="32"/>
      <c r="B27" s="909" t="s">
        <v>1009</v>
      </c>
      <c r="C27" s="847"/>
      <c r="D27" s="847"/>
      <c r="E27" s="847"/>
      <c r="F27" s="906"/>
      <c r="G27" s="906"/>
      <c r="H27" s="904">
        <f>inputOth!E47</f>
        <v>0</v>
      </c>
      <c r="I27" s="847"/>
    </row>
    <row r="28" spans="1:9" ht="15.75">
      <c r="A28" s="32"/>
      <c r="B28" s="903"/>
      <c r="C28" s="847"/>
      <c r="D28" s="847"/>
      <c r="E28" s="847"/>
      <c r="F28" s="906"/>
      <c r="G28" s="906"/>
      <c r="H28" s="906"/>
      <c r="I28" s="847"/>
    </row>
    <row r="29" spans="1:9" ht="15.75">
      <c r="A29" s="32"/>
      <c r="B29" s="903"/>
      <c r="C29" s="847"/>
      <c r="D29" s="847"/>
      <c r="E29" s="847"/>
      <c r="F29" s="906"/>
      <c r="G29" s="906"/>
      <c r="H29" s="906"/>
      <c r="I29" s="902"/>
    </row>
    <row r="30" spans="1:9" ht="15.75">
      <c r="A30" s="32"/>
      <c r="B30" s="903" t="s">
        <v>99</v>
      </c>
      <c r="C30" s="847"/>
      <c r="D30" s="901">
        <f>IF(C21=0,0,D23/C21)</f>
        <v>0</v>
      </c>
      <c r="E30" s="847"/>
      <c r="F30" s="847"/>
      <c r="G30" s="847"/>
      <c r="H30" s="847"/>
      <c r="I30" s="847"/>
    </row>
    <row r="31" spans="1:9" ht="15.75">
      <c r="A31" s="32"/>
      <c r="B31" s="847"/>
      <c r="C31" s="903" t="s">
        <v>100</v>
      </c>
      <c r="D31" s="847"/>
      <c r="E31" s="901">
        <f>IF(C21=0,0,E24/C21)</f>
        <v>0</v>
      </c>
      <c r="F31" s="847"/>
      <c r="G31" s="847"/>
      <c r="H31" s="847"/>
      <c r="I31" s="847"/>
    </row>
    <row r="32" spans="1:9" ht="15.75">
      <c r="A32" s="32"/>
      <c r="B32" s="847"/>
      <c r="C32" s="847"/>
      <c r="D32" s="903" t="s">
        <v>175</v>
      </c>
      <c r="E32" s="847"/>
      <c r="F32" s="901">
        <f>IF(C21=0,0,F25/C21)</f>
        <v>0</v>
      </c>
      <c r="G32" s="900"/>
      <c r="H32" s="900"/>
      <c r="I32" s="847"/>
    </row>
    <row r="33" spans="1:9" ht="15.75">
      <c r="A33" s="32"/>
      <c r="B33" s="847"/>
      <c r="C33" s="847"/>
      <c r="D33" s="903"/>
      <c r="E33" s="911" t="s">
        <v>1010</v>
      </c>
      <c r="F33" s="910"/>
      <c r="G33" s="901">
        <f>IF(C21=0,0,G26/C21)</f>
        <v>0</v>
      </c>
      <c r="H33" s="900"/>
      <c r="I33" s="847"/>
    </row>
    <row r="34" spans="1:9" ht="15.75">
      <c r="A34" s="32"/>
      <c r="B34" s="847"/>
      <c r="C34" s="847"/>
      <c r="D34" s="903"/>
      <c r="E34" s="909"/>
      <c r="F34" s="911" t="s">
        <v>1011</v>
      </c>
      <c r="G34" s="900"/>
      <c r="H34" s="901">
        <f>IF(C21=0,0,H27/C21)</f>
        <v>0</v>
      </c>
      <c r="I34" s="847"/>
    </row>
    <row r="35" spans="1:9" ht="15.75">
      <c r="A35" s="32"/>
      <c r="B35" s="847"/>
      <c r="C35" s="847"/>
      <c r="D35" s="847"/>
      <c r="E35" s="847"/>
      <c r="F35" s="847"/>
      <c r="G35" s="847"/>
      <c r="H35" s="847"/>
      <c r="I35" s="847"/>
    </row>
    <row r="36" spans="1:9" ht="15.75">
      <c r="A36" s="32"/>
      <c r="B36" s="44"/>
      <c r="C36" s="44"/>
      <c r="D36" s="44"/>
      <c r="E36" s="44"/>
      <c r="F36" s="44"/>
      <c r="G36" s="44"/>
      <c r="H36" s="44"/>
      <c r="I36" s="44"/>
    </row>
  </sheetData>
  <sheetProtection sheet="1"/>
  <mergeCells count="2">
    <mergeCell ref="D5:H5"/>
    <mergeCell ref="A3:I3"/>
  </mergeCells>
  <printOptions/>
  <pageMargins left="0.83" right="0.5" top="1" bottom="0.5" header="0.5" footer="0.5"/>
  <pageSetup blackAndWhite="1" fitToHeight="1" fitToWidth="1" horizontalDpi="120" verticalDpi="120" orientation="portrait" scale="61" r:id="rId1"/>
  <headerFooter alignWithMargins="0">
    <oddHeader>&amp;RState of Kansas
City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Q63" sqref="Q63"/>
    </sheetView>
  </sheetViews>
  <sheetFormatPr defaultColWidth="8.796875" defaultRowHeight="15"/>
  <cols>
    <col min="1" max="2" width="17.796875" style="18" customWidth="1"/>
    <col min="3" max="6" width="12.796875" style="18" customWidth="1"/>
    <col min="7" max="16384" width="8.8984375" style="18" customWidth="1"/>
  </cols>
  <sheetData>
    <row r="1" spans="1:6" ht="15.75">
      <c r="A1" s="131">
        <f>inputPrYr!D3</f>
        <v>0</v>
      </c>
      <c r="B1" s="131"/>
      <c r="C1" s="130"/>
      <c r="D1" s="130"/>
      <c r="E1" s="130"/>
      <c r="F1" s="130">
        <f>inputPrYr!$C$6</f>
        <v>0</v>
      </c>
    </row>
    <row r="2" spans="1:6" ht="15.75">
      <c r="A2" s="130"/>
      <c r="B2" s="130"/>
      <c r="C2" s="130"/>
      <c r="D2" s="130"/>
      <c r="E2" s="130"/>
      <c r="F2" s="130"/>
    </row>
    <row r="3" spans="1:6" ht="15.75">
      <c r="A3" s="1121" t="s">
        <v>216</v>
      </c>
      <c r="B3" s="1121"/>
      <c r="C3" s="1121"/>
      <c r="D3" s="1121"/>
      <c r="E3" s="1121"/>
      <c r="F3" s="1121"/>
    </row>
    <row r="4" spans="1:6" ht="15.75">
      <c r="A4" s="146"/>
      <c r="B4" s="146"/>
      <c r="C4" s="146"/>
      <c r="D4" s="146"/>
      <c r="E4" s="146"/>
      <c r="F4" s="146"/>
    </row>
    <row r="5" spans="1:6" ht="15.75">
      <c r="A5" s="147" t="s">
        <v>616</v>
      </c>
      <c r="B5" s="147" t="s">
        <v>617</v>
      </c>
      <c r="C5" s="147" t="s">
        <v>124</v>
      </c>
      <c r="D5" s="147" t="s">
        <v>221</v>
      </c>
      <c r="E5" s="147" t="s">
        <v>222</v>
      </c>
      <c r="F5" s="147" t="s">
        <v>259</v>
      </c>
    </row>
    <row r="6" spans="1:6" ht="15.75">
      <c r="A6" s="148" t="s">
        <v>618</v>
      </c>
      <c r="B6" s="148" t="s">
        <v>619</v>
      </c>
      <c r="C6" s="148" t="s">
        <v>260</v>
      </c>
      <c r="D6" s="148" t="s">
        <v>260</v>
      </c>
      <c r="E6" s="148" t="s">
        <v>260</v>
      </c>
      <c r="F6" s="148" t="s">
        <v>261</v>
      </c>
    </row>
    <row r="7" spans="1:6" ht="15" customHeight="1">
      <c r="A7" s="149" t="s">
        <v>262</v>
      </c>
      <c r="B7" s="149" t="s">
        <v>263</v>
      </c>
      <c r="C7" s="150">
        <f>F1-2</f>
        <v>-2</v>
      </c>
      <c r="D7" s="150">
        <f>F1-1</f>
        <v>-1</v>
      </c>
      <c r="E7" s="150">
        <f>F1</f>
        <v>0</v>
      </c>
      <c r="F7" s="149" t="s">
        <v>264</v>
      </c>
    </row>
    <row r="8" spans="1:6" ht="14.25" customHeight="1">
      <c r="A8" s="151"/>
      <c r="B8" s="151"/>
      <c r="C8" s="152"/>
      <c r="D8" s="152"/>
      <c r="E8" s="152"/>
      <c r="F8" s="153"/>
    </row>
    <row r="9" spans="1:6" ht="15" customHeight="1">
      <c r="A9" s="154"/>
      <c r="B9" s="154"/>
      <c r="C9" s="155"/>
      <c r="D9" s="155"/>
      <c r="E9" s="155"/>
      <c r="F9" s="153"/>
    </row>
    <row r="10" spans="1:6" ht="15" customHeight="1">
      <c r="A10" s="154"/>
      <c r="B10" s="154"/>
      <c r="C10" s="155"/>
      <c r="D10" s="155"/>
      <c r="E10" s="155"/>
      <c r="F10" s="153"/>
    </row>
    <row r="11" spans="1:6" ht="15" customHeight="1">
      <c r="A11" s="154"/>
      <c r="B11" s="154"/>
      <c r="C11" s="155"/>
      <c r="D11" s="155"/>
      <c r="E11" s="155"/>
      <c r="F11" s="153"/>
    </row>
    <row r="12" spans="1:6" ht="15" customHeight="1">
      <c r="A12" s="154"/>
      <c r="B12" s="154"/>
      <c r="C12" s="155"/>
      <c r="D12" s="155"/>
      <c r="E12" s="155"/>
      <c r="F12" s="153"/>
    </row>
    <row r="13" spans="1:6" ht="15" customHeight="1">
      <c r="A13" s="154"/>
      <c r="B13" s="154"/>
      <c r="C13" s="155"/>
      <c r="D13" s="155"/>
      <c r="E13" s="155"/>
      <c r="F13" s="153"/>
    </row>
    <row r="14" spans="1:6" ht="15" customHeight="1">
      <c r="A14" s="154"/>
      <c r="B14" s="154"/>
      <c r="C14" s="155"/>
      <c r="D14" s="155"/>
      <c r="E14" s="155"/>
      <c r="F14" s="153"/>
    </row>
    <row r="15" spans="1:6" ht="15" customHeight="1">
      <c r="A15" s="154"/>
      <c r="B15" s="154"/>
      <c r="C15" s="155"/>
      <c r="D15" s="155"/>
      <c r="E15" s="155"/>
      <c r="F15" s="153"/>
    </row>
    <row r="16" spans="1:6" ht="15" customHeight="1">
      <c r="A16" s="154"/>
      <c r="B16" s="154"/>
      <c r="C16" s="155"/>
      <c r="D16" s="155"/>
      <c r="E16" s="155"/>
      <c r="F16" s="153"/>
    </row>
    <row r="17" spans="1:6" ht="15" customHeight="1">
      <c r="A17" s="154"/>
      <c r="B17" s="154"/>
      <c r="C17" s="155"/>
      <c r="D17" s="155"/>
      <c r="E17" s="155"/>
      <c r="F17" s="153"/>
    </row>
    <row r="18" spans="1:6" ht="15" customHeight="1">
      <c r="A18" s="154"/>
      <c r="B18" s="154"/>
      <c r="C18" s="155"/>
      <c r="D18" s="155"/>
      <c r="E18" s="155"/>
      <c r="F18" s="153"/>
    </row>
    <row r="19" spans="1:6" ht="15" customHeight="1">
      <c r="A19" s="154"/>
      <c r="B19" s="154"/>
      <c r="C19" s="155"/>
      <c r="D19" s="155"/>
      <c r="E19" s="155"/>
      <c r="F19" s="153"/>
    </row>
    <row r="20" spans="1:6" ht="15" customHeight="1">
      <c r="A20" s="154"/>
      <c r="B20" s="154"/>
      <c r="C20" s="155"/>
      <c r="D20" s="155"/>
      <c r="E20" s="155"/>
      <c r="F20" s="153"/>
    </row>
    <row r="21" spans="1:6" ht="15" customHeight="1">
      <c r="A21" s="154"/>
      <c r="B21" s="154"/>
      <c r="C21" s="155"/>
      <c r="D21" s="155"/>
      <c r="E21" s="155"/>
      <c r="F21" s="153"/>
    </row>
    <row r="22" spans="1:6" ht="15" customHeight="1">
      <c r="A22" s="154"/>
      <c r="B22" s="154"/>
      <c r="C22" s="155"/>
      <c r="D22" s="155"/>
      <c r="E22" s="155"/>
      <c r="F22" s="153"/>
    </row>
    <row r="23" spans="1:6" ht="15" customHeight="1">
      <c r="A23" s="154"/>
      <c r="B23" s="154"/>
      <c r="C23" s="155"/>
      <c r="D23" s="155"/>
      <c r="E23" s="155"/>
      <c r="F23" s="153"/>
    </row>
    <row r="24" spans="1:6" ht="15" customHeight="1">
      <c r="A24" s="154"/>
      <c r="B24" s="154"/>
      <c r="C24" s="155"/>
      <c r="D24" s="155"/>
      <c r="E24" s="155"/>
      <c r="F24" s="153"/>
    </row>
    <row r="25" spans="1:6" ht="15" customHeight="1">
      <c r="A25" s="154"/>
      <c r="B25" s="154"/>
      <c r="C25" s="155"/>
      <c r="D25" s="155"/>
      <c r="E25" s="155"/>
      <c r="F25" s="153"/>
    </row>
    <row r="26" spans="1:6" ht="15" customHeight="1">
      <c r="A26" s="63"/>
      <c r="B26" s="156" t="s">
        <v>90</v>
      </c>
      <c r="C26" s="157">
        <f>SUM(C8:C25)</f>
        <v>0</v>
      </c>
      <c r="D26" s="157">
        <f>SUM(D8:D25)</f>
        <v>0</v>
      </c>
      <c r="E26" s="157">
        <f>SUM(E8:E25)</f>
        <v>0</v>
      </c>
      <c r="F26" s="158"/>
    </row>
    <row r="27" spans="1:6" ht="15" customHeight="1">
      <c r="A27" s="63"/>
      <c r="B27" s="159" t="s">
        <v>265</v>
      </c>
      <c r="C27" s="114"/>
      <c r="D27" s="160"/>
      <c r="E27" s="160"/>
      <c r="F27" s="158"/>
    </row>
    <row r="28" spans="1:6" ht="15" customHeight="1">
      <c r="A28" s="63"/>
      <c r="B28" s="156" t="s">
        <v>266</v>
      </c>
      <c r="C28" s="157">
        <f>C26</f>
        <v>0</v>
      </c>
      <c r="D28" s="157">
        <f>SUM(D26-D27)</f>
        <v>0</v>
      </c>
      <c r="E28" s="157">
        <f>SUM(E26-E27)</f>
        <v>0</v>
      </c>
      <c r="F28" s="158"/>
    </row>
    <row r="29" spans="1:6" ht="15" customHeight="1">
      <c r="A29" s="63"/>
      <c r="B29" s="63"/>
      <c r="C29" s="63"/>
      <c r="D29" s="63"/>
      <c r="E29" s="63"/>
      <c r="F29" s="63"/>
    </row>
    <row r="30" spans="1:6" ht="15" customHeight="1">
      <c r="A30" s="63"/>
      <c r="B30" s="63"/>
      <c r="C30" s="63"/>
      <c r="D30" s="63"/>
      <c r="E30" s="63"/>
      <c r="F30" s="63"/>
    </row>
    <row r="31" spans="1:6" ht="15" customHeight="1">
      <c r="A31" s="318" t="s">
        <v>615</v>
      </c>
      <c r="B31" s="319" t="str">
        <f>CONCATENATE("Adjustments are required only if the transfer is being made in ",D7," and/or ",E7," from a non-budgeted fund.")</f>
        <v>Adjustments are required only if the transfer is being made in -1 and/or 0 from a non-budgeted fund.</v>
      </c>
      <c r="C31" s="63"/>
      <c r="D31" s="63"/>
      <c r="E31" s="63"/>
      <c r="F31" s="63"/>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scale="95" r:id="rId1"/>
  <headerFooter alignWithMargins="0">
    <oddHeader>&amp;RState of Kansas
City</oddHeader>
    <oddFooter>&amp;CPage No. 4</oddFooter>
  </headerFooter>
</worksheet>
</file>

<file path=xl/worksheets/sheet12.xml><?xml version="1.0" encoding="utf-8"?>
<worksheet xmlns="http://schemas.openxmlformats.org/spreadsheetml/2006/main" xmlns:r="http://schemas.openxmlformats.org/officeDocument/2006/relationships">
  <dimension ref="A1:A68"/>
  <sheetViews>
    <sheetView zoomScalePageLayoutView="0" workbookViewId="0" topLeftCell="A1">
      <selection activeCell="N62" sqref="N62"/>
    </sheetView>
  </sheetViews>
  <sheetFormatPr defaultColWidth="8.796875" defaultRowHeight="15"/>
  <cols>
    <col min="1" max="1" width="70.59765625" style="452" customWidth="1"/>
    <col min="2" max="16384" width="8.8984375" style="452" customWidth="1"/>
  </cols>
  <sheetData>
    <row r="1" ht="18.75">
      <c r="A1" s="453" t="s">
        <v>346</v>
      </c>
    </row>
    <row r="2" ht="18.75">
      <c r="A2" s="453"/>
    </row>
    <row r="3" ht="18.75">
      <c r="A3" s="453"/>
    </row>
    <row r="4" ht="51.75" customHeight="1">
      <c r="A4" s="463" t="s">
        <v>745</v>
      </c>
    </row>
    <row r="5" ht="18.75">
      <c r="A5" s="453"/>
    </row>
    <row r="6" ht="15.75">
      <c r="A6" s="454"/>
    </row>
    <row r="7" ht="47.25">
      <c r="A7" s="455" t="s">
        <v>347</v>
      </c>
    </row>
    <row r="8" ht="15.75">
      <c r="A8" s="454"/>
    </row>
    <row r="9" ht="15.75">
      <c r="A9" s="454"/>
    </row>
    <row r="10" ht="63">
      <c r="A10" s="455" t="s">
        <v>348</v>
      </c>
    </row>
    <row r="11" ht="15.75">
      <c r="A11" s="456"/>
    </row>
    <row r="12" ht="15.75">
      <c r="A12" s="454"/>
    </row>
    <row r="13" ht="47.25">
      <c r="A13" s="455" t="s">
        <v>349</v>
      </c>
    </row>
    <row r="14" ht="15.75">
      <c r="A14" s="456"/>
    </row>
    <row r="15" ht="15.75">
      <c r="A15" s="454"/>
    </row>
    <row r="16" ht="47.25">
      <c r="A16" s="455" t="s">
        <v>350</v>
      </c>
    </row>
    <row r="17" ht="15.75">
      <c r="A17" s="456"/>
    </row>
    <row r="18" ht="15.75">
      <c r="A18" s="456"/>
    </row>
    <row r="19" ht="47.25">
      <c r="A19" s="455" t="s">
        <v>351</v>
      </c>
    </row>
    <row r="20" ht="15.75">
      <c r="A20" s="456"/>
    </row>
    <row r="21" ht="15.75">
      <c r="A21" s="456"/>
    </row>
    <row r="22" ht="47.25">
      <c r="A22" s="455" t="s">
        <v>352</v>
      </c>
    </row>
    <row r="23" ht="15.75">
      <c r="A23" s="456"/>
    </row>
    <row r="24" ht="15.75">
      <c r="A24" s="456"/>
    </row>
    <row r="25" ht="31.5">
      <c r="A25" s="455" t="s">
        <v>353</v>
      </c>
    </row>
    <row r="26" ht="15.75">
      <c r="A26" s="454"/>
    </row>
    <row r="27" ht="15.75">
      <c r="A27" s="454"/>
    </row>
    <row r="28" ht="60">
      <c r="A28" s="457" t="s">
        <v>354</v>
      </c>
    </row>
    <row r="29" ht="15">
      <c r="A29" s="458"/>
    </row>
    <row r="30" ht="15">
      <c r="A30" s="458"/>
    </row>
    <row r="31" ht="47.25">
      <c r="A31" s="455" t="s">
        <v>355</v>
      </c>
    </row>
    <row r="32" ht="15.75">
      <c r="A32" s="454"/>
    </row>
    <row r="33" ht="15.75">
      <c r="A33" s="454"/>
    </row>
    <row r="34" ht="66.75" customHeight="1">
      <c r="A34" s="462" t="s">
        <v>746</v>
      </c>
    </row>
    <row r="35" ht="15.75">
      <c r="A35" s="454"/>
    </row>
    <row r="36" ht="15.75">
      <c r="A36" s="454"/>
    </row>
    <row r="37" ht="63">
      <c r="A37" s="459" t="s">
        <v>356</v>
      </c>
    </row>
    <row r="38" ht="15.75">
      <c r="A38" s="456"/>
    </row>
    <row r="39" ht="15.75">
      <c r="A39" s="454"/>
    </row>
    <row r="40" ht="63">
      <c r="A40" s="455" t="s">
        <v>357</v>
      </c>
    </row>
    <row r="41" ht="15.75">
      <c r="A41" s="456"/>
    </row>
    <row r="42" ht="15.75">
      <c r="A42" s="456"/>
    </row>
    <row r="43" ht="82.5" customHeight="1">
      <c r="A43" s="451" t="s">
        <v>747</v>
      </c>
    </row>
    <row r="44" ht="15.75">
      <c r="A44" s="456"/>
    </row>
    <row r="45" ht="15.75">
      <c r="A45" s="456"/>
    </row>
    <row r="46" ht="69" customHeight="1">
      <c r="A46" s="451" t="s">
        <v>748</v>
      </c>
    </row>
    <row r="47" ht="15.75">
      <c r="A47" s="456"/>
    </row>
    <row r="48" ht="15.75">
      <c r="A48" s="456"/>
    </row>
    <row r="49" ht="69" customHeight="1">
      <c r="A49" s="451" t="s">
        <v>749</v>
      </c>
    </row>
    <row r="50" ht="15.75" customHeight="1">
      <c r="A50" s="456"/>
    </row>
    <row r="51" ht="21.75" customHeight="1">
      <c r="A51" s="456"/>
    </row>
    <row r="52" ht="66" customHeight="1">
      <c r="A52" s="451" t="s">
        <v>864</v>
      </c>
    </row>
    <row r="53" ht="15.75">
      <c r="A53" s="456"/>
    </row>
    <row r="54" ht="15.75">
      <c r="A54" s="456"/>
    </row>
    <row r="55" ht="63">
      <c r="A55" s="455" t="s">
        <v>358</v>
      </c>
    </row>
    <row r="56" ht="15.75">
      <c r="A56" s="456"/>
    </row>
    <row r="57" ht="15.75">
      <c r="A57" s="456"/>
    </row>
    <row r="58" ht="63">
      <c r="A58" s="455" t="s">
        <v>359</v>
      </c>
    </row>
    <row r="59" ht="15.75">
      <c r="A59" s="456"/>
    </row>
    <row r="60" ht="15.75">
      <c r="A60" s="456"/>
    </row>
    <row r="61" ht="47.25">
      <c r="A61" s="455" t="s">
        <v>360</v>
      </c>
    </row>
    <row r="62" ht="15.75">
      <c r="A62" s="456"/>
    </row>
    <row r="63" ht="15.75">
      <c r="A63" s="456"/>
    </row>
    <row r="64" ht="47.25">
      <c r="A64" s="455" t="s">
        <v>361</v>
      </c>
    </row>
    <row r="65" ht="15.75">
      <c r="A65" s="456"/>
    </row>
    <row r="66" ht="15.75">
      <c r="A66" s="456"/>
    </row>
    <row r="67" ht="78.75">
      <c r="A67" s="455" t="s">
        <v>362</v>
      </c>
    </row>
    <row r="68" ht="15">
      <c r="A68" s="460"/>
    </row>
  </sheetData>
  <sheetProtection sheet="1" objects="1" scenarios="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Y89" sqref="Y89"/>
    </sheetView>
  </sheetViews>
  <sheetFormatPr defaultColWidth="8.796875" defaultRowHeight="15"/>
  <cols>
    <col min="1" max="1" width="8.8984375" style="30" customWidth="1"/>
    <col min="2" max="2" width="20.796875" style="30" customWidth="1"/>
    <col min="3" max="3" width="9.296875" style="30" customWidth="1"/>
    <col min="4" max="4" width="8.69921875" style="30" customWidth="1"/>
    <col min="5" max="5" width="8.796875" style="30" customWidth="1"/>
    <col min="6" max="6" width="12.796875" style="30" customWidth="1"/>
    <col min="7" max="7" width="14.296875" style="30" customWidth="1"/>
    <col min="8" max="13" width="9.796875" style="30" customWidth="1"/>
    <col min="14" max="16384" width="8.8984375" style="30" customWidth="1"/>
  </cols>
  <sheetData>
    <row r="1" spans="2:13" ht="15.75">
      <c r="B1" s="140">
        <f>inputPrYr!$D$3</f>
        <v>0</v>
      </c>
      <c r="C1" s="32"/>
      <c r="D1" s="32"/>
      <c r="E1" s="32"/>
      <c r="F1" s="32"/>
      <c r="G1" s="32"/>
      <c r="H1" s="32"/>
      <c r="I1" s="32"/>
      <c r="J1" s="32"/>
      <c r="K1" s="32"/>
      <c r="L1" s="32"/>
      <c r="M1" s="161">
        <f>inputPrYr!$C$6</f>
        <v>0</v>
      </c>
    </row>
    <row r="2" spans="2:13" ht="15.75">
      <c r="B2" s="140"/>
      <c r="C2" s="32"/>
      <c r="D2" s="32"/>
      <c r="E2" s="32"/>
      <c r="F2" s="32"/>
      <c r="G2" s="32"/>
      <c r="H2" s="32"/>
      <c r="I2" s="32"/>
      <c r="J2" s="32"/>
      <c r="K2" s="32"/>
      <c r="L2" s="32"/>
      <c r="M2" s="126"/>
    </row>
    <row r="3" spans="2:13" ht="15.75">
      <c r="B3" s="162" t="s">
        <v>171</v>
      </c>
      <c r="C3" s="37"/>
      <c r="D3" s="37"/>
      <c r="E3" s="37"/>
      <c r="F3" s="37"/>
      <c r="G3" s="37"/>
      <c r="H3" s="37"/>
      <c r="I3" s="37"/>
      <c r="J3" s="37"/>
      <c r="K3" s="37"/>
      <c r="L3" s="37"/>
      <c r="M3" s="37"/>
    </row>
    <row r="4" spans="2:13" ht="10.5" customHeight="1">
      <c r="B4" s="32"/>
      <c r="C4" s="163"/>
      <c r="D4" s="163"/>
      <c r="E4" s="163"/>
      <c r="F4" s="163"/>
      <c r="G4" s="163"/>
      <c r="H4" s="163"/>
      <c r="I4" s="163"/>
      <c r="J4" s="163"/>
      <c r="K4" s="163"/>
      <c r="L4" s="163"/>
      <c r="M4" s="163"/>
    </row>
    <row r="5" spans="2:13" ht="18" customHeight="1">
      <c r="B5" s="110"/>
      <c r="C5" s="142" t="s">
        <v>139</v>
      </c>
      <c r="D5" s="142" t="s">
        <v>139</v>
      </c>
      <c r="E5" s="142" t="s">
        <v>153</v>
      </c>
      <c r="F5" s="142"/>
      <c r="G5" s="142" t="s">
        <v>254</v>
      </c>
      <c r="H5" s="32"/>
      <c r="I5" s="32"/>
      <c r="J5" s="164" t="s">
        <v>140</v>
      </c>
      <c r="K5" s="165"/>
      <c r="L5" s="164" t="s">
        <v>140</v>
      </c>
      <c r="M5" s="165"/>
    </row>
    <row r="6" spans="2:13" ht="15.75">
      <c r="B6" s="166" t="s">
        <v>866</v>
      </c>
      <c r="C6" s="166" t="s">
        <v>141</v>
      </c>
      <c r="D6" s="166" t="s">
        <v>255</v>
      </c>
      <c r="E6" s="166" t="s">
        <v>142</v>
      </c>
      <c r="F6" s="166" t="s">
        <v>95</v>
      </c>
      <c r="G6" s="166" t="s">
        <v>256</v>
      </c>
      <c r="H6" s="1133" t="s">
        <v>143</v>
      </c>
      <c r="I6" s="1134"/>
      <c r="J6" s="1135">
        <f>M1-1</f>
        <v>-1</v>
      </c>
      <c r="K6" s="1136"/>
      <c r="L6" s="1135">
        <f>M1</f>
        <v>0</v>
      </c>
      <c r="M6" s="1136"/>
    </row>
    <row r="7" spans="2:13" ht="15.75">
      <c r="B7" s="143" t="s">
        <v>865</v>
      </c>
      <c r="C7" s="143" t="s">
        <v>144</v>
      </c>
      <c r="D7" s="143" t="s">
        <v>257</v>
      </c>
      <c r="E7" s="143" t="s">
        <v>119</v>
      </c>
      <c r="F7" s="143" t="s">
        <v>145</v>
      </c>
      <c r="G7" s="167" t="str">
        <f>CONCATENATE("Jan 1,",M1-1,"")</f>
        <v>Jan 1,-1</v>
      </c>
      <c r="H7" s="114" t="s">
        <v>153</v>
      </c>
      <c r="I7" s="114" t="s">
        <v>155</v>
      </c>
      <c r="J7" s="114" t="s">
        <v>153</v>
      </c>
      <c r="K7" s="114" t="s">
        <v>155</v>
      </c>
      <c r="L7" s="114" t="s">
        <v>153</v>
      </c>
      <c r="M7" s="114" t="s">
        <v>155</v>
      </c>
    </row>
    <row r="8" spans="2:13" ht="15.75">
      <c r="B8" s="168" t="s">
        <v>146</v>
      </c>
      <c r="C8" s="42"/>
      <c r="D8" s="42"/>
      <c r="E8" s="169"/>
      <c r="F8" s="170"/>
      <c r="G8" s="170"/>
      <c r="H8" s="42"/>
      <c r="I8" s="42"/>
      <c r="J8" s="170"/>
      <c r="K8" s="170"/>
      <c r="L8" s="170"/>
      <c r="M8" s="170"/>
    </row>
    <row r="9" spans="2:13" ht="15.75">
      <c r="B9" s="45"/>
      <c r="C9" s="320"/>
      <c r="D9" s="320"/>
      <c r="E9" s="171"/>
      <c r="F9" s="172"/>
      <c r="G9" s="173"/>
      <c r="H9" s="174"/>
      <c r="I9" s="174"/>
      <c r="J9" s="173"/>
      <c r="K9" s="173"/>
      <c r="L9" s="173"/>
      <c r="M9" s="173"/>
    </row>
    <row r="10" spans="2:13" ht="15.75">
      <c r="B10" s="45"/>
      <c r="C10" s="320"/>
      <c r="D10" s="320"/>
      <c r="E10" s="171"/>
      <c r="F10" s="172"/>
      <c r="G10" s="173"/>
      <c r="H10" s="174"/>
      <c r="I10" s="174"/>
      <c r="J10" s="173"/>
      <c r="K10" s="173"/>
      <c r="L10" s="173"/>
      <c r="M10" s="173"/>
    </row>
    <row r="11" spans="2:13" ht="15.75">
      <c r="B11" s="45"/>
      <c r="C11" s="320"/>
      <c r="D11" s="320"/>
      <c r="E11" s="171"/>
      <c r="F11" s="172"/>
      <c r="G11" s="173"/>
      <c r="H11" s="174"/>
      <c r="I11" s="174"/>
      <c r="J11" s="173"/>
      <c r="K11" s="173"/>
      <c r="L11" s="173"/>
      <c r="M11" s="173"/>
    </row>
    <row r="12" spans="2:13" ht="15.75">
      <c r="B12" s="45"/>
      <c r="C12" s="320"/>
      <c r="D12" s="320"/>
      <c r="E12" s="171"/>
      <c r="F12" s="172"/>
      <c r="G12" s="173"/>
      <c r="H12" s="174"/>
      <c r="I12" s="174"/>
      <c r="J12" s="173"/>
      <c r="K12" s="173"/>
      <c r="L12" s="173"/>
      <c r="M12" s="173"/>
    </row>
    <row r="13" spans="2:13" ht="15.75">
      <c r="B13" s="45"/>
      <c r="C13" s="320"/>
      <c r="D13" s="320"/>
      <c r="E13" s="171"/>
      <c r="F13" s="172"/>
      <c r="G13" s="173"/>
      <c r="H13" s="174"/>
      <c r="I13" s="174"/>
      <c r="J13" s="173"/>
      <c r="K13" s="173"/>
      <c r="L13" s="173"/>
      <c r="M13" s="173"/>
    </row>
    <row r="14" spans="2:13" ht="15.75">
      <c r="B14" s="45"/>
      <c r="C14" s="320"/>
      <c r="D14" s="320"/>
      <c r="E14" s="171"/>
      <c r="F14" s="172"/>
      <c r="G14" s="173"/>
      <c r="H14" s="174"/>
      <c r="I14" s="174"/>
      <c r="J14" s="173"/>
      <c r="K14" s="173"/>
      <c r="L14" s="173"/>
      <c r="M14" s="173"/>
    </row>
    <row r="15" spans="2:13" ht="15.75">
      <c r="B15" s="45"/>
      <c r="C15" s="320"/>
      <c r="D15" s="320"/>
      <c r="E15" s="171"/>
      <c r="F15" s="172"/>
      <c r="G15" s="173"/>
      <c r="H15" s="174"/>
      <c r="I15" s="174"/>
      <c r="J15" s="173"/>
      <c r="K15" s="173"/>
      <c r="L15" s="173"/>
      <c r="M15" s="173"/>
    </row>
    <row r="16" spans="2:13" ht="15.75">
      <c r="B16" s="45"/>
      <c r="C16" s="320"/>
      <c r="D16" s="320"/>
      <c r="E16" s="171"/>
      <c r="F16" s="172"/>
      <c r="G16" s="173"/>
      <c r="H16" s="174"/>
      <c r="I16" s="174"/>
      <c r="J16" s="173"/>
      <c r="K16" s="173"/>
      <c r="L16" s="173"/>
      <c r="M16" s="173"/>
    </row>
    <row r="17" spans="2:13" ht="15.75">
      <c r="B17" s="45"/>
      <c r="C17" s="320"/>
      <c r="D17" s="320"/>
      <c r="E17" s="171"/>
      <c r="F17" s="172"/>
      <c r="G17" s="173"/>
      <c r="H17" s="174"/>
      <c r="I17" s="174"/>
      <c r="J17" s="173"/>
      <c r="K17" s="173"/>
      <c r="L17" s="173"/>
      <c r="M17" s="173"/>
    </row>
    <row r="18" spans="2:13" ht="15.75">
      <c r="B18" s="45"/>
      <c r="C18" s="320"/>
      <c r="D18" s="320"/>
      <c r="E18" s="171"/>
      <c r="F18" s="172"/>
      <c r="G18" s="173"/>
      <c r="H18" s="174"/>
      <c r="I18" s="174"/>
      <c r="J18" s="173"/>
      <c r="K18" s="173"/>
      <c r="L18" s="173"/>
      <c r="M18" s="173"/>
    </row>
    <row r="19" spans="2:13" ht="15.75">
      <c r="B19" s="45"/>
      <c r="C19" s="320"/>
      <c r="D19" s="320"/>
      <c r="E19" s="171"/>
      <c r="F19" s="172"/>
      <c r="G19" s="173"/>
      <c r="H19" s="174"/>
      <c r="I19" s="174"/>
      <c r="J19" s="173"/>
      <c r="K19" s="173"/>
      <c r="L19" s="173"/>
      <c r="M19" s="173"/>
    </row>
    <row r="20" spans="2:13" ht="15.75">
      <c r="B20" s="175" t="s">
        <v>147</v>
      </c>
      <c r="C20" s="176"/>
      <c r="D20" s="176"/>
      <c r="E20" s="177"/>
      <c r="F20" s="178"/>
      <c r="G20" s="179">
        <f>SUM(G9:G19)</f>
        <v>0</v>
      </c>
      <c r="H20" s="180"/>
      <c r="I20" s="180"/>
      <c r="J20" s="179">
        <f>SUM(J9:J19)</f>
        <v>0</v>
      </c>
      <c r="K20" s="179">
        <f>SUM(K9:K19)</f>
        <v>0</v>
      </c>
      <c r="L20" s="179">
        <f>SUM(L9:L19)</f>
        <v>0</v>
      </c>
      <c r="M20" s="179">
        <f>SUM(M9:M19)</f>
        <v>0</v>
      </c>
    </row>
    <row r="21" spans="2:13" ht="15.75">
      <c r="B21" s="168" t="s">
        <v>148</v>
      </c>
      <c r="C21" s="181"/>
      <c r="D21" s="181"/>
      <c r="E21" s="182"/>
      <c r="F21" s="183"/>
      <c r="G21" s="183"/>
      <c r="H21" s="184"/>
      <c r="I21" s="184"/>
      <c r="J21" s="183"/>
      <c r="K21" s="183"/>
      <c r="L21" s="183"/>
      <c r="M21" s="183"/>
    </row>
    <row r="22" spans="2:13" ht="15.75">
      <c r="B22" s="45"/>
      <c r="C22" s="320"/>
      <c r="D22" s="320"/>
      <c r="E22" s="171"/>
      <c r="F22" s="172"/>
      <c r="G22" s="173"/>
      <c r="H22" s="174"/>
      <c r="I22" s="174"/>
      <c r="J22" s="173"/>
      <c r="K22" s="173"/>
      <c r="L22" s="173"/>
      <c r="M22" s="173"/>
    </row>
    <row r="23" spans="2:13" ht="15.75">
      <c r="B23" s="45"/>
      <c r="C23" s="320"/>
      <c r="D23" s="320"/>
      <c r="E23" s="171"/>
      <c r="F23" s="172"/>
      <c r="G23" s="173"/>
      <c r="H23" s="174"/>
      <c r="I23" s="174"/>
      <c r="J23" s="173"/>
      <c r="K23" s="173"/>
      <c r="L23" s="173"/>
      <c r="M23" s="173"/>
    </row>
    <row r="24" spans="2:13" ht="15.75">
      <c r="B24" s="45"/>
      <c r="C24" s="320"/>
      <c r="D24" s="320"/>
      <c r="E24" s="171"/>
      <c r="F24" s="172"/>
      <c r="G24" s="173"/>
      <c r="H24" s="174"/>
      <c r="I24" s="174"/>
      <c r="J24" s="173"/>
      <c r="K24" s="173"/>
      <c r="L24" s="173"/>
      <c r="M24" s="173"/>
    </row>
    <row r="25" spans="2:13" ht="15.75">
      <c r="B25" s="45"/>
      <c r="C25" s="320"/>
      <c r="D25" s="320"/>
      <c r="E25" s="171"/>
      <c r="F25" s="172"/>
      <c r="G25" s="173"/>
      <c r="H25" s="174"/>
      <c r="I25" s="174"/>
      <c r="J25" s="173"/>
      <c r="K25" s="173"/>
      <c r="L25" s="173"/>
      <c r="M25" s="173"/>
    </row>
    <row r="26" spans="2:13" ht="15.75">
      <c r="B26" s="45"/>
      <c r="C26" s="320"/>
      <c r="D26" s="320"/>
      <c r="E26" s="171"/>
      <c r="F26" s="172"/>
      <c r="G26" s="173"/>
      <c r="H26" s="174"/>
      <c r="I26" s="174"/>
      <c r="J26" s="173"/>
      <c r="K26" s="173"/>
      <c r="L26" s="173"/>
      <c r="M26" s="173"/>
    </row>
    <row r="27" spans="2:13" ht="15.75">
      <c r="B27" s="45"/>
      <c r="C27" s="320"/>
      <c r="D27" s="320"/>
      <c r="E27" s="171"/>
      <c r="F27" s="172"/>
      <c r="G27" s="173"/>
      <c r="H27" s="174"/>
      <c r="I27" s="174"/>
      <c r="J27" s="173"/>
      <c r="K27" s="173"/>
      <c r="L27" s="173"/>
      <c r="M27" s="173"/>
    </row>
    <row r="28" spans="2:13" ht="15.75">
      <c r="B28" s="45"/>
      <c r="C28" s="320"/>
      <c r="D28" s="320"/>
      <c r="E28" s="171"/>
      <c r="F28" s="172"/>
      <c r="G28" s="173"/>
      <c r="H28" s="174"/>
      <c r="I28" s="174"/>
      <c r="J28" s="173"/>
      <c r="K28" s="173"/>
      <c r="L28" s="173"/>
      <c r="M28" s="173"/>
    </row>
    <row r="29" spans="2:13" ht="15.75">
      <c r="B29" s="45"/>
      <c r="C29" s="320"/>
      <c r="D29" s="320"/>
      <c r="E29" s="171"/>
      <c r="F29" s="172"/>
      <c r="G29" s="173"/>
      <c r="H29" s="174"/>
      <c r="I29" s="174"/>
      <c r="J29" s="173"/>
      <c r="K29" s="173"/>
      <c r="L29" s="173"/>
      <c r="M29" s="173"/>
    </row>
    <row r="30" spans="2:13" ht="15.75">
      <c r="B30" s="45"/>
      <c r="C30" s="320"/>
      <c r="D30" s="320"/>
      <c r="E30" s="171"/>
      <c r="F30" s="172"/>
      <c r="G30" s="173"/>
      <c r="H30" s="174"/>
      <c r="I30" s="174"/>
      <c r="J30" s="173"/>
      <c r="K30" s="173"/>
      <c r="L30" s="173"/>
      <c r="M30" s="173"/>
    </row>
    <row r="31" spans="2:13" ht="15.75">
      <c r="B31" s="45"/>
      <c r="C31" s="320"/>
      <c r="D31" s="320"/>
      <c r="E31" s="171"/>
      <c r="F31" s="172"/>
      <c r="G31" s="173"/>
      <c r="H31" s="174"/>
      <c r="I31" s="174"/>
      <c r="J31" s="173"/>
      <c r="K31" s="173"/>
      <c r="L31" s="173"/>
      <c r="M31" s="173"/>
    </row>
    <row r="32" spans="2:13" ht="15.75">
      <c r="B32" s="175" t="s">
        <v>149</v>
      </c>
      <c r="C32" s="176"/>
      <c r="D32" s="176"/>
      <c r="E32" s="185"/>
      <c r="F32" s="178"/>
      <c r="G32" s="186">
        <f>SUM(G22:G31)</f>
        <v>0</v>
      </c>
      <c r="H32" s="180"/>
      <c r="I32" s="180"/>
      <c r="J32" s="186">
        <f>SUM(J22:J31)</f>
        <v>0</v>
      </c>
      <c r="K32" s="186">
        <f>SUM(K22:K31)</f>
        <v>0</v>
      </c>
      <c r="L32" s="179">
        <f>SUM(L22:L31)</f>
        <v>0</v>
      </c>
      <c r="M32" s="186">
        <f>SUM(M22:M31)</f>
        <v>0</v>
      </c>
    </row>
    <row r="33" spans="2:13" ht="15.75">
      <c r="B33" s="168" t="s">
        <v>150</v>
      </c>
      <c r="C33" s="181"/>
      <c r="D33" s="181"/>
      <c r="E33" s="182"/>
      <c r="F33" s="183"/>
      <c r="G33" s="187"/>
      <c r="H33" s="184"/>
      <c r="I33" s="184"/>
      <c r="J33" s="183"/>
      <c r="K33" s="183"/>
      <c r="L33" s="183"/>
      <c r="M33" s="183"/>
    </row>
    <row r="34" spans="2:13" ht="15.75">
      <c r="B34" s="45"/>
      <c r="C34" s="320"/>
      <c r="D34" s="320"/>
      <c r="E34" s="171"/>
      <c r="F34" s="172"/>
      <c r="G34" s="173"/>
      <c r="H34" s="174"/>
      <c r="I34" s="174"/>
      <c r="J34" s="173"/>
      <c r="K34" s="173"/>
      <c r="L34" s="173"/>
      <c r="M34" s="173"/>
    </row>
    <row r="35" spans="2:13" ht="15.75">
      <c r="B35" s="45"/>
      <c r="C35" s="320"/>
      <c r="D35" s="320"/>
      <c r="E35" s="171"/>
      <c r="F35" s="172"/>
      <c r="G35" s="173"/>
      <c r="H35" s="174"/>
      <c r="I35" s="174"/>
      <c r="J35" s="173"/>
      <c r="K35" s="173"/>
      <c r="L35" s="173"/>
      <c r="M35" s="173"/>
    </row>
    <row r="36" spans="2:13" ht="15.75">
      <c r="B36" s="45"/>
      <c r="C36" s="320"/>
      <c r="D36" s="320"/>
      <c r="E36" s="171"/>
      <c r="F36" s="172"/>
      <c r="G36" s="173"/>
      <c r="H36" s="174"/>
      <c r="I36" s="174"/>
      <c r="J36" s="173"/>
      <c r="K36" s="173"/>
      <c r="L36" s="173"/>
      <c r="M36" s="173"/>
    </row>
    <row r="37" spans="2:13" ht="15.75">
      <c r="B37" s="45"/>
      <c r="C37" s="320"/>
      <c r="D37" s="320"/>
      <c r="E37" s="171"/>
      <c r="F37" s="172"/>
      <c r="G37" s="173"/>
      <c r="H37" s="174"/>
      <c r="I37" s="174"/>
      <c r="J37" s="173"/>
      <c r="K37" s="173"/>
      <c r="L37" s="173"/>
      <c r="M37" s="173"/>
    </row>
    <row r="38" spans="2:13" ht="15.75">
      <c r="B38" s="45"/>
      <c r="C38" s="320"/>
      <c r="D38" s="320"/>
      <c r="E38" s="171"/>
      <c r="F38" s="172"/>
      <c r="G38" s="173"/>
      <c r="H38" s="174"/>
      <c r="I38" s="174"/>
      <c r="J38" s="173"/>
      <c r="K38" s="173"/>
      <c r="L38" s="173"/>
      <c r="M38" s="173"/>
    </row>
    <row r="39" spans="2:13" ht="15.75">
      <c r="B39" s="45"/>
      <c r="C39" s="320"/>
      <c r="D39" s="320"/>
      <c r="E39" s="171"/>
      <c r="F39" s="172"/>
      <c r="G39" s="173"/>
      <c r="H39" s="174"/>
      <c r="I39" s="174"/>
      <c r="J39" s="173"/>
      <c r="K39" s="173"/>
      <c r="L39" s="173"/>
      <c r="M39" s="173"/>
    </row>
    <row r="40" spans="2:13" ht="15.75">
      <c r="B40" s="45"/>
      <c r="C40" s="320"/>
      <c r="D40" s="320"/>
      <c r="E40" s="171"/>
      <c r="F40" s="172"/>
      <c r="G40" s="173"/>
      <c r="H40" s="174"/>
      <c r="I40" s="174"/>
      <c r="J40" s="173"/>
      <c r="K40" s="173"/>
      <c r="L40" s="173"/>
      <c r="M40" s="173"/>
    </row>
    <row r="41" spans="2:29" ht="15.75">
      <c r="B41" s="45"/>
      <c r="C41" s="320"/>
      <c r="D41" s="320"/>
      <c r="E41" s="171"/>
      <c r="F41" s="172"/>
      <c r="G41" s="173"/>
      <c r="H41" s="174"/>
      <c r="I41" s="174"/>
      <c r="J41" s="173"/>
      <c r="K41" s="173"/>
      <c r="L41" s="173"/>
      <c r="M41" s="173"/>
      <c r="N41" s="18"/>
      <c r="O41" s="18"/>
      <c r="P41" s="18"/>
      <c r="Q41" s="18"/>
      <c r="R41" s="18"/>
      <c r="S41" s="18"/>
      <c r="T41" s="18"/>
      <c r="U41" s="18"/>
      <c r="V41" s="18"/>
      <c r="W41" s="18"/>
      <c r="X41" s="18"/>
      <c r="Y41" s="18"/>
      <c r="Z41" s="18"/>
      <c r="AA41" s="18"/>
      <c r="AB41" s="18"/>
      <c r="AC41" s="18"/>
    </row>
    <row r="42" spans="2:13" ht="15.75">
      <c r="B42" s="175" t="s">
        <v>258</v>
      </c>
      <c r="C42" s="156"/>
      <c r="D42" s="156"/>
      <c r="E42" s="185"/>
      <c r="F42" s="178"/>
      <c r="G42" s="186">
        <f>SUM(G34:G41)</f>
        <v>0</v>
      </c>
      <c r="H42" s="178"/>
      <c r="I42" s="178"/>
      <c r="J42" s="186">
        <f>SUM(J34:J41)</f>
        <v>0</v>
      </c>
      <c r="K42" s="186">
        <f>SUM(K34:K41)</f>
        <v>0</v>
      </c>
      <c r="L42" s="186">
        <f>SUM(L34:L41)</f>
        <v>0</v>
      </c>
      <c r="M42" s="186">
        <f>SUM(M34:M41)</f>
        <v>0</v>
      </c>
    </row>
    <row r="43" spans="2:13" ht="15.75">
      <c r="B43" s="175" t="s">
        <v>151</v>
      </c>
      <c r="C43" s="156"/>
      <c r="D43" s="156"/>
      <c r="E43" s="156"/>
      <c r="F43" s="178"/>
      <c r="G43" s="186">
        <f>SUM(G20+G32+G42)</f>
        <v>0</v>
      </c>
      <c r="H43" s="178"/>
      <c r="I43" s="178"/>
      <c r="J43" s="186">
        <f>SUM(J20+J32+J42)</f>
        <v>0</v>
      </c>
      <c r="K43" s="186">
        <f>SUM(K20+K32+K42)</f>
        <v>0</v>
      </c>
      <c r="L43" s="186">
        <f>SUM(L20+L32+L42)</f>
        <v>0</v>
      </c>
      <c r="M43" s="186">
        <f>SUM(M20+M32+M42)</f>
        <v>0</v>
      </c>
    </row>
    <row r="44" spans="2:13" ht="15.75">
      <c r="B44" s="18"/>
      <c r="C44" s="18"/>
      <c r="D44" s="18"/>
      <c r="E44" s="18"/>
      <c r="F44" s="18"/>
      <c r="G44" s="18"/>
      <c r="H44" s="18"/>
      <c r="I44" s="18"/>
      <c r="J44" s="18"/>
      <c r="K44" s="18"/>
      <c r="L44" s="18"/>
      <c r="M44" s="18"/>
    </row>
    <row r="45" spans="6:13" ht="15.75">
      <c r="F45" s="188"/>
      <c r="G45" s="188"/>
      <c r="J45" s="188"/>
      <c r="K45" s="188"/>
      <c r="L45" s="188"/>
      <c r="M45" s="188"/>
    </row>
    <row r="46" spans="6:14" ht="15.75">
      <c r="F46" s="18"/>
      <c r="H46" s="189"/>
      <c r="N46" s="18"/>
    </row>
    <row r="47" spans="2:13" ht="15.75">
      <c r="B47" s="18"/>
      <c r="C47" s="18"/>
      <c r="D47" s="18"/>
      <c r="E47" s="18"/>
      <c r="F47" s="18"/>
      <c r="G47" s="18"/>
      <c r="H47" s="18"/>
      <c r="I47" s="18"/>
      <c r="J47" s="18"/>
      <c r="K47" s="18"/>
      <c r="L47" s="18"/>
      <c r="M47" s="18"/>
    </row>
    <row r="48" spans="2:13" ht="15.75">
      <c r="B48" s="18"/>
      <c r="C48" s="18"/>
      <c r="D48" s="18"/>
      <c r="E48" s="18"/>
      <c r="F48" s="18"/>
      <c r="G48" s="18"/>
      <c r="H48" s="18"/>
      <c r="I48" s="18"/>
      <c r="J48" s="18"/>
      <c r="K48" s="18"/>
      <c r="L48" s="18"/>
      <c r="M48" s="18"/>
    </row>
  </sheetData>
  <sheetProtection sheet="1"/>
  <mergeCells count="3">
    <mergeCell ref="H6:I6"/>
    <mergeCell ref="J6:K6"/>
    <mergeCell ref="L6:M6"/>
  </mergeCells>
  <printOptions/>
  <pageMargins left="0.25" right="0.34" top="1" bottom="0.5" header="0.5" footer="0.25"/>
  <pageSetup blackAndWhite="1" fitToHeight="1" fitToWidth="1" horizontalDpi="120" verticalDpi="120" orientation="landscape" scale="71" r:id="rId1"/>
  <headerFooter alignWithMargins="0">
    <oddHeader>&amp;RState of Kansas
City</oddHeader>
    <oddFooter>&amp;CPage No. 5</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30"/>
  <sheetViews>
    <sheetView zoomScale="75" zoomScaleNormal="75" zoomScalePageLayoutView="0" workbookViewId="0" topLeftCell="A1">
      <selection activeCell="V80" sqref="V80"/>
    </sheetView>
  </sheetViews>
  <sheetFormatPr defaultColWidth="8.796875" defaultRowHeight="15"/>
  <cols>
    <col min="1" max="1" width="8.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1:10" ht="15.75">
      <c r="A1" s="696"/>
      <c r="B1" s="9">
        <f>inputPrYr!$D$3</f>
        <v>0</v>
      </c>
      <c r="C1" s="4"/>
      <c r="D1" s="4"/>
      <c r="E1" s="4"/>
      <c r="F1" s="4"/>
      <c r="G1" s="4"/>
      <c r="H1" s="4"/>
      <c r="I1" s="14">
        <f>inputPrYr!C6</f>
        <v>0</v>
      </c>
      <c r="J1" s="696"/>
    </row>
    <row r="2" spans="1:10" ht="15.75">
      <c r="A2" s="696"/>
      <c r="B2" s="9"/>
      <c r="C2" s="4"/>
      <c r="D2" s="4"/>
      <c r="E2" s="4"/>
      <c r="F2" s="4"/>
      <c r="G2" s="4"/>
      <c r="H2" s="4"/>
      <c r="I2" s="6"/>
      <c r="J2" s="696"/>
    </row>
    <row r="3" spans="1:10" ht="15.75">
      <c r="A3" s="696"/>
      <c r="B3" s="4"/>
      <c r="C3" s="4"/>
      <c r="D3" s="4"/>
      <c r="E3" s="4"/>
      <c r="F3" s="4"/>
      <c r="G3" s="4"/>
      <c r="H3" s="4"/>
      <c r="I3" s="5"/>
      <c r="J3" s="696"/>
    </row>
    <row r="4" spans="1:10" ht="15.75">
      <c r="A4" s="696"/>
      <c r="B4" s="10" t="s">
        <v>165</v>
      </c>
      <c r="C4" s="7"/>
      <c r="D4" s="7"/>
      <c r="E4" s="7"/>
      <c r="F4" s="7"/>
      <c r="G4" s="7"/>
      <c r="H4" s="7"/>
      <c r="I4" s="7"/>
      <c r="J4" s="696"/>
    </row>
    <row r="5" spans="1:10" ht="15.75">
      <c r="A5" s="696"/>
      <c r="B5" s="3"/>
      <c r="C5" s="11"/>
      <c r="D5" s="11"/>
      <c r="E5" s="11"/>
      <c r="F5" s="11"/>
      <c r="G5" s="11"/>
      <c r="H5" s="11"/>
      <c r="I5" s="11"/>
      <c r="J5" s="696"/>
    </row>
    <row r="6" spans="1:10" ht="15.75">
      <c r="A6" s="696"/>
      <c r="B6" s="8"/>
      <c r="C6" s="142"/>
      <c r="D6" s="142"/>
      <c r="E6" s="142"/>
      <c r="F6" s="142" t="s">
        <v>74</v>
      </c>
      <c r="G6" s="142"/>
      <c r="H6" s="142"/>
      <c r="I6" s="142"/>
      <c r="J6" s="696"/>
    </row>
    <row r="7" spans="1:10" ht="15.75">
      <c r="A7" s="696"/>
      <c r="B7" s="676"/>
      <c r="C7" s="166"/>
      <c r="D7" s="166" t="s">
        <v>152</v>
      </c>
      <c r="E7" s="166" t="s">
        <v>153</v>
      </c>
      <c r="F7" s="166" t="s">
        <v>95</v>
      </c>
      <c r="G7" s="166" t="s">
        <v>155</v>
      </c>
      <c r="H7" s="166" t="s">
        <v>156</v>
      </c>
      <c r="I7" s="166" t="s">
        <v>156</v>
      </c>
      <c r="J7" s="696"/>
    </row>
    <row r="8" spans="1:10" ht="15.75">
      <c r="A8" s="696"/>
      <c r="B8" s="166" t="s">
        <v>868</v>
      </c>
      <c r="C8" s="166" t="s">
        <v>157</v>
      </c>
      <c r="D8" s="166" t="s">
        <v>158</v>
      </c>
      <c r="E8" s="166" t="s">
        <v>142</v>
      </c>
      <c r="F8" s="166" t="s">
        <v>159</v>
      </c>
      <c r="G8" s="166" t="s">
        <v>204</v>
      </c>
      <c r="H8" s="166" t="s">
        <v>160</v>
      </c>
      <c r="I8" s="166" t="s">
        <v>160</v>
      </c>
      <c r="J8" s="696"/>
    </row>
    <row r="9" spans="1:10" ht="15.75">
      <c r="A9" s="696"/>
      <c r="B9" s="143" t="s">
        <v>867</v>
      </c>
      <c r="C9" s="143" t="s">
        <v>139</v>
      </c>
      <c r="D9" s="677" t="s">
        <v>161</v>
      </c>
      <c r="E9" s="143" t="s">
        <v>119</v>
      </c>
      <c r="F9" s="677" t="s">
        <v>217</v>
      </c>
      <c r="G9" s="678" t="str">
        <f>CONCATENATE("Jan 1,",I1-1,"")</f>
        <v>Jan 1,-1</v>
      </c>
      <c r="H9" s="143">
        <f>I1-1</f>
        <v>-1</v>
      </c>
      <c r="I9" s="143">
        <f>I1</f>
        <v>0</v>
      </c>
      <c r="J9" s="696"/>
    </row>
    <row r="10" spans="1:10" ht="15.75">
      <c r="A10" s="696"/>
      <c r="B10" s="45"/>
      <c r="C10" s="320"/>
      <c r="D10" s="680"/>
      <c r="E10" s="171"/>
      <c r="F10" s="172"/>
      <c r="G10" s="172"/>
      <c r="H10" s="172"/>
      <c r="I10" s="172"/>
      <c r="J10" s="696"/>
    </row>
    <row r="11" spans="1:10" ht="15.75">
      <c r="A11" s="696"/>
      <c r="B11" s="45"/>
      <c r="C11" s="320"/>
      <c r="D11" s="680"/>
      <c r="E11" s="171"/>
      <c r="F11" s="172"/>
      <c r="G11" s="172"/>
      <c r="H11" s="172"/>
      <c r="I11" s="172"/>
      <c r="J11" s="696"/>
    </row>
    <row r="12" spans="1:10" ht="15.75">
      <c r="A12" s="696"/>
      <c r="B12" s="45"/>
      <c r="C12" s="320"/>
      <c r="D12" s="680"/>
      <c r="E12" s="171"/>
      <c r="F12" s="172"/>
      <c r="G12" s="172"/>
      <c r="H12" s="172"/>
      <c r="I12" s="172"/>
      <c r="J12" s="696"/>
    </row>
    <row r="13" spans="1:10" ht="15.75">
      <c r="A13" s="696"/>
      <c r="B13" s="45"/>
      <c r="C13" s="320"/>
      <c r="D13" s="680"/>
      <c r="E13" s="171"/>
      <c r="F13" s="172"/>
      <c r="G13" s="172"/>
      <c r="H13" s="172"/>
      <c r="I13" s="172"/>
      <c r="J13" s="696"/>
    </row>
    <row r="14" spans="1:10" ht="15.75">
      <c r="A14" s="696"/>
      <c r="B14" s="45"/>
      <c r="C14" s="320"/>
      <c r="D14" s="680"/>
      <c r="E14" s="171"/>
      <c r="F14" s="172"/>
      <c r="G14" s="172"/>
      <c r="H14" s="172"/>
      <c r="I14" s="172"/>
      <c r="J14" s="696"/>
    </row>
    <row r="15" spans="1:10" ht="15.75">
      <c r="A15" s="696"/>
      <c r="B15" s="45"/>
      <c r="C15" s="320"/>
      <c r="D15" s="680"/>
      <c r="E15" s="171"/>
      <c r="F15" s="172"/>
      <c r="G15" s="172"/>
      <c r="H15" s="172"/>
      <c r="I15" s="172"/>
      <c r="J15" s="696"/>
    </row>
    <row r="16" spans="1:10" ht="15.75">
      <c r="A16" s="696"/>
      <c r="B16" s="45"/>
      <c r="C16" s="320"/>
      <c r="D16" s="680"/>
      <c r="E16" s="171"/>
      <c r="F16" s="172"/>
      <c r="G16" s="172"/>
      <c r="H16" s="172"/>
      <c r="I16" s="172"/>
      <c r="J16" s="696"/>
    </row>
    <row r="17" spans="1:10" ht="15.75">
      <c r="A17" s="696"/>
      <c r="B17" s="45"/>
      <c r="C17" s="320"/>
      <c r="D17" s="680"/>
      <c r="E17" s="171"/>
      <c r="F17" s="172"/>
      <c r="G17" s="172"/>
      <c r="H17" s="172"/>
      <c r="I17" s="172"/>
      <c r="J17" s="696"/>
    </row>
    <row r="18" spans="1:10" ht="15.75">
      <c r="A18" s="696"/>
      <c r="B18" s="45"/>
      <c r="C18" s="320"/>
      <c r="D18" s="680"/>
      <c r="E18" s="171"/>
      <c r="F18" s="172"/>
      <c r="G18" s="172"/>
      <c r="H18" s="172"/>
      <c r="I18" s="172"/>
      <c r="J18" s="696"/>
    </row>
    <row r="19" spans="1:10" ht="15.75">
      <c r="A19" s="696"/>
      <c r="B19" s="45"/>
      <c r="C19" s="320"/>
      <c r="D19" s="680"/>
      <c r="E19" s="171"/>
      <c r="F19" s="172"/>
      <c r="G19" s="172"/>
      <c r="H19" s="172"/>
      <c r="I19" s="172"/>
      <c r="J19" s="696"/>
    </row>
    <row r="20" spans="1:10" ht="15.75">
      <c r="A20" s="696"/>
      <c r="B20" s="45"/>
      <c r="C20" s="320"/>
      <c r="D20" s="680"/>
      <c r="E20" s="171"/>
      <c r="F20" s="172"/>
      <c r="G20" s="172"/>
      <c r="H20" s="172"/>
      <c r="I20" s="172"/>
      <c r="J20" s="696"/>
    </row>
    <row r="21" spans="1:10" ht="15.75">
      <c r="A21" s="696"/>
      <c r="B21" s="45"/>
      <c r="C21" s="320"/>
      <c r="D21" s="680"/>
      <c r="E21" s="171"/>
      <c r="F21" s="172"/>
      <c r="G21" s="172"/>
      <c r="H21" s="172"/>
      <c r="I21" s="172"/>
      <c r="J21" s="696"/>
    </row>
    <row r="22" spans="1:10" ht="15.75">
      <c r="A22" s="696"/>
      <c r="B22" s="45"/>
      <c r="C22" s="320"/>
      <c r="D22" s="680"/>
      <c r="E22" s="171"/>
      <c r="F22" s="172"/>
      <c r="G22" s="172"/>
      <c r="H22" s="172"/>
      <c r="I22" s="172"/>
      <c r="J22" s="696"/>
    </row>
    <row r="23" spans="1:10" ht="15.75">
      <c r="A23" s="696"/>
      <c r="B23" s="45"/>
      <c r="C23" s="320"/>
      <c r="D23" s="680"/>
      <c r="E23" s="171"/>
      <c r="F23" s="172"/>
      <c r="G23" s="172"/>
      <c r="H23" s="172"/>
      <c r="I23" s="172"/>
      <c r="J23" s="696"/>
    </row>
    <row r="24" spans="1:10" ht="15.75">
      <c r="A24" s="696"/>
      <c r="B24" s="45"/>
      <c r="C24" s="320"/>
      <c r="D24" s="680"/>
      <c r="E24" s="171"/>
      <c r="F24" s="172"/>
      <c r="G24" s="172"/>
      <c r="H24" s="172"/>
      <c r="I24" s="172"/>
      <c r="J24" s="696"/>
    </row>
    <row r="25" spans="1:10" ht="15.75">
      <c r="A25" s="696"/>
      <c r="B25" s="45"/>
      <c r="C25" s="320"/>
      <c r="D25" s="680"/>
      <c r="E25" s="171"/>
      <c r="F25" s="172"/>
      <c r="G25" s="172"/>
      <c r="H25" s="172"/>
      <c r="I25" s="172"/>
      <c r="J25" s="696"/>
    </row>
    <row r="26" spans="1:10" ht="15.75">
      <c r="A26" s="696"/>
      <c r="B26" s="45"/>
      <c r="C26" s="320"/>
      <c r="D26" s="680"/>
      <c r="E26" s="171"/>
      <c r="F26" s="172"/>
      <c r="G26" s="172"/>
      <c r="H26" s="172"/>
      <c r="I26" s="172"/>
      <c r="J26" s="696"/>
    </row>
    <row r="27" spans="1:10" ht="15.75">
      <c r="A27" s="696"/>
      <c r="B27" s="45"/>
      <c r="C27" s="320"/>
      <c r="D27" s="680"/>
      <c r="E27" s="171"/>
      <c r="F27" s="172"/>
      <c r="G27" s="172"/>
      <c r="H27" s="172"/>
      <c r="I27" s="172"/>
      <c r="J27" s="696"/>
    </row>
    <row r="28" spans="1:10" ht="16.5" thickBot="1">
      <c r="A28" s="696"/>
      <c r="B28" s="12"/>
      <c r="C28" s="13"/>
      <c r="D28" s="13"/>
      <c r="E28" s="13"/>
      <c r="F28" s="519" t="s">
        <v>90</v>
      </c>
      <c r="G28" s="679">
        <f>SUM(G10:G27)</f>
        <v>0</v>
      </c>
      <c r="H28" s="679">
        <f>SUM(H10:H27)</f>
        <v>0</v>
      </c>
      <c r="I28" s="679">
        <f>SUM(I10:I27)</f>
        <v>0</v>
      </c>
      <c r="J28" s="696"/>
    </row>
    <row r="29" spans="1:10" ht="16.5" thickTop="1">
      <c r="A29" s="696"/>
      <c r="B29" s="4"/>
      <c r="C29" s="4"/>
      <c r="D29" s="4"/>
      <c r="E29" s="4"/>
      <c r="F29" s="4"/>
      <c r="G29" s="4"/>
      <c r="H29" s="9"/>
      <c r="I29" s="9"/>
      <c r="J29" s="696"/>
    </row>
    <row r="30" spans="1:10" ht="15.75">
      <c r="A30" s="696"/>
      <c r="B30" s="15" t="s">
        <v>19</v>
      </c>
      <c r="C30" s="16"/>
      <c r="D30" s="16"/>
      <c r="E30" s="16"/>
      <c r="F30" s="16"/>
      <c r="G30" s="16"/>
      <c r="H30" s="9"/>
      <c r="I30" s="9"/>
      <c r="J30" s="696"/>
    </row>
  </sheetData>
  <sheetProtection sheet="1"/>
  <printOptions/>
  <pageMargins left="0.84" right="0.25" top="1" bottom="0.5" header="0.49" footer="0.5"/>
  <pageSetup blackAndWhite="1" fitToHeight="1" fitToWidth="1" horizontalDpi="120" verticalDpi="120" orientation="landscape" scale="80" r:id="rId1"/>
  <headerFooter alignWithMargins="0">
    <oddHeader>&amp;RState of Kansas
City</oddHeader>
    <oddFooter>&amp;CPage No. 6</oddFooter>
  </headerFooter>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P22" sqref="P22"/>
    </sheetView>
  </sheetViews>
  <sheetFormatPr defaultColWidth="8.796875" defaultRowHeight="15"/>
  <cols>
    <col min="1" max="1" width="2.59765625" style="653" customWidth="1"/>
    <col min="2" max="4" width="8.8984375" style="653" customWidth="1"/>
    <col min="5" max="5" width="9.69921875" style="653" customWidth="1"/>
    <col min="6" max="6" width="8.8984375" style="653" customWidth="1"/>
    <col min="7" max="7" width="9.69921875" style="653" customWidth="1"/>
    <col min="8" max="16384" width="8.8984375" style="653" customWidth="1"/>
  </cols>
  <sheetData>
    <row r="1" spans="2:9" ht="15.75">
      <c r="B1" s="652"/>
      <c r="C1" s="652"/>
      <c r="D1" s="652"/>
      <c r="E1" s="652"/>
      <c r="F1" s="652"/>
      <c r="G1" s="652"/>
      <c r="H1" s="652"/>
      <c r="I1" s="652"/>
    </row>
    <row r="2" spans="2:9" ht="15.75">
      <c r="B2" s="1137" t="s">
        <v>806</v>
      </c>
      <c r="C2" s="1137"/>
      <c r="D2" s="1137"/>
      <c r="E2" s="1137"/>
      <c r="F2" s="1137"/>
      <c r="G2" s="1137"/>
      <c r="H2" s="1137"/>
      <c r="I2" s="1137"/>
    </row>
    <row r="3" spans="2:9" ht="15.75">
      <c r="B3" s="1137" t="s">
        <v>807</v>
      </c>
      <c r="C3" s="1137"/>
      <c r="D3" s="1137"/>
      <c r="E3" s="1137"/>
      <c r="F3" s="1137"/>
      <c r="G3" s="1137"/>
      <c r="H3" s="1137"/>
      <c r="I3" s="1137"/>
    </row>
    <row r="4" spans="2:9" ht="15.75">
      <c r="B4" s="654"/>
      <c r="C4" s="654"/>
      <c r="D4" s="654"/>
      <c r="E4" s="654"/>
      <c r="F4" s="654"/>
      <c r="G4" s="654"/>
      <c r="H4" s="654"/>
      <c r="I4" s="654"/>
    </row>
    <row r="5" spans="2:9" ht="15.75">
      <c r="B5" s="1138" t="str">
        <f>CONCATENATE("Budgeted Year: ",inputPrYr!C6,"")</f>
        <v>Budgeted Year: </v>
      </c>
      <c r="C5" s="1138"/>
      <c r="D5" s="1138"/>
      <c r="E5" s="1138"/>
      <c r="F5" s="1138"/>
      <c r="G5" s="1138"/>
      <c r="H5" s="1138"/>
      <c r="I5" s="1138"/>
    </row>
    <row r="6" spans="2:9" ht="15.75">
      <c r="B6" s="655"/>
      <c r="C6" s="654"/>
      <c r="D6" s="654"/>
      <c r="E6" s="654"/>
      <c r="F6" s="654"/>
      <c r="G6" s="654"/>
      <c r="H6" s="654"/>
      <c r="I6" s="654"/>
    </row>
    <row r="7" spans="2:9" ht="15.75">
      <c r="B7" s="655" t="str">
        <f>CONCATENATE("Library found in: ",inputPrYr!D3,"")</f>
        <v>Library found in: </v>
      </c>
      <c r="C7" s="654"/>
      <c r="D7" s="654"/>
      <c r="E7" s="654"/>
      <c r="F7" s="654"/>
      <c r="G7" s="654"/>
      <c r="H7" s="654"/>
      <c r="I7" s="654"/>
    </row>
    <row r="8" spans="2:9" ht="15.75">
      <c r="B8" s="655">
        <f>inputPrYr!D4</f>
        <v>0</v>
      </c>
      <c r="C8" s="654"/>
      <c r="D8" s="654"/>
      <c r="E8" s="654"/>
      <c r="F8" s="654"/>
      <c r="G8" s="654"/>
      <c r="H8" s="654"/>
      <c r="I8" s="654"/>
    </row>
    <row r="9" spans="2:9" ht="15.75">
      <c r="B9" s="654"/>
      <c r="C9" s="654"/>
      <c r="D9" s="654"/>
      <c r="E9" s="654"/>
      <c r="F9" s="654"/>
      <c r="G9" s="654"/>
      <c r="H9" s="654"/>
      <c r="I9" s="654"/>
    </row>
    <row r="10" spans="2:9" ht="39" customHeight="1">
      <c r="B10" s="1139" t="s">
        <v>808</v>
      </c>
      <c r="C10" s="1139"/>
      <c r="D10" s="1139"/>
      <c r="E10" s="1139"/>
      <c r="F10" s="1139"/>
      <c r="G10" s="1139"/>
      <c r="H10" s="1139"/>
      <c r="I10" s="1139"/>
    </row>
    <row r="11" spans="2:9" ht="15.75">
      <c r="B11" s="654"/>
      <c r="C11" s="654"/>
      <c r="D11" s="654"/>
      <c r="E11" s="654"/>
      <c r="F11" s="654"/>
      <c r="G11" s="654"/>
      <c r="H11" s="654"/>
      <c r="I11" s="654"/>
    </row>
    <row r="12" spans="2:9" ht="15.75">
      <c r="B12" s="656" t="s">
        <v>809</v>
      </c>
      <c r="C12" s="654"/>
      <c r="D12" s="654"/>
      <c r="E12" s="654"/>
      <c r="F12" s="654"/>
      <c r="G12" s="654"/>
      <c r="H12" s="654"/>
      <c r="I12" s="654"/>
    </row>
    <row r="13" spans="2:9" ht="15.75">
      <c r="B13" s="654"/>
      <c r="C13" s="654"/>
      <c r="D13" s="654"/>
      <c r="E13" s="657" t="s">
        <v>810</v>
      </c>
      <c r="F13" s="654"/>
      <c r="G13" s="657" t="s">
        <v>811</v>
      </c>
      <c r="H13" s="654"/>
      <c r="I13" s="654"/>
    </row>
    <row r="14" spans="2:9" ht="15.75">
      <c r="B14" s="654"/>
      <c r="C14" s="654"/>
      <c r="D14" s="654"/>
      <c r="E14" s="658">
        <f>inputPrYr!C6-1</f>
        <v>-1</v>
      </c>
      <c r="F14" s="654"/>
      <c r="G14" s="658">
        <f>inputPrYr!C6</f>
        <v>0</v>
      </c>
      <c r="H14" s="654"/>
      <c r="I14" s="654"/>
    </row>
    <row r="15" spans="2:9" ht="15.75">
      <c r="B15" s="655" t="str">
        <f>'Library-Rec'!B8</f>
        <v>Ad Valorem Tax</v>
      </c>
      <c r="C15" s="654"/>
      <c r="D15" s="654"/>
      <c r="E15" s="659">
        <f>'Library-Rec'!D8</f>
        <v>0</v>
      </c>
      <c r="F15" s="654"/>
      <c r="G15" s="659">
        <f>'Library-Rec'!E40</f>
        <v>0</v>
      </c>
      <c r="H15" s="654"/>
      <c r="I15" s="654"/>
    </row>
    <row r="16" spans="2:9" ht="15.75">
      <c r="B16" s="655" t="str">
        <f>'Library-Rec'!B9</f>
        <v>Delinquent Tax</v>
      </c>
      <c r="C16" s="654"/>
      <c r="D16" s="654"/>
      <c r="E16" s="659">
        <f>'Library-Rec'!D9</f>
        <v>0</v>
      </c>
      <c r="F16" s="654"/>
      <c r="G16" s="659">
        <f>'Library-Rec'!E9</f>
        <v>0</v>
      </c>
      <c r="H16" s="654"/>
      <c r="I16" s="654"/>
    </row>
    <row r="17" spans="2:9" ht="15.75">
      <c r="B17" s="655" t="str">
        <f>'Library-Rec'!B10</f>
        <v>Motor Vehicle Tax</v>
      </c>
      <c r="C17" s="654"/>
      <c r="D17" s="654"/>
      <c r="E17" s="659">
        <f>'Library-Rec'!D10</f>
        <v>0</v>
      </c>
      <c r="F17" s="654"/>
      <c r="G17" s="659" t="str">
        <f>'Library-Rec'!E10</f>
        <v>  </v>
      </c>
      <c r="H17" s="654"/>
      <c r="I17" s="654"/>
    </row>
    <row r="18" spans="2:9" ht="15.75">
      <c r="B18" s="655" t="str">
        <f>'Library-Rec'!B11</f>
        <v>Recreational Vehicle Tax</v>
      </c>
      <c r="C18" s="654"/>
      <c r="D18" s="654"/>
      <c r="E18" s="659">
        <f>'Library-Rec'!D11</f>
        <v>0</v>
      </c>
      <c r="F18" s="654"/>
      <c r="G18" s="659" t="str">
        <f>'Library-Rec'!E11</f>
        <v> </v>
      </c>
      <c r="H18" s="654"/>
      <c r="I18" s="654"/>
    </row>
    <row r="19" spans="2:9" ht="15.75">
      <c r="B19" s="655" t="str">
        <f>'Library-Rec'!B12</f>
        <v>16/20M Vehicle Tax</v>
      </c>
      <c r="C19" s="654"/>
      <c r="D19" s="654"/>
      <c r="E19" s="659">
        <f>'Library-Rec'!D12</f>
        <v>0</v>
      </c>
      <c r="F19" s="654"/>
      <c r="G19" s="659" t="str">
        <f>'Library-Rec'!E12</f>
        <v> </v>
      </c>
      <c r="H19" s="654"/>
      <c r="I19" s="654"/>
    </row>
    <row r="20" spans="2:9" ht="15.75">
      <c r="B20" s="654" t="s">
        <v>241</v>
      </c>
      <c r="C20" s="654"/>
      <c r="D20" s="654"/>
      <c r="E20" s="659">
        <v>0</v>
      </c>
      <c r="F20" s="654"/>
      <c r="G20" s="659">
        <v>0</v>
      </c>
      <c r="H20" s="654"/>
      <c r="I20" s="654"/>
    </row>
    <row r="21" spans="2:9" ht="15.75">
      <c r="B21" s="654"/>
      <c r="C21" s="654"/>
      <c r="D21" s="654"/>
      <c r="E21" s="659">
        <v>0</v>
      </c>
      <c r="F21" s="654"/>
      <c r="G21" s="659">
        <v>0</v>
      </c>
      <c r="H21" s="654"/>
      <c r="I21" s="654"/>
    </row>
    <row r="22" spans="2:9" ht="15.75">
      <c r="B22" s="654" t="s">
        <v>812</v>
      </c>
      <c r="C22" s="654"/>
      <c r="D22" s="654"/>
      <c r="E22" s="660">
        <f>SUM(E15:E21)</f>
        <v>0</v>
      </c>
      <c r="F22" s="654"/>
      <c r="G22" s="660">
        <f>SUM(G15:G21)</f>
        <v>0</v>
      </c>
      <c r="H22" s="654"/>
      <c r="I22" s="654"/>
    </row>
    <row r="23" spans="2:9" ht="15.75">
      <c r="B23" s="654" t="s">
        <v>813</v>
      </c>
      <c r="C23" s="654"/>
      <c r="D23" s="654"/>
      <c r="E23" s="661">
        <f>G22-E22</f>
        <v>0</v>
      </c>
      <c r="F23" s="654"/>
      <c r="G23" s="662"/>
      <c r="H23" s="654"/>
      <c r="I23" s="654"/>
    </row>
    <row r="24" spans="2:9" ht="15.75">
      <c r="B24" s="654" t="s">
        <v>814</v>
      </c>
      <c r="C24" s="654"/>
      <c r="D24" s="663" t="str">
        <f>IF((G22-E22)&gt;=0,"Qualify","Not Qualify")</f>
        <v>Qualify</v>
      </c>
      <c r="E24" s="654"/>
      <c r="F24" s="654"/>
      <c r="G24" s="654"/>
      <c r="H24" s="654"/>
      <c r="I24" s="654"/>
    </row>
    <row r="25" spans="2:9" ht="15.75">
      <c r="B25" s="654"/>
      <c r="C25" s="654"/>
      <c r="D25" s="654"/>
      <c r="E25" s="654"/>
      <c r="F25" s="654"/>
      <c r="G25" s="654"/>
      <c r="H25" s="654"/>
      <c r="I25" s="654"/>
    </row>
    <row r="26" spans="2:9" ht="15.75">
      <c r="B26" s="656" t="s">
        <v>815</v>
      </c>
      <c r="C26" s="654"/>
      <c r="D26" s="654"/>
      <c r="E26" s="654"/>
      <c r="F26" s="654"/>
      <c r="G26" s="654"/>
      <c r="H26" s="654"/>
      <c r="I26" s="654"/>
    </row>
    <row r="27" spans="2:9" ht="15.75">
      <c r="B27" s="654" t="s">
        <v>816</v>
      </c>
      <c r="C27" s="654"/>
      <c r="D27" s="654"/>
      <c r="E27" s="659">
        <f>summ!D59</f>
        <v>0</v>
      </c>
      <c r="F27" s="654"/>
      <c r="G27" s="659">
        <f>summ!F59</f>
        <v>0</v>
      </c>
      <c r="H27" s="654"/>
      <c r="I27" s="654"/>
    </row>
    <row r="28" spans="2:9" ht="15.75">
      <c r="B28" s="654" t="s">
        <v>817</v>
      </c>
      <c r="C28" s="654"/>
      <c r="D28" s="654"/>
      <c r="E28" s="664" t="str">
        <f>IF(G27-E27&gt;=0,"No","Yes")</f>
        <v>No</v>
      </c>
      <c r="F28" s="654"/>
      <c r="G28" s="654"/>
      <c r="H28" s="654"/>
      <c r="I28" s="654"/>
    </row>
    <row r="29" spans="2:9" ht="15.75">
      <c r="B29" s="654" t="s">
        <v>818</v>
      </c>
      <c r="C29" s="654"/>
      <c r="D29" s="654"/>
      <c r="E29" s="657" t="str">
        <f>summ!E17</f>
        <v>  </v>
      </c>
      <c r="F29" s="654"/>
      <c r="G29" s="665">
        <f>summ!H17</f>
      </c>
      <c r="H29" s="654"/>
      <c r="I29" s="654"/>
    </row>
    <row r="30" spans="2:9" ht="15.75">
      <c r="B30" s="654" t="s">
        <v>819</v>
      </c>
      <c r="C30" s="654"/>
      <c r="D30" s="654"/>
      <c r="E30" s="666" t="e">
        <f>G29-E29</f>
        <v>#VALUE!</v>
      </c>
      <c r="F30" s="654"/>
      <c r="G30" s="654"/>
      <c r="H30" s="654"/>
      <c r="I30" s="654"/>
    </row>
    <row r="31" spans="2:9" ht="15.75">
      <c r="B31" s="654" t="s">
        <v>814</v>
      </c>
      <c r="C31" s="654"/>
      <c r="D31" s="667" t="e">
        <f>IF(E30&gt;=0,"Qualify","Not Qualify")</f>
        <v>#VALUE!</v>
      </c>
      <c r="E31" s="654"/>
      <c r="F31" s="654"/>
      <c r="G31" s="654"/>
      <c r="H31" s="654"/>
      <c r="I31" s="654"/>
    </row>
    <row r="32" spans="2:9" ht="15.75">
      <c r="B32" s="654"/>
      <c r="C32" s="654"/>
      <c r="D32" s="654"/>
      <c r="E32" s="654"/>
      <c r="F32" s="654"/>
      <c r="G32" s="654"/>
      <c r="H32" s="654"/>
      <c r="I32" s="654"/>
    </row>
    <row r="33" spans="2:9" ht="15.75">
      <c r="B33" s="654" t="s">
        <v>820</v>
      </c>
      <c r="C33" s="654"/>
      <c r="D33" s="654"/>
      <c r="E33" s="654"/>
      <c r="F33" s="668" t="str">
        <f>IF(D24="Not Qualify",IF(D31="Not Qualify",IF(D31="Not Qualify","Not Qualify","Qualify"),"Qualify"),"Qualify")</f>
        <v>Qualify</v>
      </c>
      <c r="G33" s="654"/>
      <c r="H33" s="654"/>
      <c r="I33" s="654"/>
    </row>
    <row r="34" spans="2:9" ht="15.75">
      <c r="B34" s="654"/>
      <c r="C34" s="654"/>
      <c r="D34" s="654"/>
      <c r="E34" s="654"/>
      <c r="F34" s="654"/>
      <c r="G34" s="654"/>
      <c r="H34" s="654"/>
      <c r="I34" s="654"/>
    </row>
    <row r="35" spans="2:9" ht="15.75">
      <c r="B35" s="654"/>
      <c r="C35" s="654"/>
      <c r="D35" s="654"/>
      <c r="E35" s="654"/>
      <c r="F35" s="654"/>
      <c r="G35" s="654"/>
      <c r="H35" s="654"/>
      <c r="I35" s="654"/>
    </row>
    <row r="36" spans="2:9" ht="37.5" customHeight="1">
      <c r="B36" s="1139" t="s">
        <v>821</v>
      </c>
      <c r="C36" s="1139"/>
      <c r="D36" s="1139"/>
      <c r="E36" s="1139"/>
      <c r="F36" s="1139"/>
      <c r="G36" s="1139"/>
      <c r="H36" s="1139"/>
      <c r="I36" s="1139"/>
    </row>
    <row r="37" spans="2:9" ht="15.75">
      <c r="B37" s="654"/>
      <c r="C37" s="654"/>
      <c r="D37" s="654"/>
      <c r="E37" s="654"/>
      <c r="F37" s="654"/>
      <c r="G37" s="654"/>
      <c r="H37" s="654"/>
      <c r="I37" s="654"/>
    </row>
    <row r="38" spans="2:9" ht="15.75">
      <c r="B38" s="654"/>
      <c r="C38" s="654"/>
      <c r="D38" s="654"/>
      <c r="E38" s="654"/>
      <c r="F38" s="654"/>
      <c r="G38" s="654"/>
      <c r="H38" s="654"/>
      <c r="I38" s="654"/>
    </row>
    <row r="39" spans="2:9" ht="15.75">
      <c r="B39" s="654"/>
      <c r="C39" s="654"/>
      <c r="D39" s="654"/>
      <c r="E39" s="654"/>
      <c r="F39" s="654"/>
      <c r="G39" s="654"/>
      <c r="H39" s="654"/>
      <c r="I39" s="654"/>
    </row>
    <row r="40" spans="2:9" ht="15.75">
      <c r="B40" s="654"/>
      <c r="C40" s="654"/>
      <c r="D40" s="654"/>
      <c r="E40" s="669" t="s">
        <v>112</v>
      </c>
      <c r="F40" s="670">
        <v>7</v>
      </c>
      <c r="G40" s="654"/>
      <c r="H40" s="654"/>
      <c r="I40" s="654"/>
    </row>
    <row r="41" spans="2:9" ht="15.75">
      <c r="B41" s="654"/>
      <c r="C41" s="654"/>
      <c r="D41" s="654"/>
      <c r="E41" s="654"/>
      <c r="F41" s="654"/>
      <c r="G41" s="654"/>
      <c r="H41" s="654"/>
      <c r="I41" s="654"/>
    </row>
    <row r="42" spans="2:9" ht="15.75">
      <c r="B42" s="654"/>
      <c r="C42" s="654"/>
      <c r="D42" s="654"/>
      <c r="E42" s="654"/>
      <c r="F42" s="654"/>
      <c r="G42" s="654"/>
      <c r="H42" s="654"/>
      <c r="I42" s="654"/>
    </row>
    <row r="43" spans="2:9" ht="15.75">
      <c r="B43" s="1140" t="s">
        <v>822</v>
      </c>
      <c r="C43" s="1141"/>
      <c r="D43" s="1141"/>
      <c r="E43" s="1141"/>
      <c r="F43" s="1141"/>
      <c r="G43" s="1141"/>
      <c r="H43" s="1141"/>
      <c r="I43" s="1141"/>
    </row>
    <row r="44" spans="2:9" ht="15.75">
      <c r="B44" s="654"/>
      <c r="C44" s="654"/>
      <c r="D44" s="654"/>
      <c r="E44" s="654"/>
      <c r="F44" s="654"/>
      <c r="G44" s="654"/>
      <c r="H44" s="654"/>
      <c r="I44" s="654"/>
    </row>
    <row r="45" spans="2:9" ht="15.75">
      <c r="B45" s="671" t="s">
        <v>823</v>
      </c>
      <c r="C45" s="654"/>
      <c r="D45" s="654"/>
      <c r="E45" s="654"/>
      <c r="F45" s="654"/>
      <c r="G45" s="654"/>
      <c r="H45" s="654"/>
      <c r="I45" s="654"/>
    </row>
    <row r="46" spans="2:9" ht="15.75">
      <c r="B46" s="671" t="str">
        <f>CONCATENATE("sources in your ",G14," library fund is not equal to or greater than the amount from the same")</f>
        <v>sources in your 0 library fund is not equal to or greater than the amount from the same</v>
      </c>
      <c r="C46" s="654"/>
      <c r="D46" s="654"/>
      <c r="E46" s="654"/>
      <c r="F46" s="654"/>
      <c r="G46" s="654"/>
      <c r="H46" s="654"/>
      <c r="I46" s="654"/>
    </row>
    <row r="47" spans="2:9" ht="15.75">
      <c r="B47" s="671" t="str">
        <f>CONCATENATE("sources in ",E14,".")</f>
        <v>sources in -1.</v>
      </c>
      <c r="C47" s="652"/>
      <c r="D47" s="652"/>
      <c r="E47" s="652"/>
      <c r="F47" s="652"/>
      <c r="G47" s="652"/>
      <c r="H47" s="652"/>
      <c r="I47" s="652"/>
    </row>
    <row r="48" spans="2:9" ht="15.75">
      <c r="B48" s="652"/>
      <c r="C48" s="652"/>
      <c r="D48" s="652"/>
      <c r="E48" s="652"/>
      <c r="F48" s="652"/>
      <c r="G48" s="652"/>
      <c r="H48" s="652"/>
      <c r="I48" s="652"/>
    </row>
    <row r="49" spans="2:9" ht="15.75">
      <c r="B49" s="671" t="s">
        <v>824</v>
      </c>
      <c r="C49" s="671"/>
      <c r="D49" s="672"/>
      <c r="E49" s="672"/>
      <c r="F49" s="672"/>
      <c r="G49" s="672"/>
      <c r="H49" s="672"/>
      <c r="I49" s="672"/>
    </row>
    <row r="50" spans="2:9" ht="15.75">
      <c r="B50" s="671" t="s">
        <v>825</v>
      </c>
      <c r="C50" s="671"/>
      <c r="D50" s="672"/>
      <c r="E50" s="672"/>
      <c r="F50" s="672"/>
      <c r="G50" s="672"/>
      <c r="H50" s="672"/>
      <c r="I50" s="672"/>
    </row>
    <row r="51" spans="2:9" ht="15.75">
      <c r="B51" s="671" t="s">
        <v>826</v>
      </c>
      <c r="C51" s="671"/>
      <c r="D51" s="672"/>
      <c r="E51" s="672"/>
      <c r="F51" s="672"/>
      <c r="G51" s="672"/>
      <c r="H51" s="672"/>
      <c r="I51" s="672"/>
    </row>
    <row r="52" spans="2:9" ht="15">
      <c r="B52" s="672"/>
      <c r="C52" s="672"/>
      <c r="D52" s="672"/>
      <c r="E52" s="672"/>
      <c r="F52" s="672"/>
      <c r="G52" s="672"/>
      <c r="H52" s="672"/>
      <c r="I52" s="672"/>
    </row>
    <row r="53" spans="2:9" ht="15.75">
      <c r="B53" s="673" t="s">
        <v>827</v>
      </c>
      <c r="C53" s="672"/>
      <c r="D53" s="672"/>
      <c r="E53" s="672"/>
      <c r="F53" s="672"/>
      <c r="G53" s="672"/>
      <c r="H53" s="672"/>
      <c r="I53" s="672"/>
    </row>
    <row r="54" spans="2:9" ht="15">
      <c r="B54" s="672"/>
      <c r="C54" s="672"/>
      <c r="D54" s="672"/>
      <c r="E54" s="672"/>
      <c r="F54" s="672"/>
      <c r="G54" s="672"/>
      <c r="H54" s="672"/>
      <c r="I54" s="672"/>
    </row>
    <row r="55" spans="2:9" ht="15.75">
      <c r="B55" s="671" t="s">
        <v>828</v>
      </c>
      <c r="C55" s="672"/>
      <c r="D55" s="672"/>
      <c r="E55" s="672"/>
      <c r="F55" s="672"/>
      <c r="G55" s="672"/>
      <c r="H55" s="672"/>
      <c r="I55" s="672"/>
    </row>
    <row r="56" spans="2:9" ht="15.75">
      <c r="B56" s="671" t="s">
        <v>829</v>
      </c>
      <c r="C56" s="672"/>
      <c r="D56" s="672"/>
      <c r="E56" s="672"/>
      <c r="F56" s="672"/>
      <c r="G56" s="672"/>
      <c r="H56" s="672"/>
      <c r="I56" s="672"/>
    </row>
    <row r="57" spans="2:9" ht="15">
      <c r="B57" s="672"/>
      <c r="C57" s="672"/>
      <c r="D57" s="672"/>
      <c r="E57" s="672"/>
      <c r="F57" s="672"/>
      <c r="G57" s="672"/>
      <c r="H57" s="672"/>
      <c r="I57" s="672"/>
    </row>
    <row r="58" spans="2:9" ht="15.75">
      <c r="B58" s="673" t="s">
        <v>830</v>
      </c>
      <c r="C58" s="671"/>
      <c r="D58" s="671"/>
      <c r="E58" s="671"/>
      <c r="F58" s="671"/>
      <c r="G58" s="672"/>
      <c r="H58" s="672"/>
      <c r="I58" s="672"/>
    </row>
    <row r="59" spans="2:9" ht="15.75">
      <c r="B59" s="671"/>
      <c r="C59" s="671"/>
      <c r="D59" s="671"/>
      <c r="E59" s="671"/>
      <c r="F59" s="671"/>
      <c r="G59" s="672"/>
      <c r="H59" s="672"/>
      <c r="I59" s="672"/>
    </row>
    <row r="60" spans="2:9" ht="15.75">
      <c r="B60" s="671" t="s">
        <v>831</v>
      </c>
      <c r="C60" s="671"/>
      <c r="D60" s="671"/>
      <c r="E60" s="671"/>
      <c r="F60" s="671"/>
      <c r="G60" s="672"/>
      <c r="H60" s="672"/>
      <c r="I60" s="672"/>
    </row>
    <row r="61" spans="2:9" ht="15.75">
      <c r="B61" s="671" t="s">
        <v>832</v>
      </c>
      <c r="C61" s="671"/>
      <c r="D61" s="671"/>
      <c r="E61" s="671"/>
      <c r="F61" s="671"/>
      <c r="G61" s="672"/>
      <c r="H61" s="672"/>
      <c r="I61" s="672"/>
    </row>
    <row r="62" spans="2:9" ht="15.75">
      <c r="B62" s="671" t="s">
        <v>833</v>
      </c>
      <c r="C62" s="671"/>
      <c r="D62" s="671"/>
      <c r="E62" s="671"/>
      <c r="F62" s="671"/>
      <c r="G62" s="672"/>
      <c r="H62" s="672"/>
      <c r="I62" s="672"/>
    </row>
    <row r="63" spans="2:9" ht="15.75">
      <c r="B63" s="671" t="s">
        <v>834</v>
      </c>
      <c r="C63" s="671"/>
      <c r="D63" s="671"/>
      <c r="E63" s="671"/>
      <c r="F63" s="671"/>
      <c r="G63" s="672"/>
      <c r="H63" s="672"/>
      <c r="I63" s="672"/>
    </row>
    <row r="64" spans="2:9" ht="15">
      <c r="B64" s="674"/>
      <c r="C64" s="674"/>
      <c r="D64" s="674"/>
      <c r="E64" s="674"/>
      <c r="F64" s="674"/>
      <c r="G64" s="672"/>
      <c r="H64" s="672"/>
      <c r="I64" s="672"/>
    </row>
    <row r="65" spans="2:9" ht="15.75">
      <c r="B65" s="671" t="s">
        <v>835</v>
      </c>
      <c r="C65" s="674"/>
      <c r="D65" s="674"/>
      <c r="E65" s="674"/>
      <c r="F65" s="674"/>
      <c r="G65" s="672"/>
      <c r="H65" s="672"/>
      <c r="I65" s="672"/>
    </row>
    <row r="66" spans="2:9" ht="15.75">
      <c r="B66" s="671" t="s">
        <v>836</v>
      </c>
      <c r="C66" s="674"/>
      <c r="D66" s="674"/>
      <c r="E66" s="674"/>
      <c r="F66" s="674"/>
      <c r="G66" s="672"/>
      <c r="H66" s="672"/>
      <c r="I66" s="672"/>
    </row>
    <row r="67" spans="2:9" ht="15">
      <c r="B67" s="674"/>
      <c r="C67" s="674"/>
      <c r="D67" s="674"/>
      <c r="E67" s="674"/>
      <c r="F67" s="674"/>
      <c r="G67" s="672"/>
      <c r="H67" s="672"/>
      <c r="I67" s="672"/>
    </row>
    <row r="68" spans="2:9" ht="15.75">
      <c r="B68" s="671" t="s">
        <v>837</v>
      </c>
      <c r="C68" s="674"/>
      <c r="D68" s="674"/>
      <c r="E68" s="674"/>
      <c r="F68" s="674"/>
      <c r="G68" s="672"/>
      <c r="H68" s="672"/>
      <c r="I68" s="672"/>
    </row>
    <row r="69" spans="2:9" ht="15.75">
      <c r="B69" s="671" t="s">
        <v>838</v>
      </c>
      <c r="C69" s="674"/>
      <c r="D69" s="674"/>
      <c r="E69" s="674"/>
      <c r="F69" s="674"/>
      <c r="G69" s="672"/>
      <c r="H69" s="672"/>
      <c r="I69" s="672"/>
    </row>
    <row r="70" spans="2:9" ht="15">
      <c r="B70" s="674"/>
      <c r="C70" s="674"/>
      <c r="D70" s="674"/>
      <c r="E70" s="674"/>
      <c r="F70" s="674"/>
      <c r="G70" s="672"/>
      <c r="H70" s="672"/>
      <c r="I70" s="672"/>
    </row>
    <row r="71" spans="2:9" ht="15.75">
      <c r="B71" s="673" t="s">
        <v>839</v>
      </c>
      <c r="C71" s="674"/>
      <c r="D71" s="674"/>
      <c r="E71" s="674"/>
      <c r="F71" s="674"/>
      <c r="G71" s="672"/>
      <c r="H71" s="672"/>
      <c r="I71" s="672"/>
    </row>
    <row r="72" spans="2:9" ht="15">
      <c r="B72" s="674"/>
      <c r="C72" s="674"/>
      <c r="D72" s="674"/>
      <c r="E72" s="674"/>
      <c r="F72" s="674"/>
      <c r="G72" s="672"/>
      <c r="H72" s="672"/>
      <c r="I72" s="672"/>
    </row>
    <row r="73" spans="2:9" ht="15.75">
      <c r="B73" s="671" t="s">
        <v>840</v>
      </c>
      <c r="C73" s="674"/>
      <c r="D73" s="674"/>
      <c r="E73" s="674"/>
      <c r="F73" s="674"/>
      <c r="G73" s="672"/>
      <c r="H73" s="672"/>
      <c r="I73" s="672"/>
    </row>
    <row r="74" spans="2:9" ht="15.75">
      <c r="B74" s="671" t="s">
        <v>841</v>
      </c>
      <c r="C74" s="674"/>
      <c r="D74" s="674"/>
      <c r="E74" s="674"/>
      <c r="F74" s="674"/>
      <c r="G74" s="672"/>
      <c r="H74" s="672"/>
      <c r="I74" s="672"/>
    </row>
    <row r="75" spans="2:9" ht="15">
      <c r="B75" s="674"/>
      <c r="C75" s="674"/>
      <c r="D75" s="674"/>
      <c r="E75" s="674"/>
      <c r="F75" s="674"/>
      <c r="G75" s="672"/>
      <c r="H75" s="672"/>
      <c r="I75" s="672"/>
    </row>
    <row r="76" spans="2:9" ht="15.75">
      <c r="B76" s="673" t="s">
        <v>842</v>
      </c>
      <c r="C76" s="674"/>
      <c r="D76" s="674"/>
      <c r="E76" s="674"/>
      <c r="F76" s="674"/>
      <c r="G76" s="672"/>
      <c r="H76" s="672"/>
      <c r="I76" s="672"/>
    </row>
    <row r="77" spans="2:9" ht="15">
      <c r="B77" s="674"/>
      <c r="C77" s="674"/>
      <c r="D77" s="674"/>
      <c r="E77" s="674"/>
      <c r="F77" s="674"/>
      <c r="G77" s="672"/>
      <c r="H77" s="672"/>
      <c r="I77" s="672"/>
    </row>
    <row r="78" spans="2:9" ht="15.75">
      <c r="B78" s="671" t="str">
        <f>CONCATENATE("If the ",G14," municipal budget has not been published and has not been submitted to the County")</f>
        <v>If the 0 municipal budget has not been published and has not been submitted to the County</v>
      </c>
      <c r="C78" s="674"/>
      <c r="D78" s="674"/>
      <c r="E78" s="674"/>
      <c r="F78" s="674"/>
      <c r="G78" s="672"/>
      <c r="H78" s="672"/>
      <c r="I78" s="672"/>
    </row>
    <row r="79" spans="2:9" ht="15.75">
      <c r="B79" s="671" t="s">
        <v>843</v>
      </c>
      <c r="C79" s="674"/>
      <c r="D79" s="674"/>
      <c r="E79" s="674"/>
      <c r="F79" s="674"/>
      <c r="G79" s="672"/>
      <c r="H79" s="672"/>
      <c r="I79" s="672"/>
    </row>
    <row r="80" spans="2:9" ht="15">
      <c r="B80" s="674"/>
      <c r="C80" s="674"/>
      <c r="D80" s="674"/>
      <c r="E80" s="674"/>
      <c r="F80" s="674"/>
      <c r="G80" s="672"/>
      <c r="H80" s="672"/>
      <c r="I80" s="672"/>
    </row>
    <row r="81" spans="2:9" ht="15.75">
      <c r="B81" s="673" t="s">
        <v>404</v>
      </c>
      <c r="C81" s="674"/>
      <c r="D81" s="674"/>
      <c r="E81" s="674"/>
      <c r="F81" s="674"/>
      <c r="G81" s="672"/>
      <c r="H81" s="672"/>
      <c r="I81" s="672"/>
    </row>
    <row r="82" spans="2:9" ht="15">
      <c r="B82" s="674"/>
      <c r="C82" s="674"/>
      <c r="D82" s="674"/>
      <c r="E82" s="674"/>
      <c r="F82" s="674"/>
      <c r="G82" s="672"/>
      <c r="H82" s="672"/>
      <c r="I82" s="672"/>
    </row>
    <row r="83" spans="2:9" ht="15.75">
      <c r="B83" s="671" t="s">
        <v>844</v>
      </c>
      <c r="C83" s="674"/>
      <c r="D83" s="674"/>
      <c r="E83" s="674"/>
      <c r="F83" s="674"/>
      <c r="G83" s="672"/>
      <c r="H83" s="672"/>
      <c r="I83" s="672"/>
    </row>
    <row r="84" spans="2:9" ht="15.75">
      <c r="B84" s="671" t="str">
        <f>CONCATENATE("Budget Year ",G14," is equal to or greater than that for Current Year Estimate ",E14,".")</f>
        <v>Budget Year 0 is equal to or greater than that for Current Year Estimate -1.</v>
      </c>
      <c r="C84" s="674"/>
      <c r="D84" s="674"/>
      <c r="E84" s="674"/>
      <c r="F84" s="674"/>
      <c r="G84" s="672"/>
      <c r="H84" s="672"/>
      <c r="I84" s="672"/>
    </row>
    <row r="85" spans="2:9" ht="15">
      <c r="B85" s="674"/>
      <c r="C85" s="674"/>
      <c r="D85" s="674"/>
      <c r="E85" s="674"/>
      <c r="F85" s="674"/>
      <c r="G85" s="672"/>
      <c r="H85" s="672"/>
      <c r="I85" s="672"/>
    </row>
    <row r="86" spans="2:9" ht="15.75">
      <c r="B86" s="671" t="s">
        <v>845</v>
      </c>
      <c r="C86" s="674"/>
      <c r="D86" s="674"/>
      <c r="E86" s="674"/>
      <c r="F86" s="674"/>
      <c r="G86" s="672"/>
      <c r="H86" s="672"/>
      <c r="I86" s="672"/>
    </row>
    <row r="87" spans="2:9" ht="15.75">
      <c r="B87" s="671" t="s">
        <v>846</v>
      </c>
      <c r="C87" s="674"/>
      <c r="D87" s="674"/>
      <c r="E87" s="674"/>
      <c r="F87" s="674"/>
      <c r="G87" s="672"/>
      <c r="H87" s="672"/>
      <c r="I87" s="672"/>
    </row>
    <row r="88" spans="2:9" ht="15.75">
      <c r="B88" s="671" t="s">
        <v>847</v>
      </c>
      <c r="C88" s="674"/>
      <c r="D88" s="674"/>
      <c r="E88" s="674"/>
      <c r="F88" s="674"/>
      <c r="G88" s="672"/>
      <c r="H88" s="672"/>
      <c r="I88" s="672"/>
    </row>
    <row r="89" spans="2:9" ht="15.75">
      <c r="B89" s="671" t="str">
        <f>CONCATENATE("purpose for the previous (",E14,") year.")</f>
        <v>purpose for the previous (-1) year.</v>
      </c>
      <c r="C89" s="674"/>
      <c r="D89" s="674"/>
      <c r="E89" s="674"/>
      <c r="F89" s="674"/>
      <c r="G89" s="672"/>
      <c r="H89" s="672"/>
      <c r="I89" s="672"/>
    </row>
    <row r="90" spans="2:9" ht="15">
      <c r="B90" s="674"/>
      <c r="C90" s="674"/>
      <c r="D90" s="674"/>
      <c r="E90" s="674"/>
      <c r="F90" s="674"/>
      <c r="G90" s="672"/>
      <c r="H90" s="672"/>
      <c r="I90" s="672"/>
    </row>
    <row r="91" spans="2:9" ht="15.75">
      <c r="B91" s="671" t="str">
        <f>CONCATENATE("Next, look to see if delinquent tax for ",G14," is budgeted. Often this line is budgeted at $0 or left")</f>
        <v>Next, look to see if delinquent tax for 0 is budgeted. Often this line is budgeted at $0 or left</v>
      </c>
      <c r="C91" s="674"/>
      <c r="D91" s="674"/>
      <c r="E91" s="674"/>
      <c r="F91" s="674"/>
      <c r="G91" s="672"/>
      <c r="H91" s="672"/>
      <c r="I91" s="672"/>
    </row>
    <row r="92" spans="2:9" ht="15.75">
      <c r="B92" s="671" t="s">
        <v>848</v>
      </c>
      <c r="C92" s="674"/>
      <c r="D92" s="674"/>
      <c r="E92" s="674"/>
      <c r="F92" s="674"/>
      <c r="G92" s="672"/>
      <c r="H92" s="672"/>
      <c r="I92" s="672"/>
    </row>
    <row r="93" spans="2:9" ht="15.75">
      <c r="B93" s="671" t="s">
        <v>849</v>
      </c>
      <c r="C93" s="674"/>
      <c r="D93" s="674"/>
      <c r="E93" s="674"/>
      <c r="F93" s="674"/>
      <c r="G93" s="672"/>
      <c r="H93" s="672"/>
      <c r="I93" s="672"/>
    </row>
    <row r="94" spans="2:9" ht="15.75">
      <c r="B94" s="671" t="s">
        <v>850</v>
      </c>
      <c r="C94" s="674"/>
      <c r="D94" s="674"/>
      <c r="E94" s="674"/>
      <c r="F94" s="674"/>
      <c r="G94" s="672"/>
      <c r="H94" s="672"/>
      <c r="I94" s="672"/>
    </row>
    <row r="95" spans="2:9" ht="15">
      <c r="B95" s="674"/>
      <c r="C95" s="674"/>
      <c r="D95" s="674"/>
      <c r="E95" s="674"/>
      <c r="F95" s="674"/>
      <c r="G95" s="672"/>
      <c r="H95" s="672"/>
      <c r="I95" s="672"/>
    </row>
    <row r="96" spans="2:9" ht="15.75">
      <c r="B96" s="673" t="s">
        <v>851</v>
      </c>
      <c r="C96" s="674"/>
      <c r="D96" s="674"/>
      <c r="E96" s="674"/>
      <c r="F96" s="674"/>
      <c r="G96" s="672"/>
      <c r="H96" s="672"/>
      <c r="I96" s="672"/>
    </row>
    <row r="97" spans="2:9" ht="15">
      <c r="B97" s="674"/>
      <c r="C97" s="674"/>
      <c r="D97" s="674"/>
      <c r="E97" s="674"/>
      <c r="F97" s="674"/>
      <c r="G97" s="672"/>
      <c r="H97" s="672"/>
      <c r="I97" s="672"/>
    </row>
    <row r="98" spans="2:9" ht="15.75">
      <c r="B98" s="671" t="s">
        <v>852</v>
      </c>
      <c r="C98" s="674"/>
      <c r="D98" s="674"/>
      <c r="E98" s="674"/>
      <c r="F98" s="674"/>
      <c r="G98" s="672"/>
      <c r="H98" s="672"/>
      <c r="I98" s="672"/>
    </row>
    <row r="99" spans="2:9" ht="15.75">
      <c r="B99" s="671" t="s">
        <v>853</v>
      </c>
      <c r="C99" s="674"/>
      <c r="D99" s="674"/>
      <c r="E99" s="674"/>
      <c r="F99" s="674"/>
      <c r="G99" s="672"/>
      <c r="H99" s="672"/>
      <c r="I99" s="672"/>
    </row>
    <row r="100" spans="2:9" ht="15">
      <c r="B100" s="674"/>
      <c r="C100" s="674"/>
      <c r="D100" s="674"/>
      <c r="E100" s="674"/>
      <c r="F100" s="674"/>
      <c r="G100" s="672"/>
      <c r="H100" s="672"/>
      <c r="I100" s="672"/>
    </row>
    <row r="101" spans="2:9" ht="15.75">
      <c r="B101" s="671" t="s">
        <v>854</v>
      </c>
      <c r="C101" s="674"/>
      <c r="D101" s="674"/>
      <c r="E101" s="674"/>
      <c r="F101" s="674"/>
      <c r="G101" s="672"/>
      <c r="H101" s="672"/>
      <c r="I101" s="672"/>
    </row>
    <row r="102" spans="2:9" ht="15.75">
      <c r="B102" s="671" t="s">
        <v>855</v>
      </c>
      <c r="C102" s="674"/>
      <c r="D102" s="674"/>
      <c r="E102" s="674"/>
      <c r="F102" s="674"/>
      <c r="G102" s="672"/>
      <c r="H102" s="672"/>
      <c r="I102" s="672"/>
    </row>
    <row r="103" spans="2:9" ht="15.75">
      <c r="B103" s="671" t="s">
        <v>856</v>
      </c>
      <c r="C103" s="674"/>
      <c r="D103" s="674"/>
      <c r="E103" s="674"/>
      <c r="F103" s="674"/>
      <c r="G103" s="672"/>
      <c r="H103" s="672"/>
      <c r="I103" s="672"/>
    </row>
    <row r="104" spans="2:9" ht="15.75">
      <c r="B104" s="671" t="s">
        <v>857</v>
      </c>
      <c r="C104" s="674"/>
      <c r="D104" s="674"/>
      <c r="E104" s="674"/>
      <c r="F104" s="674"/>
      <c r="G104" s="672"/>
      <c r="H104" s="672"/>
      <c r="I104" s="672"/>
    </row>
    <row r="105" spans="2:9" ht="15.75">
      <c r="B105" s="823" t="s">
        <v>1035</v>
      </c>
      <c r="C105" s="824"/>
      <c r="D105" s="824"/>
      <c r="E105" s="824"/>
      <c r="F105" s="824"/>
      <c r="G105" s="672"/>
      <c r="H105" s="672"/>
      <c r="I105" s="672"/>
    </row>
    <row r="108" ht="15">
      <c r="G108" s="675"/>
    </row>
  </sheetData>
  <sheetProtection/>
  <mergeCells count="6">
    <mergeCell ref="B2:I2"/>
    <mergeCell ref="B3:I3"/>
    <mergeCell ref="B5:I5"/>
    <mergeCell ref="B10:I10"/>
    <mergeCell ref="B36:I36"/>
    <mergeCell ref="B43:I43"/>
  </mergeCells>
  <hyperlinks>
    <hyperlink ref="B105" r:id="rId1" display="megan.schulz@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B1:K136"/>
  <sheetViews>
    <sheetView zoomScaleSheetLayoutView="100" zoomScalePageLayoutView="0" workbookViewId="0" topLeftCell="A1">
      <selection activeCell="E146" sqref="E146"/>
    </sheetView>
  </sheetViews>
  <sheetFormatPr defaultColWidth="8.796875" defaultRowHeight="15"/>
  <cols>
    <col min="1" max="1" width="2.3984375" style="30" customWidth="1"/>
    <col min="2" max="2" width="31.09765625" style="30" customWidth="1"/>
    <col min="3" max="4" width="15.796875" style="30" customWidth="1"/>
    <col min="5" max="5" width="16.296875" style="30" customWidth="1"/>
    <col min="6" max="6" width="8.09765625" style="30" customWidth="1"/>
    <col min="7" max="7" width="10.19921875" style="30" customWidth="1"/>
    <col min="8" max="8" width="8.8984375" style="30" customWidth="1"/>
    <col min="9" max="9" width="5.69921875" style="30" customWidth="1"/>
    <col min="10" max="10" width="10" style="30" customWidth="1"/>
    <col min="11" max="16384" width="8.8984375" style="30" customWidth="1"/>
  </cols>
  <sheetData>
    <row r="1" spans="2:5" ht="15.75">
      <c r="B1" s="140">
        <f>inputPrYr!D3</f>
        <v>0</v>
      </c>
      <c r="C1" s="32"/>
      <c r="D1" s="32"/>
      <c r="E1" s="190">
        <f>inputPrYr!C6</f>
        <v>0</v>
      </c>
    </row>
    <row r="2" spans="2:5" ht="15.75">
      <c r="B2" s="32"/>
      <c r="C2" s="32"/>
      <c r="D2" s="32"/>
      <c r="E2" s="126"/>
    </row>
    <row r="3" spans="2:5" ht="15.75">
      <c r="B3" s="191"/>
      <c r="C3" s="32"/>
      <c r="D3" s="32"/>
      <c r="E3" s="94"/>
    </row>
    <row r="4" spans="2:5" ht="15.75">
      <c r="B4" s="336" t="s">
        <v>169</v>
      </c>
      <c r="C4" s="192"/>
      <c r="D4" s="192"/>
      <c r="E4" s="192"/>
    </row>
    <row r="5" spans="2:5" ht="15.75">
      <c r="B5" s="128" t="s">
        <v>101</v>
      </c>
      <c r="C5" s="193" t="s">
        <v>801</v>
      </c>
      <c r="D5" s="194" t="s">
        <v>802</v>
      </c>
      <c r="E5" s="102" t="s">
        <v>803</v>
      </c>
    </row>
    <row r="6" spans="2:5" ht="15.75">
      <c r="B6" s="488" t="str">
        <f>inputPrYr!B22</f>
        <v>General</v>
      </c>
      <c r="C6" s="322" t="str">
        <f>CONCATENATE("Actual for ",E1-2,"")</f>
        <v>Actual for -2</v>
      </c>
      <c r="D6" s="322" t="str">
        <f>CONCATENATE("Estimate for ",E1-1,"")</f>
        <v>Estimate for -1</v>
      </c>
      <c r="E6" s="195" t="str">
        <f>CONCATENATE("Year for ",E1,"")</f>
        <v>Year for 0</v>
      </c>
    </row>
    <row r="7" spans="2:5" ht="15.75">
      <c r="B7" s="196" t="s">
        <v>211</v>
      </c>
      <c r="C7" s="197"/>
      <c r="D7" s="199">
        <f>C111</f>
        <v>0</v>
      </c>
      <c r="E7" s="170">
        <f>D111</f>
        <v>0</v>
      </c>
    </row>
    <row r="8" spans="2:5" ht="15.75">
      <c r="B8" s="200" t="s">
        <v>213</v>
      </c>
      <c r="C8" s="117"/>
      <c r="D8" s="117"/>
      <c r="E8" s="58"/>
    </row>
    <row r="9" spans="2:5" ht="15.75">
      <c r="B9" s="196" t="s">
        <v>102</v>
      </c>
      <c r="C9" s="201"/>
      <c r="D9" s="199">
        <f>IF(inputPrYr!H21&gt;0,inputPrYr!G22,inputPrYr!E22)</f>
        <v>0</v>
      </c>
      <c r="E9" s="203" t="s">
        <v>91</v>
      </c>
    </row>
    <row r="10" spans="2:5" ht="15.75">
      <c r="B10" s="196" t="s">
        <v>103</v>
      </c>
      <c r="C10" s="201"/>
      <c r="D10" s="201"/>
      <c r="E10" s="204"/>
    </row>
    <row r="11" spans="2:5" ht="15.75">
      <c r="B11" s="196" t="s">
        <v>104</v>
      </c>
      <c r="C11" s="201"/>
      <c r="D11" s="201"/>
      <c r="E11" s="170">
        <f>mvalloc!D7</f>
        <v>0</v>
      </c>
    </row>
    <row r="12" spans="2:5" ht="15.75">
      <c r="B12" s="196" t="s">
        <v>105</v>
      </c>
      <c r="C12" s="201"/>
      <c r="D12" s="201"/>
      <c r="E12" s="170">
        <f>mvalloc!E7</f>
        <v>0</v>
      </c>
    </row>
    <row r="13" spans="2:5" ht="15.75">
      <c r="B13" s="196" t="s">
        <v>200</v>
      </c>
      <c r="C13" s="201"/>
      <c r="D13" s="201"/>
      <c r="E13" s="170">
        <f>mvalloc!F7</f>
        <v>0</v>
      </c>
    </row>
    <row r="14" spans="2:5" ht="15.75">
      <c r="B14" s="913" t="s">
        <v>1012</v>
      </c>
      <c r="C14" s="201"/>
      <c r="D14" s="201"/>
      <c r="E14" s="170">
        <f>mvalloc!G7</f>
        <v>0</v>
      </c>
    </row>
    <row r="15" spans="2:5" ht="15.75">
      <c r="B15" s="913" t="s">
        <v>1013</v>
      </c>
      <c r="C15" s="201"/>
      <c r="D15" s="201"/>
      <c r="E15" s="170">
        <f>mvalloc!H7</f>
        <v>0</v>
      </c>
    </row>
    <row r="16" spans="2:5" ht="15.75">
      <c r="B16" s="196" t="s">
        <v>201</v>
      </c>
      <c r="C16" s="201"/>
      <c r="D16" s="201"/>
      <c r="E16" s="170">
        <f>inputOth!E19</f>
        <v>0</v>
      </c>
    </row>
    <row r="17" spans="2:5" ht="15.75">
      <c r="B17" s="196" t="s">
        <v>241</v>
      </c>
      <c r="C17" s="201"/>
      <c r="D17" s="201"/>
      <c r="E17" s="170">
        <f>inputOth!E48</f>
        <v>0</v>
      </c>
    </row>
    <row r="18" spans="2:5" ht="15.75">
      <c r="B18" s="196" t="s">
        <v>242</v>
      </c>
      <c r="C18" s="201"/>
      <c r="D18" s="201"/>
      <c r="E18" s="170">
        <f>inputOth!E49</f>
        <v>0</v>
      </c>
    </row>
    <row r="19" spans="2:5" ht="15.75">
      <c r="B19" s="197"/>
      <c r="C19" s="201"/>
      <c r="D19" s="201"/>
      <c r="E19" s="204"/>
    </row>
    <row r="20" spans="2:5" ht="15.75">
      <c r="B20" s="197" t="s">
        <v>108</v>
      </c>
      <c r="C20" s="201"/>
      <c r="D20" s="201"/>
      <c r="E20" s="204"/>
    </row>
    <row r="21" spans="2:5" ht="15.75">
      <c r="B21" s="197" t="s">
        <v>106</v>
      </c>
      <c r="C21" s="201"/>
      <c r="D21" s="201"/>
      <c r="E21" s="204"/>
    </row>
    <row r="22" spans="2:5" ht="15.75">
      <c r="B22" s="490" t="s">
        <v>764</v>
      </c>
      <c r="C22" s="201"/>
      <c r="D22" s="201"/>
      <c r="E22" s="204"/>
    </row>
    <row r="23" spans="2:5" ht="15.75">
      <c r="B23" s="489" t="s">
        <v>765</v>
      </c>
      <c r="C23" s="201"/>
      <c r="D23" s="201"/>
      <c r="E23" s="204"/>
    </row>
    <row r="24" spans="2:5" ht="15.75">
      <c r="B24" s="489" t="s">
        <v>766</v>
      </c>
      <c r="C24" s="201"/>
      <c r="D24" s="201"/>
      <c r="E24" s="204"/>
    </row>
    <row r="25" spans="2:5" ht="15.75">
      <c r="B25" s="489" t="s">
        <v>767</v>
      </c>
      <c r="C25" s="201"/>
      <c r="D25" s="201"/>
      <c r="E25" s="204"/>
    </row>
    <row r="26" spans="2:5" ht="15.75">
      <c r="B26" s="197"/>
      <c r="C26" s="201"/>
      <c r="D26" s="201"/>
      <c r="E26" s="204"/>
    </row>
    <row r="27" spans="2:5" ht="15.75">
      <c r="B27" s="197"/>
      <c r="C27" s="201"/>
      <c r="D27" s="201"/>
      <c r="E27" s="204"/>
    </row>
    <row r="28" spans="2:5" ht="15.75">
      <c r="B28" s="197"/>
      <c r="C28" s="201"/>
      <c r="D28" s="201"/>
      <c r="E28" s="204"/>
    </row>
    <row r="29" spans="2:5" ht="15.75">
      <c r="B29" s="197"/>
      <c r="C29" s="201"/>
      <c r="D29" s="201"/>
      <c r="E29" s="204"/>
    </row>
    <row r="30" spans="2:5" ht="15.75">
      <c r="B30" s="197"/>
      <c r="C30" s="201"/>
      <c r="D30" s="201"/>
      <c r="E30" s="204"/>
    </row>
    <row r="31" spans="2:5" ht="15.75">
      <c r="B31" s="197"/>
      <c r="C31" s="201"/>
      <c r="D31" s="201"/>
      <c r="E31" s="204"/>
    </row>
    <row r="32" spans="2:5" ht="15.75">
      <c r="B32" s="197"/>
      <c r="C32" s="201"/>
      <c r="D32" s="201"/>
      <c r="E32" s="204"/>
    </row>
    <row r="33" spans="2:5" ht="15.75">
      <c r="B33" s="197"/>
      <c r="C33" s="201"/>
      <c r="D33" s="201"/>
      <c r="E33" s="204"/>
    </row>
    <row r="34" spans="2:5" ht="15.75">
      <c r="B34" s="197"/>
      <c r="C34" s="201"/>
      <c r="D34" s="201"/>
      <c r="E34" s="204"/>
    </row>
    <row r="35" spans="2:5" ht="15.75">
      <c r="B35" s="197"/>
      <c r="C35" s="201"/>
      <c r="D35" s="201"/>
      <c r="E35" s="204"/>
    </row>
    <row r="36" spans="2:5" ht="15.75">
      <c r="B36" s="197"/>
      <c r="C36" s="201"/>
      <c r="D36" s="201"/>
      <c r="E36" s="204"/>
    </row>
    <row r="37" spans="2:5" ht="15.75">
      <c r="B37" s="197"/>
      <c r="C37" s="201"/>
      <c r="D37" s="201"/>
      <c r="E37" s="204"/>
    </row>
    <row r="38" spans="2:5" ht="15.75">
      <c r="B38" s="197"/>
      <c r="C38" s="201"/>
      <c r="D38" s="201"/>
      <c r="E38" s="204"/>
    </row>
    <row r="39" spans="2:5" ht="15.75">
      <c r="B39" s="197"/>
      <c r="C39" s="201"/>
      <c r="D39" s="201"/>
      <c r="E39" s="204"/>
    </row>
    <row r="40" spans="2:5" ht="15.75">
      <c r="B40" s="197"/>
      <c r="C40" s="201"/>
      <c r="D40" s="201"/>
      <c r="E40" s="204"/>
    </row>
    <row r="41" spans="2:5" ht="15.75">
      <c r="B41" s="197"/>
      <c r="C41" s="201"/>
      <c r="D41" s="201"/>
      <c r="E41" s="204"/>
    </row>
    <row r="42" spans="2:5" ht="15.75">
      <c r="B42" s="197"/>
      <c r="C42" s="201"/>
      <c r="D42" s="201"/>
      <c r="E42" s="204"/>
    </row>
    <row r="43" spans="2:5" ht="15.75">
      <c r="B43" s="197"/>
      <c r="C43" s="201"/>
      <c r="D43" s="201"/>
      <c r="E43" s="204"/>
    </row>
    <row r="44" spans="2:5" ht="15.75">
      <c r="B44" s="197"/>
      <c r="C44" s="201"/>
      <c r="D44" s="201"/>
      <c r="E44" s="204"/>
    </row>
    <row r="45" spans="2:5" ht="15.75">
      <c r="B45" s="197"/>
      <c r="C45" s="201"/>
      <c r="D45" s="201"/>
      <c r="E45" s="204"/>
    </row>
    <row r="46" spans="2:5" ht="15.75">
      <c r="B46" s="197"/>
      <c r="C46" s="201"/>
      <c r="D46" s="201"/>
      <c r="E46" s="204"/>
    </row>
    <row r="47" spans="2:5" ht="15.75">
      <c r="B47" s="197"/>
      <c r="C47" s="201"/>
      <c r="D47" s="201"/>
      <c r="E47" s="204"/>
    </row>
    <row r="48" spans="2:5" ht="15.75">
      <c r="B48" s="197"/>
      <c r="C48" s="201"/>
      <c r="D48" s="201"/>
      <c r="E48" s="204"/>
    </row>
    <row r="49" spans="2:5" ht="15.75">
      <c r="B49" s="197"/>
      <c r="C49" s="201"/>
      <c r="D49" s="201"/>
      <c r="E49" s="204"/>
    </row>
    <row r="50" spans="2:5" ht="15.75">
      <c r="B50" s="197"/>
      <c r="C50" s="201"/>
      <c r="D50" s="201"/>
      <c r="E50" s="204"/>
    </row>
    <row r="51" spans="2:5" ht="15.75">
      <c r="B51" s="197"/>
      <c r="C51" s="201"/>
      <c r="D51" s="201"/>
      <c r="E51" s="204"/>
    </row>
    <row r="52" spans="2:5" ht="15.75">
      <c r="B52" s="197" t="s">
        <v>107</v>
      </c>
      <c r="C52" s="201"/>
      <c r="D52" s="201"/>
      <c r="E52" s="204"/>
    </row>
    <row r="53" spans="2:5" ht="15.75">
      <c r="B53" s="205" t="s">
        <v>109</v>
      </c>
      <c r="C53" s="201"/>
      <c r="D53" s="201"/>
      <c r="E53" s="204"/>
    </row>
    <row r="54" spans="2:5" ht="15.75">
      <c r="B54" s="218" t="s">
        <v>12</v>
      </c>
      <c r="C54" s="201"/>
      <c r="D54" s="201"/>
      <c r="E54" s="937">
        <f>nhood!E6*-1</f>
        <v>0</v>
      </c>
    </row>
    <row r="55" spans="2:5" ht="15.75">
      <c r="B55" s="117" t="s">
        <v>13</v>
      </c>
      <c r="C55" s="201"/>
      <c r="D55" s="201"/>
      <c r="E55" s="204"/>
    </row>
    <row r="56" spans="2:5" ht="15.75">
      <c r="B56" s="196" t="s">
        <v>780</v>
      </c>
      <c r="C56" s="206">
        <f>IF(C57*0.1&lt;C55,"Exceed 10% Rule","")</f>
      </c>
      <c r="D56" s="206">
        <f>IF(D57*0.1&lt;D55,"Exceed 10% Rule","")</f>
      </c>
      <c r="E56" s="243">
        <f>IF(E57*0.1+E117&lt;E55,"Exceed 10% Rule","")</f>
      </c>
    </row>
    <row r="57" spans="2:5" ht="15.75">
      <c r="B57" s="208" t="s">
        <v>110</v>
      </c>
      <c r="C57" s="210">
        <f>SUM(C9:C55)</f>
        <v>0</v>
      </c>
      <c r="D57" s="210">
        <f>SUM(D9:D55)</f>
        <v>0</v>
      </c>
      <c r="E57" s="211">
        <f>SUM(E10:E55)</f>
        <v>0</v>
      </c>
    </row>
    <row r="58" spans="2:5" ht="15.75">
      <c r="B58" s="208" t="s">
        <v>111</v>
      </c>
      <c r="C58" s="210">
        <f>C7+C57</f>
        <v>0</v>
      </c>
      <c r="D58" s="210">
        <f>D7+D57</f>
        <v>0</v>
      </c>
      <c r="E58" s="211">
        <f>E7+E57</f>
        <v>0</v>
      </c>
    </row>
    <row r="59" spans="2:5" ht="15.75">
      <c r="B59" s="32"/>
      <c r="C59" s="32"/>
      <c r="D59" s="32"/>
      <c r="E59" s="32"/>
    </row>
    <row r="60" spans="2:5" ht="15.75">
      <c r="B60" s="94" t="s">
        <v>120</v>
      </c>
      <c r="C60" s="128">
        <f>IF(inputPrYr!D24&gt;0,8,7)</f>
        <v>7</v>
      </c>
      <c r="D60" s="129"/>
      <c r="E60" s="129"/>
    </row>
    <row r="61" spans="2:5" ht="15.75">
      <c r="B61" s="129"/>
      <c r="C61" s="129"/>
      <c r="D61" s="129"/>
      <c r="E61" s="129"/>
    </row>
    <row r="62" spans="2:5" ht="15.75">
      <c r="B62" s="140">
        <f>inputPrYr!D3</f>
        <v>0</v>
      </c>
      <c r="C62" s="32"/>
      <c r="D62" s="32"/>
      <c r="E62" s="126"/>
    </row>
    <row r="63" spans="2:5" ht="15.75">
      <c r="B63" s="32"/>
      <c r="C63" s="32"/>
      <c r="D63" s="32"/>
      <c r="E63" s="94"/>
    </row>
    <row r="64" spans="2:5" ht="15.75">
      <c r="B64" s="212" t="s">
        <v>168</v>
      </c>
      <c r="C64" s="163"/>
      <c r="D64" s="163"/>
      <c r="E64" s="163"/>
    </row>
    <row r="65" spans="2:5" ht="15.75">
      <c r="B65" s="32" t="s">
        <v>101</v>
      </c>
      <c r="C65" s="193" t="s">
        <v>801</v>
      </c>
      <c r="D65" s="194" t="s">
        <v>810</v>
      </c>
      <c r="E65" s="102" t="s">
        <v>803</v>
      </c>
    </row>
    <row r="66" spans="2:5" ht="15.75">
      <c r="B66" s="53" t="str">
        <f>inputPrYr!B22</f>
        <v>General</v>
      </c>
      <c r="C66" s="322" t="str">
        <f>C6</f>
        <v>Actual for -2</v>
      </c>
      <c r="D66" s="322" t="str">
        <f>D6</f>
        <v>Estimate for -1</v>
      </c>
      <c r="E66" s="195" t="str">
        <f>E6</f>
        <v>Year for 0</v>
      </c>
    </row>
    <row r="67" spans="2:5" ht="15.75">
      <c r="B67" s="213" t="s">
        <v>111</v>
      </c>
      <c r="C67" s="199">
        <f>C58</f>
        <v>0</v>
      </c>
      <c r="D67" s="199">
        <f>D58</f>
        <v>0</v>
      </c>
      <c r="E67" s="170">
        <f>E58</f>
        <v>0</v>
      </c>
    </row>
    <row r="68" spans="2:6" ht="15.75">
      <c r="B68" s="200" t="s">
        <v>113</v>
      </c>
      <c r="C68" s="117"/>
      <c r="D68" s="117"/>
      <c r="E68" s="58"/>
      <c r="F68" s="215"/>
    </row>
    <row r="69" spans="2:6" ht="15.75">
      <c r="B69" s="196">
        <f>GenDetail!A7</f>
        <v>0</v>
      </c>
      <c r="C69" s="214">
        <f>GenDetail!B15</f>
        <v>0</v>
      </c>
      <c r="D69" s="214">
        <f>GenDetail!C15</f>
        <v>0</v>
      </c>
      <c r="E69" s="56">
        <f>GenDetail!D15</f>
        <v>0</v>
      </c>
      <c r="F69" s="215"/>
    </row>
    <row r="70" spans="2:5" ht="15.75">
      <c r="B70" s="196">
        <f>GenDetail!A16</f>
        <v>0</v>
      </c>
      <c r="C70" s="214">
        <f>GenDetail!B22</f>
        <v>0</v>
      </c>
      <c r="D70" s="214">
        <f>GenDetail!C22</f>
        <v>0</v>
      </c>
      <c r="E70" s="56">
        <f>GenDetail!D22</f>
        <v>0</v>
      </c>
    </row>
    <row r="71" spans="2:5" ht="15.75">
      <c r="B71" s="196">
        <f>GenDetail!A23</f>
        <v>0</v>
      </c>
      <c r="C71" s="214">
        <f>GenDetail!B29</f>
        <v>0</v>
      </c>
      <c r="D71" s="214">
        <f>GenDetail!C29</f>
        <v>0</v>
      </c>
      <c r="E71" s="56">
        <f>GenDetail!D29</f>
        <v>0</v>
      </c>
    </row>
    <row r="72" spans="2:5" ht="15.75">
      <c r="B72" s="196">
        <f>GenDetail!A30</f>
        <v>0</v>
      </c>
      <c r="C72" s="214">
        <f>GenDetail!B35</f>
        <v>0</v>
      </c>
      <c r="D72" s="214">
        <f>GenDetail!C35</f>
        <v>0</v>
      </c>
      <c r="E72" s="56">
        <f>GenDetail!D35</f>
        <v>0</v>
      </c>
    </row>
    <row r="73" spans="2:5" ht="15.75">
      <c r="B73" s="196">
        <f>GenDetail!A36</f>
        <v>0</v>
      </c>
      <c r="C73" s="214">
        <f>GenDetail!B42</f>
        <v>0</v>
      </c>
      <c r="D73" s="214">
        <f>GenDetail!C42</f>
        <v>0</v>
      </c>
      <c r="E73" s="56">
        <f>GenDetail!D42</f>
        <v>0</v>
      </c>
    </row>
    <row r="74" spans="2:5" ht="15.75">
      <c r="B74" s="196">
        <f>GenDetail!A43</f>
        <v>0</v>
      </c>
      <c r="C74" s="214">
        <f>GenDetail!B49</f>
        <v>0</v>
      </c>
      <c r="D74" s="214">
        <f>GenDetail!C49</f>
        <v>0</v>
      </c>
      <c r="E74" s="56">
        <f>GenDetail!D49</f>
        <v>0</v>
      </c>
    </row>
    <row r="75" spans="2:5" ht="15.75">
      <c r="B75" s="196">
        <f>GenDetail!A50</f>
        <v>0</v>
      </c>
      <c r="C75" s="214">
        <f>GenDetail!B56</f>
        <v>0</v>
      </c>
      <c r="D75" s="214">
        <f>GenDetail!C56</f>
        <v>0</v>
      </c>
      <c r="E75" s="56">
        <f>GenDetail!D56</f>
        <v>0</v>
      </c>
    </row>
    <row r="76" spans="2:5" ht="15.75">
      <c r="B76" s="196">
        <f>GenDetail!A57</f>
        <v>0</v>
      </c>
      <c r="C76" s="214">
        <f>GenDetail!B63</f>
        <v>0</v>
      </c>
      <c r="D76" s="214">
        <f>GenDetail!C63</f>
        <v>0</v>
      </c>
      <c r="E76" s="56">
        <f>GenDetail!D63</f>
        <v>0</v>
      </c>
    </row>
    <row r="77" spans="2:5" ht="15.75">
      <c r="B77" s="196">
        <f>GenDetail!A75</f>
        <v>0</v>
      </c>
      <c r="C77" s="214">
        <f>GenDetail!B81</f>
        <v>0</v>
      </c>
      <c r="D77" s="214">
        <f>GenDetail!C81</f>
        <v>0</v>
      </c>
      <c r="E77" s="56">
        <f>GenDetail!D81</f>
        <v>0</v>
      </c>
    </row>
    <row r="78" spans="2:5" ht="15.75">
      <c r="B78" s="196">
        <f>GenDetail!A82</f>
        <v>0</v>
      </c>
      <c r="C78" s="214">
        <f>GenDetail!B88</f>
        <v>0</v>
      </c>
      <c r="D78" s="214">
        <f>GenDetail!C88</f>
        <v>0</v>
      </c>
      <c r="E78" s="56">
        <f>GenDetail!D88</f>
        <v>0</v>
      </c>
    </row>
    <row r="79" spans="2:5" ht="15.75">
      <c r="B79" s="196">
        <f>GenDetail!A89</f>
        <v>0</v>
      </c>
      <c r="C79" s="214">
        <f>GenDetail!B95</f>
        <v>0</v>
      </c>
      <c r="D79" s="214">
        <f>GenDetail!C95</f>
        <v>0</v>
      </c>
      <c r="E79" s="56">
        <f>GenDetail!D95</f>
        <v>0</v>
      </c>
    </row>
    <row r="80" spans="2:5" ht="15.75">
      <c r="B80" s="196">
        <f>GenDetail!A96</f>
        <v>0</v>
      </c>
      <c r="C80" s="214">
        <f>GenDetail!B101</f>
        <v>0</v>
      </c>
      <c r="D80" s="214">
        <f>GenDetail!C101</f>
        <v>0</v>
      </c>
      <c r="E80" s="56">
        <f>GenDetail!D101</f>
        <v>0</v>
      </c>
    </row>
    <row r="81" spans="2:5" ht="15.75">
      <c r="B81" s="196">
        <f>GenDetail!A102</f>
        <v>0</v>
      </c>
      <c r="C81" s="214">
        <f>GenDetail!B108</f>
        <v>0</v>
      </c>
      <c r="D81" s="214">
        <f>GenDetail!C108</f>
        <v>0</v>
      </c>
      <c r="E81" s="56">
        <f>GenDetail!D108</f>
        <v>0</v>
      </c>
    </row>
    <row r="82" spans="2:5" ht="15.75">
      <c r="B82" s="196">
        <f>GenDetail!A109</f>
        <v>0</v>
      </c>
      <c r="C82" s="214">
        <f>GenDetail!B115</f>
        <v>0</v>
      </c>
      <c r="D82" s="214">
        <f>GenDetail!C115</f>
        <v>0</v>
      </c>
      <c r="E82" s="56">
        <f>GenDetail!D115</f>
        <v>0</v>
      </c>
    </row>
    <row r="83" spans="2:5" ht="15.75">
      <c r="B83" s="196">
        <f>GenDetail!A116</f>
        <v>0</v>
      </c>
      <c r="C83" s="214">
        <f>GenDetail!B122</f>
        <v>0</v>
      </c>
      <c r="D83" s="214">
        <f>GenDetail!C122</f>
        <v>0</v>
      </c>
      <c r="E83" s="56">
        <f>GenDetail!D122</f>
        <v>0</v>
      </c>
    </row>
    <row r="84" spans="2:5" ht="15.75">
      <c r="B84" s="196">
        <f>GenDetail!A123</f>
        <v>0</v>
      </c>
      <c r="C84" s="214">
        <f>GenDetail!B129</f>
        <v>0</v>
      </c>
      <c r="D84" s="214">
        <f>GenDetail!C129</f>
        <v>0</v>
      </c>
      <c r="E84" s="56">
        <f>GenDetail!D129</f>
        <v>0</v>
      </c>
    </row>
    <row r="85" spans="2:5" ht="15.75">
      <c r="B85" s="216" t="s">
        <v>628</v>
      </c>
      <c r="C85" s="323">
        <f>SUM(C69:C84)</f>
        <v>0</v>
      </c>
      <c r="D85" s="323">
        <f>SUM(D69:D84)</f>
        <v>0</v>
      </c>
      <c r="E85" s="230">
        <f>SUM(E69:E84)</f>
        <v>0</v>
      </c>
    </row>
    <row r="86" spans="2:5" ht="15.75">
      <c r="B86" s="205"/>
      <c r="C86" s="201"/>
      <c r="D86" s="201"/>
      <c r="E86" s="204"/>
    </row>
    <row r="87" spans="2:5" ht="15.75">
      <c r="B87" s="205"/>
      <c r="C87" s="201"/>
      <c r="D87" s="201"/>
      <c r="E87" s="204"/>
    </row>
    <row r="88" spans="2:5" ht="15.75">
      <c r="B88" s="205"/>
      <c r="C88" s="201"/>
      <c r="D88" s="201"/>
      <c r="E88" s="204"/>
    </row>
    <row r="89" spans="2:5" ht="15.75">
      <c r="B89" s="205"/>
      <c r="C89" s="201"/>
      <c r="D89" s="201"/>
      <c r="E89" s="204"/>
    </row>
    <row r="90" spans="2:5" ht="15.75">
      <c r="B90" s="205"/>
      <c r="C90" s="201"/>
      <c r="D90" s="201"/>
      <c r="E90" s="204"/>
    </row>
    <row r="91" spans="2:5" ht="15.75">
      <c r="B91" s="217"/>
      <c r="C91" s="201"/>
      <c r="D91" s="201"/>
      <c r="E91" s="204"/>
    </row>
    <row r="92" spans="2:5" ht="15.75">
      <c r="B92" s="217"/>
      <c r="C92" s="201"/>
      <c r="D92" s="201"/>
      <c r="E92" s="204"/>
    </row>
    <row r="93" spans="2:10" ht="15.75">
      <c r="B93" s="217"/>
      <c r="C93" s="201"/>
      <c r="D93" s="201"/>
      <c r="E93" s="204"/>
      <c r="G93" s="1148" t="str">
        <f>CONCATENATE("Desired Carryover Into ",E1+1,"")</f>
        <v>Desired Carryover Into 1</v>
      </c>
      <c r="H93" s="1149"/>
      <c r="I93" s="1149"/>
      <c r="J93" s="1150"/>
    </row>
    <row r="94" spans="2:10" ht="15.75">
      <c r="B94" s="217"/>
      <c r="C94" s="201"/>
      <c r="D94" s="201"/>
      <c r="E94" s="204"/>
      <c r="G94" s="698"/>
      <c r="H94" s="699"/>
      <c r="I94" s="699"/>
      <c r="J94" s="700"/>
    </row>
    <row r="95" spans="2:10" ht="15.75">
      <c r="B95" s="217"/>
      <c r="C95" s="201"/>
      <c r="D95" s="201"/>
      <c r="E95" s="204"/>
      <c r="G95" s="701" t="s">
        <v>768</v>
      </c>
      <c r="H95" s="702"/>
      <c r="I95" s="702"/>
      <c r="J95" s="703">
        <v>0</v>
      </c>
    </row>
    <row r="96" spans="2:10" ht="15.75">
      <c r="B96" s="217"/>
      <c r="C96" s="201"/>
      <c r="D96" s="201"/>
      <c r="E96" s="204"/>
      <c r="G96" s="704" t="s">
        <v>769</v>
      </c>
      <c r="H96" s="705"/>
      <c r="I96" s="706"/>
      <c r="J96" s="707">
        <f>IF(J95=0,"",ROUND((J95+E117-G108)/inputOth!E9*1000,3)-general!G113)</f>
      </c>
    </row>
    <row r="97" spans="2:10" ht="15.75">
      <c r="B97" s="217"/>
      <c r="C97" s="201"/>
      <c r="D97" s="201"/>
      <c r="E97" s="204"/>
      <c r="G97" s="708" t="str">
        <f>CONCATENATE("",E1," Total Expenditures Must Be:")</f>
        <v>0 Total Expenditures Must Be:</v>
      </c>
      <c r="H97" s="709"/>
      <c r="I97" s="710"/>
      <c r="J97" s="711">
        <f>IF(J95&gt;0,IF(E114&lt;E58,IF(J95=G108,E114,((J95-G108)*(1-D116))+E58),E114+(J95-G108)),0)</f>
        <v>0</v>
      </c>
    </row>
    <row r="98" spans="2:10" ht="15.75">
      <c r="B98" s="217"/>
      <c r="C98" s="201"/>
      <c r="D98" s="201"/>
      <c r="E98" s="204"/>
      <c r="G98" s="712" t="s">
        <v>873</v>
      </c>
      <c r="H98" s="713"/>
      <c r="I98" s="714"/>
      <c r="J98" s="715">
        <f>IF(J95&gt;0,J97-E114,0)</f>
        <v>0</v>
      </c>
    </row>
    <row r="99" spans="2:5" ht="15.75">
      <c r="B99" s="217"/>
      <c r="C99" s="201"/>
      <c r="D99" s="201"/>
      <c r="E99" s="204"/>
    </row>
    <row r="100" spans="2:10" ht="15.75">
      <c r="B100" s="217"/>
      <c r="C100" s="201"/>
      <c r="D100" s="201"/>
      <c r="E100" s="204"/>
      <c r="G100" s="1148" t="str">
        <f>CONCATENATE("Projected Carryover Into ",E1+1,"")</f>
        <v>Projected Carryover Into 1</v>
      </c>
      <c r="H100" s="1151"/>
      <c r="I100" s="1151"/>
      <c r="J100" s="1152"/>
    </row>
    <row r="101" spans="2:10" ht="15.75">
      <c r="B101" s="217"/>
      <c r="C101" s="201"/>
      <c r="D101" s="201"/>
      <c r="E101" s="204"/>
      <c r="G101" s="698"/>
      <c r="H101" s="699"/>
      <c r="I101" s="699"/>
      <c r="J101" s="700"/>
    </row>
    <row r="102" spans="2:10" ht="15.75">
      <c r="B102" s="217"/>
      <c r="C102" s="201"/>
      <c r="D102" s="201"/>
      <c r="E102" s="204"/>
      <c r="G102" s="716">
        <f>D111</f>
        <v>0</v>
      </c>
      <c r="H102" s="717" t="str">
        <f>CONCATENATE("",E1-1," Ending Cash Balance (est.)")</f>
        <v>-1 Ending Cash Balance (est.)</v>
      </c>
      <c r="I102" s="718"/>
      <c r="J102" s="700"/>
    </row>
    <row r="103" spans="2:10" ht="15.75">
      <c r="B103" s="217"/>
      <c r="C103" s="201"/>
      <c r="D103" s="201"/>
      <c r="E103" s="204"/>
      <c r="G103" s="716">
        <f>E57</f>
        <v>0</v>
      </c>
      <c r="H103" s="702" t="str">
        <f>CONCATENATE("",E1," Non-AV Receipts (est.)")</f>
        <v>0 Non-AV Receipts (est.)</v>
      </c>
      <c r="I103" s="718"/>
      <c r="J103" s="700"/>
    </row>
    <row r="104" spans="2:11" ht="15.75">
      <c r="B104" s="217"/>
      <c r="C104" s="201"/>
      <c r="D104" s="201"/>
      <c r="E104" s="204"/>
      <c r="G104" s="719">
        <f>IF(E116&gt;0,E115,E117)</f>
        <v>0</v>
      </c>
      <c r="H104" s="702" t="str">
        <f>CONCATENATE("",E1," Ad Valorem Tax (est.)")</f>
        <v>0 Ad Valorem Tax (est.)</v>
      </c>
      <c r="I104" s="718"/>
      <c r="J104" s="700"/>
      <c r="K104" s="720">
        <f>IF(G104=E117,"","Note: Does not include Delinquent Taxes")</f>
      </c>
    </row>
    <row r="105" spans="2:10" ht="15.75">
      <c r="B105" s="217"/>
      <c r="C105" s="201"/>
      <c r="D105" s="201"/>
      <c r="E105" s="204"/>
      <c r="G105" s="716">
        <f>SUM(G102:G104)</f>
        <v>0</v>
      </c>
      <c r="H105" s="702" t="str">
        <f>CONCATENATE("Total ",E1," Resources Available")</f>
        <v>Total 0 Resources Available</v>
      </c>
      <c r="I105" s="718"/>
      <c r="J105" s="700"/>
    </row>
    <row r="106" spans="2:10" ht="15.75">
      <c r="B106" s="217"/>
      <c r="C106" s="201"/>
      <c r="D106" s="201"/>
      <c r="E106" s="204"/>
      <c r="G106" s="721"/>
      <c r="H106" s="702"/>
      <c r="I106" s="702"/>
      <c r="J106" s="700"/>
    </row>
    <row r="107" spans="2:10" ht="15.75">
      <c r="B107" s="218" t="str">
        <f>CONCATENATE("Cash Forward (",E1," column)")</f>
        <v>Cash Forward (0 column)</v>
      </c>
      <c r="C107" s="201"/>
      <c r="D107" s="201"/>
      <c r="E107" s="204"/>
      <c r="G107" s="719">
        <f>C110*0.05+C110</f>
        <v>0</v>
      </c>
      <c r="H107" s="702" t="str">
        <f>CONCATENATE("Less ",E1-2," Expenditures + 5%")</f>
        <v>Less -2 Expenditures + 5%</v>
      </c>
      <c r="I107" s="718"/>
      <c r="J107" s="700"/>
    </row>
    <row r="108" spans="2:10" ht="15.75">
      <c r="B108" s="218" t="s">
        <v>13</v>
      </c>
      <c r="C108" s="201"/>
      <c r="D108" s="201"/>
      <c r="E108" s="204"/>
      <c r="G108" s="722">
        <f>G105-G107</f>
        <v>0</v>
      </c>
      <c r="H108" s="723" t="str">
        <f>CONCATENATE("Projected ",E1+1," Carryover (est.)")</f>
        <v>Projected 1 Carryover (est.)</v>
      </c>
      <c r="I108" s="724"/>
      <c r="J108" s="725"/>
    </row>
    <row r="109" spans="2:5" ht="15.75">
      <c r="B109" s="218" t="s">
        <v>781</v>
      </c>
      <c r="C109" s="206">
        <f>IF(C110*0.1&lt;C108,"Exceed 10% Rule","")</f>
      </c>
      <c r="D109" s="206">
        <f>IF(D110*0.1&lt;D108,"Exceed 10% Rule","")</f>
      </c>
      <c r="E109" s="243">
        <f>IF(E110*0.1&lt;E108,"Exceed 10% Rule","")</f>
      </c>
    </row>
    <row r="110" spans="2:10" ht="15.75">
      <c r="B110" s="208" t="s">
        <v>117</v>
      </c>
      <c r="C110" s="210">
        <f>SUM(C85:C108)</f>
        <v>0</v>
      </c>
      <c r="D110" s="210">
        <f>SUM(D85:D108)</f>
        <v>0</v>
      </c>
      <c r="E110" s="211">
        <f>SUM(E85:E108)</f>
        <v>0</v>
      </c>
      <c r="G110" s="1153" t="s">
        <v>805</v>
      </c>
      <c r="H110" s="1154"/>
      <c r="I110" s="1154"/>
      <c r="J110" s="1155"/>
    </row>
    <row r="111" spans="2:10" ht="15.75">
      <c r="B111" s="108" t="s">
        <v>212</v>
      </c>
      <c r="C111" s="214">
        <f>C58-C110</f>
        <v>0</v>
      </c>
      <c r="D111" s="214">
        <f>D58-D110</f>
        <v>0</v>
      </c>
      <c r="E111" s="203" t="s">
        <v>91</v>
      </c>
      <c r="G111" s="726"/>
      <c r="H111" s="727"/>
      <c r="I111" s="728"/>
      <c r="J111" s="729"/>
    </row>
    <row r="112" spans="2:10" ht="15.75">
      <c r="B112" s="128" t="str">
        <f>CONCATENATE("",E1-2,"/",E1-1,"/",E1," Budget Authority Amount:")</f>
        <v>-2/-1/0 Budget Authority Amount:</v>
      </c>
      <c r="C112" s="787">
        <f>inputOth!B66</f>
        <v>0</v>
      </c>
      <c r="D112" s="787">
        <f>inputPrYr!D22</f>
        <v>0</v>
      </c>
      <c r="E112" s="170">
        <f>E110</f>
        <v>0</v>
      </c>
      <c r="F112" s="219"/>
      <c r="G112" s="730" t="str">
        <f>summ!H15</f>
        <v>  </v>
      </c>
      <c r="H112" s="727" t="str">
        <f>CONCATENATE("",E1," Fund Mill Rate")</f>
        <v>0 Fund Mill Rate</v>
      </c>
      <c r="I112" s="728"/>
      <c r="J112" s="729"/>
    </row>
    <row r="113" spans="2:10" ht="15.75">
      <c r="B113" s="94"/>
      <c r="C113" s="1142" t="s">
        <v>626</v>
      </c>
      <c r="D113" s="1143"/>
      <c r="E113" s="204"/>
      <c r="F113" s="390">
        <f>IF(E110/0.95-E110&lt;E113,"Exceeds 5%","")</f>
      </c>
      <c r="G113" s="731" t="str">
        <f>summ!E15</f>
        <v>  </v>
      </c>
      <c r="H113" s="727" t="str">
        <f>CONCATENATE("",E1-1," Fund Mill Rate")</f>
        <v>-1 Fund Mill Rate</v>
      </c>
      <c r="I113" s="728"/>
      <c r="J113" s="729"/>
    </row>
    <row r="114" spans="2:10" ht="15.75">
      <c r="B114" s="484" t="str">
        <f>CONCATENATE(C135,"     ",D135)</f>
        <v>     </v>
      </c>
      <c r="C114" s="1144" t="s">
        <v>627</v>
      </c>
      <c r="D114" s="1145"/>
      <c r="E114" s="170">
        <f>E110+E113</f>
        <v>0</v>
      </c>
      <c r="G114" s="732">
        <f>summ!H52</f>
        <v>0</v>
      </c>
      <c r="H114" s="727" t="str">
        <f>CONCATENATE("Total ",E1," Mill Rate")</f>
        <v>Total 0 Mill Rate</v>
      </c>
      <c r="I114" s="728"/>
      <c r="J114" s="729"/>
    </row>
    <row r="115" spans="2:10" ht="15.75">
      <c r="B115" s="484" t="str">
        <f>CONCATENATE(C136,"     ",D136)</f>
        <v>     </v>
      </c>
      <c r="C115" s="220"/>
      <c r="D115" s="126" t="s">
        <v>118</v>
      </c>
      <c r="E115" s="56">
        <f>IF(E114-E58&gt;0,E114-E58,0)</f>
        <v>0</v>
      </c>
      <c r="G115" s="731">
        <f>summ!E52</f>
        <v>0</v>
      </c>
      <c r="H115" s="733" t="str">
        <f>CONCATENATE("Total ",E1-1," Mill Rate")</f>
        <v>Total -1 Mill Rate</v>
      </c>
      <c r="I115" s="734"/>
      <c r="J115" s="735"/>
    </row>
    <row r="116" spans="2:10" ht="15.75">
      <c r="B116" s="126"/>
      <c r="C116" s="330" t="s">
        <v>625</v>
      </c>
      <c r="D116" s="685">
        <f>inputOth!$E$53</f>
        <v>0</v>
      </c>
      <c r="E116" s="170">
        <f>ROUND(IF(D116&gt;0,(E115*D116),0),0)</f>
        <v>0</v>
      </c>
      <c r="G116" s="681"/>
      <c r="H116" s="682"/>
      <c r="I116" s="683"/>
      <c r="J116" s="684"/>
    </row>
    <row r="117" spans="2:10" ht="16.5" thickBot="1">
      <c r="B117" s="32"/>
      <c r="C117" s="1146" t="str">
        <f>CONCATENATE("Amount of  ",$E$1-1," Ad Valorem Tax")</f>
        <v>Amount of  -1 Ad Valorem Tax</v>
      </c>
      <c r="D117" s="1147"/>
      <c r="E117" s="686">
        <f>E115+E116</f>
        <v>0</v>
      </c>
      <c r="G117" s="914"/>
      <c r="H117" s="915"/>
      <c r="I117" s="917"/>
      <c r="J117" s="916"/>
    </row>
    <row r="118" spans="2:10" ht="16.5" thickTop="1">
      <c r="B118" s="32"/>
      <c r="C118" s="530"/>
      <c r="D118" s="32"/>
      <c r="E118" s="32"/>
      <c r="G118" s="929" t="str">
        <f>CONCATENATE("Computed ",E1," tax levy limit amount")</f>
        <v>Computed 0 tax levy limit amount</v>
      </c>
      <c r="H118" s="919"/>
      <c r="I118" s="919"/>
      <c r="J118" s="920">
        <f>Comp1!J47</f>
        <v>0</v>
      </c>
    </row>
    <row r="119" spans="2:10" ht="15.75">
      <c r="B119" s="976" t="s">
        <v>1034</v>
      </c>
      <c r="C119" s="950"/>
      <c r="D119" s="75"/>
      <c r="E119" s="951"/>
      <c r="G119" s="930" t="str">
        <f>CONCATENATE("Total ",E1," tax levy amount")</f>
        <v>Total 0 tax levy amount</v>
      </c>
      <c r="H119" s="713"/>
      <c r="I119" s="713"/>
      <c r="J119" s="921">
        <f>summ!G52</f>
        <v>0</v>
      </c>
    </row>
    <row r="120" spans="2:5" ht="15.75">
      <c r="B120" s="761"/>
      <c r="C120" s="52"/>
      <c r="D120" s="52"/>
      <c r="E120" s="768"/>
    </row>
    <row r="121" spans="2:5" ht="15.75">
      <c r="B121" s="695"/>
      <c r="C121" s="47"/>
      <c r="D121" s="47"/>
      <c r="E121" s="55"/>
    </row>
    <row r="122" spans="2:5" ht="15.75">
      <c r="B122" s="32"/>
      <c r="C122" s="32"/>
      <c r="D122" s="32"/>
      <c r="E122" s="32"/>
    </row>
    <row r="123" spans="2:5" ht="15.75">
      <c r="B123" s="94" t="s">
        <v>112</v>
      </c>
      <c r="C123" s="128" t="str">
        <f>CONCATENATE("",C60,"b")</f>
        <v>7b</v>
      </c>
      <c r="D123" s="129"/>
      <c r="E123" s="129"/>
    </row>
    <row r="125" ht="15.75">
      <c r="B125" s="70"/>
    </row>
    <row r="128" spans="2:3" ht="15.75">
      <c r="B128" s="18"/>
      <c r="C128" s="18"/>
    </row>
    <row r="131" ht="15.75" hidden="1"/>
    <row r="132" ht="15.75" hidden="1"/>
    <row r="135" spans="3:4" ht="15.75">
      <c r="C135" s="483">
        <f>IF(C110&gt;C112,"See Tab A","")</f>
      </c>
      <c r="D135" s="483">
        <f>IF(D110&gt;D112,"See Tab C","")</f>
      </c>
    </row>
    <row r="136" spans="3:4" ht="15.75">
      <c r="C136" s="483">
        <f>IF(C111&lt;0,"See Tab B","")</f>
      </c>
      <c r="D136" s="483">
        <f>IF(D111&lt;0,"See Tab D","")</f>
      </c>
    </row>
  </sheetData>
  <sheetProtection/>
  <mergeCells count="6">
    <mergeCell ref="C113:D113"/>
    <mergeCell ref="C114:D114"/>
    <mergeCell ref="C117:D117"/>
    <mergeCell ref="G93:J93"/>
    <mergeCell ref="G100:J100"/>
    <mergeCell ref="G110:J110"/>
  </mergeCells>
  <conditionalFormatting sqref="E108">
    <cfRule type="cellIs" priority="2" dxfId="328" operator="greaterThan" stopIfTrue="1">
      <formula>$E$110*0.1</formula>
    </cfRule>
  </conditionalFormatting>
  <conditionalFormatting sqref="E113">
    <cfRule type="cellIs" priority="3" dxfId="328" operator="greaterThan" stopIfTrue="1">
      <formula>$E$110/0.95-$E$110</formula>
    </cfRule>
  </conditionalFormatting>
  <conditionalFormatting sqref="D110">
    <cfRule type="cellIs" priority="4" dxfId="3" operator="greaterThan" stopIfTrue="1">
      <formula>$D$112</formula>
    </cfRule>
  </conditionalFormatting>
  <conditionalFormatting sqref="C110">
    <cfRule type="cellIs" priority="5" dxfId="3" operator="greaterThan" stopIfTrue="1">
      <formula>$C$112</formula>
    </cfRule>
  </conditionalFormatting>
  <conditionalFormatting sqref="C111">
    <cfRule type="cellIs" priority="6" dxfId="3" operator="lessThan" stopIfTrue="1">
      <formula>0</formula>
    </cfRule>
  </conditionalFormatting>
  <conditionalFormatting sqref="C108">
    <cfRule type="cellIs" priority="7" dxfId="3" operator="greaterThan" stopIfTrue="1">
      <formula>$C$110*0.1</formula>
    </cfRule>
  </conditionalFormatting>
  <conditionalFormatting sqref="D108">
    <cfRule type="cellIs" priority="8" dxfId="3" operator="greaterThan" stopIfTrue="1">
      <formula>$D$110*0.1</formula>
    </cfRule>
  </conditionalFormatting>
  <conditionalFormatting sqref="D55">
    <cfRule type="cellIs" priority="9" dxfId="3" operator="greaterThan" stopIfTrue="1">
      <formula>$D$57*0.1</formula>
    </cfRule>
  </conditionalFormatting>
  <conditionalFormatting sqref="C55">
    <cfRule type="cellIs" priority="10" dxfId="3" operator="greaterThan" stopIfTrue="1">
      <formula>$C$57*0.1</formula>
    </cfRule>
  </conditionalFormatting>
  <conditionalFormatting sqref="E55">
    <cfRule type="cellIs" priority="11" dxfId="328" operator="greaterThan" stopIfTrue="1">
      <formula>$E$57*0.1+E117</formula>
    </cfRule>
  </conditionalFormatting>
  <conditionalFormatting sqref="D111">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0" r:id="rId1"/>
  <headerFooter alignWithMargins="0">
    <oddHeader>&amp;RState of Kansas
City</oddHeader>
  </headerFooter>
  <rowBreaks count="2" manualBreakCount="2">
    <brk id="60" min="1" max="4" man="1"/>
    <brk id="60"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D135"/>
  <sheetViews>
    <sheetView workbookViewId="0" topLeftCell="A1">
      <selection activeCell="C154" sqref="C154"/>
    </sheetView>
  </sheetViews>
  <sheetFormatPr defaultColWidth="8.796875" defaultRowHeight="15"/>
  <cols>
    <col min="1" max="1" width="28.296875" style="18" customWidth="1"/>
    <col min="2" max="3" width="15.796875" style="18" customWidth="1"/>
    <col min="4" max="4" width="16.09765625" style="18" customWidth="1"/>
    <col min="5" max="16384" width="8.8984375" style="18" customWidth="1"/>
  </cols>
  <sheetData>
    <row r="1" spans="1:4" ht="15.75">
      <c r="A1" s="140">
        <f>inputPrYr!D3</f>
        <v>0</v>
      </c>
      <c r="B1" s="32"/>
      <c r="C1" s="128"/>
      <c r="D1" s="32">
        <f>inputPrYr!C6</f>
        <v>0</v>
      </c>
    </row>
    <row r="2" spans="1:4" ht="15.75">
      <c r="A2" s="32"/>
      <c r="B2" s="32"/>
      <c r="C2" s="32"/>
      <c r="D2" s="128"/>
    </row>
    <row r="3" spans="1:4" ht="15.75">
      <c r="A3" s="191"/>
      <c r="B3" s="221"/>
      <c r="C3" s="221"/>
      <c r="D3" s="221"/>
    </row>
    <row r="4" spans="1:4" ht="15.75">
      <c r="A4" s="168" t="s">
        <v>101</v>
      </c>
      <c r="B4" s="222" t="s">
        <v>801</v>
      </c>
      <c r="C4" s="102" t="s">
        <v>802</v>
      </c>
      <c r="D4" s="102" t="s">
        <v>803</v>
      </c>
    </row>
    <row r="5" spans="1:4" ht="15.75">
      <c r="A5" s="47" t="s">
        <v>369</v>
      </c>
      <c r="B5" s="195" t="str">
        <f>CONCATENATE("Actual for ",D1-2,"")</f>
        <v>Actual for -2</v>
      </c>
      <c r="C5" s="195" t="str">
        <f>CONCATENATE("Estimate for ",D1-1,"")</f>
        <v>Estimate for -1</v>
      </c>
      <c r="D5" s="195" t="str">
        <f>CONCATENATE("Year for ",D1,"")</f>
        <v>Year for 0</v>
      </c>
    </row>
    <row r="6" spans="1:4" ht="15.75">
      <c r="A6" s="168" t="s">
        <v>113</v>
      </c>
      <c r="B6" s="58"/>
      <c r="C6" s="58"/>
      <c r="D6" s="58"/>
    </row>
    <row r="7" spans="1:4" ht="15.75">
      <c r="A7" s="223"/>
      <c r="B7" s="58"/>
      <c r="C7" s="58"/>
      <c r="D7" s="58"/>
    </row>
    <row r="8" spans="1:4" ht="15.75">
      <c r="A8" s="224" t="s">
        <v>121</v>
      </c>
      <c r="B8" s="204"/>
      <c r="C8" s="204"/>
      <c r="D8" s="204"/>
    </row>
    <row r="9" spans="1:4" ht="15.75">
      <c r="A9" s="224" t="s">
        <v>114</v>
      </c>
      <c r="B9" s="204"/>
      <c r="C9" s="204"/>
      <c r="D9" s="204"/>
    </row>
    <row r="10" spans="1:4" ht="15.75">
      <c r="A10" s="224" t="s">
        <v>115</v>
      </c>
      <c r="B10" s="204"/>
      <c r="C10" s="204"/>
      <c r="D10" s="204"/>
    </row>
    <row r="11" spans="1:4" ht="15.75">
      <c r="A11" s="224" t="s">
        <v>116</v>
      </c>
      <c r="B11" s="204"/>
      <c r="C11" s="204"/>
      <c r="D11" s="204"/>
    </row>
    <row r="12" spans="1:4" ht="15.75">
      <c r="A12" s="224"/>
      <c r="B12" s="204"/>
      <c r="C12" s="204"/>
      <c r="D12" s="204"/>
    </row>
    <row r="13" spans="1:4" ht="15.75">
      <c r="A13" s="45"/>
      <c r="B13" s="204"/>
      <c r="C13" s="204"/>
      <c r="D13" s="204"/>
    </row>
    <row r="14" spans="1:4" ht="15.75">
      <c r="A14" s="45"/>
      <c r="B14" s="204"/>
      <c r="C14" s="204"/>
      <c r="D14" s="204"/>
    </row>
    <row r="15" spans="1:4" ht="15.75">
      <c r="A15" s="168" t="s">
        <v>74</v>
      </c>
      <c r="B15" s="209">
        <f>SUM(B8:B14)</f>
        <v>0</v>
      </c>
      <c r="C15" s="209">
        <f>SUM(C8:C14)</f>
        <v>0</v>
      </c>
      <c r="D15" s="209">
        <f>SUM(D8:D14)</f>
        <v>0</v>
      </c>
    </row>
    <row r="16" spans="1:4" ht="15.75">
      <c r="A16" s="225"/>
      <c r="B16" s="140"/>
      <c r="C16" s="140"/>
      <c r="D16" s="140"/>
    </row>
    <row r="17" spans="1:4" ht="15.75">
      <c r="A17" s="224" t="s">
        <v>121</v>
      </c>
      <c r="B17" s="204"/>
      <c r="C17" s="204"/>
      <c r="D17" s="204"/>
    </row>
    <row r="18" spans="1:4" ht="15.75">
      <c r="A18" s="224" t="s">
        <v>114</v>
      </c>
      <c r="B18" s="204"/>
      <c r="C18" s="204"/>
      <c r="D18" s="204"/>
    </row>
    <row r="19" spans="1:4" ht="15.75">
      <c r="A19" s="224" t="s">
        <v>115</v>
      </c>
      <c r="B19" s="204"/>
      <c r="C19" s="204"/>
      <c r="D19" s="204"/>
    </row>
    <row r="20" spans="1:4" ht="15.75">
      <c r="A20" s="224" t="s">
        <v>116</v>
      </c>
      <c r="B20" s="204"/>
      <c r="C20" s="204"/>
      <c r="D20" s="204"/>
    </row>
    <row r="21" spans="1:4" ht="15.75">
      <c r="A21" s="224"/>
      <c r="B21" s="204"/>
      <c r="C21" s="204"/>
      <c r="D21" s="204"/>
    </row>
    <row r="22" spans="1:4" ht="15.75">
      <c r="A22" s="168" t="s">
        <v>74</v>
      </c>
      <c r="B22" s="209">
        <f>SUM(B17:B21)</f>
        <v>0</v>
      </c>
      <c r="C22" s="209">
        <f>SUM(C17:C21)</f>
        <v>0</v>
      </c>
      <c r="D22" s="209">
        <f>SUM(D17:D21)</f>
        <v>0</v>
      </c>
    </row>
    <row r="23" spans="1:4" ht="15.75">
      <c r="A23" s="225"/>
      <c r="B23" s="140"/>
      <c r="C23" s="140"/>
      <c r="D23" s="140"/>
    </row>
    <row r="24" spans="1:4" ht="15.75">
      <c r="A24" s="224" t="s">
        <v>121</v>
      </c>
      <c r="B24" s="204"/>
      <c r="C24" s="204"/>
      <c r="D24" s="204"/>
    </row>
    <row r="25" spans="1:4" ht="15.75">
      <c r="A25" s="224" t="s">
        <v>114</v>
      </c>
      <c r="B25" s="204"/>
      <c r="C25" s="204"/>
      <c r="D25" s="204"/>
    </row>
    <row r="26" spans="1:4" ht="15.75">
      <c r="A26" s="224" t="s">
        <v>115</v>
      </c>
      <c r="B26" s="204"/>
      <c r="C26" s="204"/>
      <c r="D26" s="204"/>
    </row>
    <row r="27" spans="1:4" ht="15.75">
      <c r="A27" s="224" t="s">
        <v>116</v>
      </c>
      <c r="B27" s="204"/>
      <c r="C27" s="204"/>
      <c r="D27" s="204"/>
    </row>
    <row r="28" spans="1:4" ht="15.75">
      <c r="A28" s="224"/>
      <c r="B28" s="204"/>
      <c r="C28" s="204"/>
      <c r="D28" s="204"/>
    </row>
    <row r="29" spans="1:4" ht="15.75">
      <c r="A29" s="168" t="s">
        <v>74</v>
      </c>
      <c r="B29" s="209">
        <f>SUM(B24:B28)</f>
        <v>0</v>
      </c>
      <c r="C29" s="209">
        <f>SUM(C24:C28)</f>
        <v>0</v>
      </c>
      <c r="D29" s="209">
        <f>SUM(D24:D28)</f>
        <v>0</v>
      </c>
    </row>
    <row r="30" spans="1:4" ht="15.75">
      <c r="A30" s="225"/>
      <c r="B30" s="140"/>
      <c r="C30" s="140"/>
      <c r="D30" s="140"/>
    </row>
    <row r="31" spans="1:4" ht="15.75">
      <c r="A31" s="224" t="s">
        <v>121</v>
      </c>
      <c r="B31" s="204"/>
      <c r="C31" s="204"/>
      <c r="D31" s="204"/>
    </row>
    <row r="32" spans="1:4" ht="15.75">
      <c r="A32" s="224" t="s">
        <v>114</v>
      </c>
      <c r="B32" s="204"/>
      <c r="C32" s="204"/>
      <c r="D32" s="204"/>
    </row>
    <row r="33" spans="1:4" ht="15.75">
      <c r="A33" s="224" t="s">
        <v>115</v>
      </c>
      <c r="B33" s="204"/>
      <c r="C33" s="204"/>
      <c r="D33" s="204"/>
    </row>
    <row r="34" spans="1:4" ht="15.75">
      <c r="A34" s="224" t="s">
        <v>116</v>
      </c>
      <c r="B34" s="204"/>
      <c r="C34" s="204"/>
      <c r="D34" s="204"/>
    </row>
    <row r="35" spans="1:4" ht="15.75">
      <c r="A35" s="168" t="s">
        <v>74</v>
      </c>
      <c r="B35" s="209">
        <f>SUM(B31:B34)</f>
        <v>0</v>
      </c>
      <c r="C35" s="209">
        <f>SUM(C31:C34)</f>
        <v>0</v>
      </c>
      <c r="D35" s="209">
        <f>SUM(D31:D34)</f>
        <v>0</v>
      </c>
    </row>
    <row r="36" spans="1:4" ht="15.75">
      <c r="A36" s="225"/>
      <c r="B36" s="140"/>
      <c r="C36" s="140"/>
      <c r="D36" s="140"/>
    </row>
    <row r="37" spans="1:4" ht="15.75">
      <c r="A37" s="224" t="s">
        <v>121</v>
      </c>
      <c r="B37" s="204"/>
      <c r="C37" s="204"/>
      <c r="D37" s="204"/>
    </row>
    <row r="38" spans="1:4" ht="15.75">
      <c r="A38" s="224" t="s">
        <v>114</v>
      </c>
      <c r="B38" s="204"/>
      <c r="C38" s="204"/>
      <c r="D38" s="204"/>
    </row>
    <row r="39" spans="1:4" ht="15.75">
      <c r="A39" s="224" t="s">
        <v>115</v>
      </c>
      <c r="B39" s="204"/>
      <c r="C39" s="204"/>
      <c r="D39" s="204"/>
    </row>
    <row r="40" spans="1:4" ht="15.75">
      <c r="A40" s="224" t="s">
        <v>116</v>
      </c>
      <c r="B40" s="204"/>
      <c r="C40" s="204"/>
      <c r="D40" s="204"/>
    </row>
    <row r="41" spans="1:4" ht="15.75">
      <c r="A41" s="224"/>
      <c r="B41" s="204"/>
      <c r="C41" s="204"/>
      <c r="D41" s="204"/>
    </row>
    <row r="42" spans="1:4" ht="15.75">
      <c r="A42" s="168" t="s">
        <v>74</v>
      </c>
      <c r="B42" s="209">
        <f>SUM(B37:B41)</f>
        <v>0</v>
      </c>
      <c r="C42" s="209">
        <f>SUM(C37:C41)</f>
        <v>0</v>
      </c>
      <c r="D42" s="209">
        <f>SUM(D37:D41)</f>
        <v>0</v>
      </c>
    </row>
    <row r="43" spans="1:4" ht="15.75">
      <c r="A43" s="225"/>
      <c r="B43" s="140"/>
      <c r="C43" s="140"/>
      <c r="D43" s="140"/>
    </row>
    <row r="44" spans="1:4" ht="15.75">
      <c r="A44" s="224" t="s">
        <v>121</v>
      </c>
      <c r="B44" s="204"/>
      <c r="C44" s="204"/>
      <c r="D44" s="204"/>
    </row>
    <row r="45" spans="1:4" ht="15.75">
      <c r="A45" s="224" t="s">
        <v>114</v>
      </c>
      <c r="B45" s="204"/>
      <c r="C45" s="204"/>
      <c r="D45" s="204"/>
    </row>
    <row r="46" spans="1:4" ht="15.75">
      <c r="A46" s="224" t="s">
        <v>115</v>
      </c>
      <c r="B46" s="204"/>
      <c r="C46" s="204"/>
      <c r="D46" s="204"/>
    </row>
    <row r="47" spans="1:4" ht="15.75">
      <c r="A47" s="224" t="s">
        <v>116</v>
      </c>
      <c r="B47" s="204"/>
      <c r="C47" s="204"/>
      <c r="D47" s="204"/>
    </row>
    <row r="48" spans="1:4" ht="15.75">
      <c r="A48" s="224"/>
      <c r="B48" s="204"/>
      <c r="C48" s="204"/>
      <c r="D48" s="204"/>
    </row>
    <row r="49" spans="1:4" ht="15.75">
      <c r="A49" s="168" t="s">
        <v>74</v>
      </c>
      <c r="B49" s="209">
        <f>SUM(B44:B48)</f>
        <v>0</v>
      </c>
      <c r="C49" s="209">
        <f>SUM(C44:C48)</f>
        <v>0</v>
      </c>
      <c r="D49" s="209">
        <f>SUM(D44:D48)</f>
        <v>0</v>
      </c>
    </row>
    <row r="50" spans="1:4" ht="15.75">
      <c r="A50" s="225"/>
      <c r="B50" s="140"/>
      <c r="C50" s="140"/>
      <c r="D50" s="140"/>
    </row>
    <row r="51" spans="1:4" ht="15.75">
      <c r="A51" s="224" t="s">
        <v>121</v>
      </c>
      <c r="B51" s="204"/>
      <c r="C51" s="204"/>
      <c r="D51" s="204"/>
    </row>
    <row r="52" spans="1:4" ht="15.75">
      <c r="A52" s="224" t="s">
        <v>114</v>
      </c>
      <c r="B52" s="204"/>
      <c r="C52" s="204"/>
      <c r="D52" s="204"/>
    </row>
    <row r="53" spans="1:4" ht="15.75">
      <c r="A53" s="224" t="s">
        <v>115</v>
      </c>
      <c r="B53" s="204"/>
      <c r="C53" s="204"/>
      <c r="D53" s="204"/>
    </row>
    <row r="54" spans="1:4" ht="15.75">
      <c r="A54" s="224" t="s">
        <v>116</v>
      </c>
      <c r="B54" s="204"/>
      <c r="C54" s="204"/>
      <c r="D54" s="204"/>
    </row>
    <row r="55" spans="1:4" ht="15.75">
      <c r="A55" s="224"/>
      <c r="B55" s="204"/>
      <c r="C55" s="204"/>
      <c r="D55" s="204"/>
    </row>
    <row r="56" spans="1:4" ht="15.75">
      <c r="A56" s="168" t="s">
        <v>74</v>
      </c>
      <c r="B56" s="209">
        <f>SUM(B51:B55)</f>
        <v>0</v>
      </c>
      <c r="C56" s="209">
        <f>SUM(C51:C55)</f>
        <v>0</v>
      </c>
      <c r="D56" s="209">
        <f>SUM(D51:D55)</f>
        <v>0</v>
      </c>
    </row>
    <row r="57" spans="1:4" ht="15.75">
      <c r="A57" s="225"/>
      <c r="B57" s="140"/>
      <c r="C57" s="140"/>
      <c r="D57" s="140"/>
    </row>
    <row r="58" spans="1:4" ht="15.75">
      <c r="A58" s="224" t="s">
        <v>121</v>
      </c>
      <c r="B58" s="204"/>
      <c r="C58" s="204"/>
      <c r="D58" s="204"/>
    </row>
    <row r="59" spans="1:4" ht="15.75">
      <c r="A59" s="224" t="s">
        <v>114</v>
      </c>
      <c r="B59" s="204"/>
      <c r="C59" s="204"/>
      <c r="D59" s="204"/>
    </row>
    <row r="60" spans="1:4" ht="15.75">
      <c r="A60" s="224" t="s">
        <v>115</v>
      </c>
      <c r="B60" s="204"/>
      <c r="C60" s="204"/>
      <c r="D60" s="204"/>
    </row>
    <row r="61" spans="1:4" ht="15.75">
      <c r="A61" s="224" t="s">
        <v>116</v>
      </c>
      <c r="B61" s="204"/>
      <c r="C61" s="204"/>
      <c r="D61" s="204"/>
    </row>
    <row r="62" spans="1:4" ht="15.75">
      <c r="A62" s="224"/>
      <c r="B62" s="204"/>
      <c r="C62" s="204"/>
      <c r="D62" s="204"/>
    </row>
    <row r="63" spans="1:4" ht="15.75">
      <c r="A63" s="168" t="s">
        <v>74</v>
      </c>
      <c r="B63" s="209">
        <f>SUM(B58:B62)</f>
        <v>0</v>
      </c>
      <c r="C63" s="209">
        <f>SUM(C58:C62)</f>
        <v>0</v>
      </c>
      <c r="D63" s="209">
        <f>SUM(D58:D62)</f>
        <v>0</v>
      </c>
    </row>
    <row r="64" spans="1:4" ht="15.75">
      <c r="A64" s="32"/>
      <c r="B64" s="140"/>
      <c r="C64" s="140"/>
      <c r="D64" s="140"/>
    </row>
    <row r="65" spans="1:4" ht="16.5" thickBot="1">
      <c r="A65" s="168" t="s">
        <v>365</v>
      </c>
      <c r="B65" s="226">
        <f>B15+B22+B29+B35+B42+B49+B56+B63</f>
        <v>0</v>
      </c>
      <c r="C65" s="226">
        <f>C15+C22+C29+C35+C42+C49+C56+C63</f>
        <v>0</v>
      </c>
      <c r="D65" s="226">
        <f>D15+D22+D29+D35+D42+D49+D56+D63</f>
        <v>0</v>
      </c>
    </row>
    <row r="66" spans="1:4" ht="16.5" thickTop="1">
      <c r="A66" s="227"/>
      <c r="B66" s="140"/>
      <c r="C66" s="140"/>
      <c r="D66" s="140"/>
    </row>
    <row r="67" spans="1:4" ht="15.75">
      <c r="A67" s="94" t="s">
        <v>120</v>
      </c>
      <c r="B67" s="140" t="str">
        <f>CONCATENATE("",general!C60,"c")</f>
        <v>7c</v>
      </c>
      <c r="C67" s="140"/>
      <c r="D67" s="140"/>
    </row>
    <row r="68" spans="1:4" ht="15.75">
      <c r="A68" s="32"/>
      <c r="B68" s="140"/>
      <c r="C68" s="140"/>
      <c r="D68" s="140"/>
    </row>
    <row r="69" spans="1:4" ht="15.75">
      <c r="A69" s="140">
        <f>A1</f>
        <v>0</v>
      </c>
      <c r="B69" s="32"/>
      <c r="C69" s="128"/>
      <c r="D69" s="32">
        <f>D1</f>
        <v>0</v>
      </c>
    </row>
    <row r="70" spans="1:4" ht="15.75">
      <c r="A70" s="32"/>
      <c r="B70" s="32"/>
      <c r="C70" s="32"/>
      <c r="D70" s="128"/>
    </row>
    <row r="71" spans="1:4" ht="15.75">
      <c r="A71" s="191"/>
      <c r="B71" s="221"/>
      <c r="C71" s="221"/>
      <c r="D71" s="221"/>
    </row>
    <row r="72" spans="1:4" ht="15.75">
      <c r="A72" s="168" t="s">
        <v>101</v>
      </c>
      <c r="B72" s="222" t="s">
        <v>801</v>
      </c>
      <c r="C72" s="102" t="s">
        <v>802</v>
      </c>
      <c r="D72" s="102" t="s">
        <v>803</v>
      </c>
    </row>
    <row r="73" spans="1:4" ht="15.75">
      <c r="A73" s="47" t="s">
        <v>370</v>
      </c>
      <c r="B73" s="195" t="str">
        <f>CONCATENATE("Actual for ",D69-2,"")</f>
        <v>Actual for -2</v>
      </c>
      <c r="C73" s="195" t="str">
        <f>CONCATENATE("Estimate for ",D69-1,"")</f>
        <v>Estimate for -1</v>
      </c>
      <c r="D73" s="195" t="str">
        <f>CONCATENATE("Year for ",D69,"")</f>
        <v>Year for 0</v>
      </c>
    </row>
    <row r="74" spans="1:4" ht="15.75">
      <c r="A74" s="168" t="s">
        <v>113</v>
      </c>
      <c r="B74" s="58"/>
      <c r="C74" s="58"/>
      <c r="D74" s="58"/>
    </row>
    <row r="75" spans="1:4" ht="15.75">
      <c r="A75" s="223"/>
      <c r="B75" s="58"/>
      <c r="C75" s="58"/>
      <c r="D75" s="58"/>
    </row>
    <row r="76" spans="1:4" ht="15.75">
      <c r="A76" s="224" t="s">
        <v>121</v>
      </c>
      <c r="B76" s="204"/>
      <c r="C76" s="204"/>
      <c r="D76" s="204"/>
    </row>
    <row r="77" spans="1:4" ht="15.75">
      <c r="A77" s="224" t="s">
        <v>114</v>
      </c>
      <c r="B77" s="204"/>
      <c r="C77" s="204"/>
      <c r="D77" s="204"/>
    </row>
    <row r="78" spans="1:4" ht="15.75">
      <c r="A78" s="224" t="s">
        <v>115</v>
      </c>
      <c r="B78" s="204"/>
      <c r="C78" s="204"/>
      <c r="D78" s="204"/>
    </row>
    <row r="79" spans="1:4" ht="15.75">
      <c r="A79" s="224" t="s">
        <v>116</v>
      </c>
      <c r="B79" s="204"/>
      <c r="C79" s="204"/>
      <c r="D79" s="204"/>
    </row>
    <row r="80" spans="1:4" ht="15.75">
      <c r="A80" s="45"/>
      <c r="B80" s="204"/>
      <c r="C80" s="204"/>
      <c r="D80" s="204"/>
    </row>
    <row r="81" spans="1:4" ht="15.75">
      <c r="A81" s="168" t="s">
        <v>74</v>
      </c>
      <c r="B81" s="209">
        <f>SUM(B76:B80)</f>
        <v>0</v>
      </c>
      <c r="C81" s="209">
        <f>SUM(C76:C80)</f>
        <v>0</v>
      </c>
      <c r="D81" s="209">
        <f>SUM(D76:D80)</f>
        <v>0</v>
      </c>
    </row>
    <row r="82" spans="1:4" ht="15.75">
      <c r="A82" s="225"/>
      <c r="B82" s="140"/>
      <c r="C82" s="140"/>
      <c r="D82" s="140"/>
    </row>
    <row r="83" spans="1:4" ht="15.75">
      <c r="A83" s="224" t="s">
        <v>121</v>
      </c>
      <c r="B83" s="204"/>
      <c r="C83" s="204"/>
      <c r="D83" s="204"/>
    </row>
    <row r="84" spans="1:4" ht="15.75">
      <c r="A84" s="224" t="s">
        <v>114</v>
      </c>
      <c r="B84" s="204"/>
      <c r="C84" s="204"/>
      <c r="D84" s="204"/>
    </row>
    <row r="85" spans="1:4" ht="15.75">
      <c r="A85" s="224" t="s">
        <v>115</v>
      </c>
      <c r="B85" s="204"/>
      <c r="C85" s="204"/>
      <c r="D85" s="204"/>
    </row>
    <row r="86" spans="1:4" ht="15.75">
      <c r="A86" s="224" t="s">
        <v>116</v>
      </c>
      <c r="B86" s="204"/>
      <c r="C86" s="204"/>
      <c r="D86" s="204"/>
    </row>
    <row r="87" spans="1:4" ht="15.75">
      <c r="A87" s="224"/>
      <c r="B87" s="204"/>
      <c r="C87" s="204"/>
      <c r="D87" s="204"/>
    </row>
    <row r="88" spans="1:4" ht="15.75">
      <c r="A88" s="168" t="s">
        <v>74</v>
      </c>
      <c r="B88" s="209">
        <f>SUM(B83:B87)</f>
        <v>0</v>
      </c>
      <c r="C88" s="209">
        <f>SUM(C83:C87)</f>
        <v>0</v>
      </c>
      <c r="D88" s="209">
        <f>SUM(D83:D87)</f>
        <v>0</v>
      </c>
    </row>
    <row r="89" spans="1:4" ht="15.75">
      <c r="A89" s="225"/>
      <c r="B89" s="140"/>
      <c r="C89" s="140"/>
      <c r="D89" s="140"/>
    </row>
    <row r="90" spans="1:4" ht="15.75">
      <c r="A90" s="224" t="s">
        <v>121</v>
      </c>
      <c r="B90" s="204"/>
      <c r="C90" s="204"/>
      <c r="D90" s="204"/>
    </row>
    <row r="91" spans="1:4" ht="15.75">
      <c r="A91" s="224" t="s">
        <v>114</v>
      </c>
      <c r="B91" s="204"/>
      <c r="C91" s="204"/>
      <c r="D91" s="204"/>
    </row>
    <row r="92" spans="1:4" ht="15.75">
      <c r="A92" s="224" t="s">
        <v>115</v>
      </c>
      <c r="B92" s="204"/>
      <c r="C92" s="204"/>
      <c r="D92" s="204"/>
    </row>
    <row r="93" spans="1:4" ht="15.75">
      <c r="A93" s="224" t="s">
        <v>116</v>
      </c>
      <c r="B93" s="204"/>
      <c r="C93" s="204"/>
      <c r="D93" s="204"/>
    </row>
    <row r="94" spans="1:4" ht="15.75">
      <c r="A94" s="224"/>
      <c r="B94" s="204"/>
      <c r="C94" s="204"/>
      <c r="D94" s="204"/>
    </row>
    <row r="95" spans="1:4" ht="15.75">
      <c r="A95" s="168" t="s">
        <v>74</v>
      </c>
      <c r="B95" s="209">
        <f>SUM(B90:B94)</f>
        <v>0</v>
      </c>
      <c r="C95" s="209">
        <f>SUM(C90:C94)</f>
        <v>0</v>
      </c>
      <c r="D95" s="209">
        <f>SUM(D90:D94)</f>
        <v>0</v>
      </c>
    </row>
    <row r="96" spans="1:4" ht="15.75">
      <c r="A96" s="225"/>
      <c r="B96" s="140"/>
      <c r="C96" s="140"/>
      <c r="D96" s="140"/>
    </row>
    <row r="97" spans="1:4" ht="15.75">
      <c r="A97" s="224" t="s">
        <v>121</v>
      </c>
      <c r="B97" s="204"/>
      <c r="C97" s="204"/>
      <c r="D97" s="204"/>
    </row>
    <row r="98" spans="1:4" ht="15.75">
      <c r="A98" s="224" t="s">
        <v>114</v>
      </c>
      <c r="B98" s="204"/>
      <c r="C98" s="204"/>
      <c r="D98" s="204"/>
    </row>
    <row r="99" spans="1:4" ht="15.75">
      <c r="A99" s="224" t="s">
        <v>115</v>
      </c>
      <c r="B99" s="204"/>
      <c r="C99" s="204"/>
      <c r="D99" s="204"/>
    </row>
    <row r="100" spans="1:4" ht="15.75">
      <c r="A100" s="224" t="s">
        <v>116</v>
      </c>
      <c r="B100" s="204"/>
      <c r="C100" s="204"/>
      <c r="D100" s="204"/>
    </row>
    <row r="101" spans="1:4" ht="15.75">
      <c r="A101" s="168" t="s">
        <v>74</v>
      </c>
      <c r="B101" s="209">
        <f>SUM(B97:B100)</f>
        <v>0</v>
      </c>
      <c r="C101" s="209">
        <f>SUM(C97:C100)</f>
        <v>0</v>
      </c>
      <c r="D101" s="209">
        <f>SUM(D97:D100)</f>
        <v>0</v>
      </c>
    </row>
    <row r="102" spans="1:4" ht="15.75">
      <c r="A102" s="225"/>
      <c r="B102" s="140"/>
      <c r="C102" s="140"/>
      <c r="D102" s="140"/>
    </row>
    <row r="103" spans="1:4" ht="15.75">
      <c r="A103" s="224" t="s">
        <v>121</v>
      </c>
      <c r="B103" s="204"/>
      <c r="C103" s="204"/>
      <c r="D103" s="204"/>
    </row>
    <row r="104" spans="1:4" ht="15.75">
      <c r="A104" s="224" t="s">
        <v>114</v>
      </c>
      <c r="B104" s="204"/>
      <c r="C104" s="204"/>
      <c r="D104" s="204"/>
    </row>
    <row r="105" spans="1:4" ht="15.75">
      <c r="A105" s="224" t="s">
        <v>115</v>
      </c>
      <c r="B105" s="204"/>
      <c r="C105" s="204"/>
      <c r="D105" s="204"/>
    </row>
    <row r="106" spans="1:4" ht="15.75">
      <c r="A106" s="224" t="s">
        <v>116</v>
      </c>
      <c r="B106" s="204"/>
      <c r="C106" s="204"/>
      <c r="D106" s="204"/>
    </row>
    <row r="107" spans="1:4" ht="15.75">
      <c r="A107" s="224"/>
      <c r="B107" s="204"/>
      <c r="C107" s="204"/>
      <c r="D107" s="204"/>
    </row>
    <row r="108" spans="1:4" ht="15.75">
      <c r="A108" s="168" t="s">
        <v>74</v>
      </c>
      <c r="B108" s="209">
        <f>SUM(B103:B107)</f>
        <v>0</v>
      </c>
      <c r="C108" s="209">
        <f>SUM(C103:C107)</f>
        <v>0</v>
      </c>
      <c r="D108" s="209">
        <f>SUM(D103:D107)</f>
        <v>0</v>
      </c>
    </row>
    <row r="109" spans="1:4" ht="15.75">
      <c r="A109" s="225"/>
      <c r="B109" s="140"/>
      <c r="C109" s="140"/>
      <c r="D109" s="140"/>
    </row>
    <row r="110" spans="1:4" ht="15.75">
      <c r="A110" s="224" t="s">
        <v>121</v>
      </c>
      <c r="B110" s="204"/>
      <c r="C110" s="204"/>
      <c r="D110" s="204"/>
    </row>
    <row r="111" spans="1:4" ht="15.75">
      <c r="A111" s="224" t="s">
        <v>114</v>
      </c>
      <c r="B111" s="204"/>
      <c r="C111" s="204"/>
      <c r="D111" s="204"/>
    </row>
    <row r="112" spans="1:4" ht="15.75">
      <c r="A112" s="224" t="s">
        <v>115</v>
      </c>
      <c r="B112" s="204"/>
      <c r="C112" s="204"/>
      <c r="D112" s="204"/>
    </row>
    <row r="113" spans="1:4" ht="15.75">
      <c r="A113" s="224" t="s">
        <v>116</v>
      </c>
      <c r="B113" s="204"/>
      <c r="C113" s="204"/>
      <c r="D113" s="204"/>
    </row>
    <row r="114" spans="1:4" ht="15.75">
      <c r="A114" s="224"/>
      <c r="B114" s="204"/>
      <c r="C114" s="204"/>
      <c r="D114" s="204"/>
    </row>
    <row r="115" spans="1:4" ht="15.75">
      <c r="A115" s="168" t="s">
        <v>74</v>
      </c>
      <c r="B115" s="209">
        <f>SUM(B110:B114)</f>
        <v>0</v>
      </c>
      <c r="C115" s="209">
        <f>SUM(C110:C114)</f>
        <v>0</v>
      </c>
      <c r="D115" s="209">
        <f>SUM(D110:D114)</f>
        <v>0</v>
      </c>
    </row>
    <row r="116" spans="1:4" ht="15.75">
      <c r="A116" s="225"/>
      <c r="B116" s="140"/>
      <c r="C116" s="140"/>
      <c r="D116" s="140"/>
    </row>
    <row r="117" spans="1:4" ht="15.75">
      <c r="A117" s="224" t="s">
        <v>121</v>
      </c>
      <c r="B117" s="204"/>
      <c r="C117" s="204"/>
      <c r="D117" s="204"/>
    </row>
    <row r="118" spans="1:4" ht="15.75">
      <c r="A118" s="224" t="s">
        <v>114</v>
      </c>
      <c r="B118" s="204"/>
      <c r="C118" s="204"/>
      <c r="D118" s="204"/>
    </row>
    <row r="119" spans="1:4" ht="15.75">
      <c r="A119" s="224" t="s">
        <v>115</v>
      </c>
      <c r="B119" s="204"/>
      <c r="C119" s="204"/>
      <c r="D119" s="204"/>
    </row>
    <row r="120" spans="1:4" ht="15.75">
      <c r="A120" s="224" t="s">
        <v>116</v>
      </c>
      <c r="B120" s="204"/>
      <c r="C120" s="204"/>
      <c r="D120" s="204"/>
    </row>
    <row r="121" spans="1:4" ht="15.75">
      <c r="A121" s="224"/>
      <c r="B121" s="204"/>
      <c r="C121" s="204"/>
      <c r="D121" s="204"/>
    </row>
    <row r="122" spans="1:4" ht="15.75">
      <c r="A122" s="168" t="s">
        <v>74</v>
      </c>
      <c r="B122" s="209">
        <f>SUM(B117:B121)</f>
        <v>0</v>
      </c>
      <c r="C122" s="209">
        <f>SUM(C117:C121)</f>
        <v>0</v>
      </c>
      <c r="D122" s="209">
        <f>SUM(D117:D121)</f>
        <v>0</v>
      </c>
    </row>
    <row r="123" spans="1:4" ht="15.75">
      <c r="A123" s="225"/>
      <c r="B123" s="140"/>
      <c r="C123" s="140"/>
      <c r="D123" s="140"/>
    </row>
    <row r="124" spans="1:4" ht="15.75">
      <c r="A124" s="224" t="s">
        <v>121</v>
      </c>
      <c r="B124" s="204"/>
      <c r="C124" s="204"/>
      <c r="D124" s="204"/>
    </row>
    <row r="125" spans="1:4" ht="15.75">
      <c r="A125" s="224" t="s">
        <v>114</v>
      </c>
      <c r="B125" s="204"/>
      <c r="C125" s="204"/>
      <c r="D125" s="204"/>
    </row>
    <row r="126" spans="1:4" ht="15.75">
      <c r="A126" s="224" t="s">
        <v>115</v>
      </c>
      <c r="B126" s="204"/>
      <c r="C126" s="204"/>
      <c r="D126" s="204"/>
    </row>
    <row r="127" spans="1:4" ht="15.75">
      <c r="A127" s="224" t="s">
        <v>116</v>
      </c>
      <c r="B127" s="204"/>
      <c r="C127" s="204"/>
      <c r="D127" s="204"/>
    </row>
    <row r="128" spans="1:4" ht="15.75">
      <c r="A128" s="224"/>
      <c r="B128" s="204"/>
      <c r="C128" s="204"/>
      <c r="D128" s="204"/>
    </row>
    <row r="129" spans="1:4" ht="15.75">
      <c r="A129" s="168" t="s">
        <v>74</v>
      </c>
      <c r="B129" s="209">
        <f>SUM(B124:B128)</f>
        <v>0</v>
      </c>
      <c r="C129" s="209">
        <f>SUM(C124:C128)</f>
        <v>0</v>
      </c>
      <c r="D129" s="291">
        <f>SUM(D124:D128)</f>
        <v>0</v>
      </c>
    </row>
    <row r="130" spans="1:4" ht="15.75">
      <c r="A130" s="168"/>
      <c r="B130" s="140"/>
      <c r="C130" s="140"/>
      <c r="D130" s="140"/>
    </row>
    <row r="131" spans="1:4" ht="15.75">
      <c r="A131" s="42" t="s">
        <v>367</v>
      </c>
      <c r="B131" s="292">
        <f>B81+B88+B95+B101+B108+B115+B122+B129</f>
        <v>0</v>
      </c>
      <c r="C131" s="292">
        <f>C81+C88+C95+C101+C108+C115+C122+C129</f>
        <v>0</v>
      </c>
      <c r="D131" s="292">
        <f>D81+D88+D95+D101+D108+D115+D122+D129</f>
        <v>0</v>
      </c>
    </row>
    <row r="132" spans="1:4" ht="15.75">
      <c r="A132" s="168" t="s">
        <v>366</v>
      </c>
      <c r="B132" s="209">
        <f>B65</f>
        <v>0</v>
      </c>
      <c r="C132" s="209">
        <f>C65</f>
        <v>0</v>
      </c>
      <c r="D132" s="209">
        <f>D65</f>
        <v>0</v>
      </c>
    </row>
    <row r="133" spans="1:4" ht="16.5" thickBot="1">
      <c r="A133" s="168" t="s">
        <v>368</v>
      </c>
      <c r="B133" s="226">
        <f>SUM(B131:B132)</f>
        <v>0</v>
      </c>
      <c r="C133" s="226">
        <f>SUM(C131:C132)</f>
        <v>0</v>
      </c>
      <c r="D133" s="226">
        <f>SUM(D131:D132)</f>
        <v>0</v>
      </c>
    </row>
    <row r="134" spans="1:4" ht="16.5" thickTop="1">
      <c r="A134" s="227" t="s">
        <v>45</v>
      </c>
      <c r="B134" s="140"/>
      <c r="C134" s="140"/>
      <c r="D134" s="140"/>
    </row>
    <row r="135" spans="1:4" ht="15.75">
      <c r="A135" s="94" t="s">
        <v>120</v>
      </c>
      <c r="B135" s="140" t="str">
        <f>CONCATENATE("",general!C60,"d")</f>
        <v>7d</v>
      </c>
      <c r="C135" s="140"/>
      <c r="D135" s="140"/>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B1:P74"/>
  <sheetViews>
    <sheetView zoomScalePageLayoutView="0" workbookViewId="0" topLeftCell="A1">
      <selection activeCell="E87" sqref="E87"/>
    </sheetView>
  </sheetViews>
  <sheetFormatPr defaultColWidth="8.796875" defaultRowHeight="15"/>
  <cols>
    <col min="1" max="1" width="2.3984375" style="541" customWidth="1"/>
    <col min="2" max="2" width="31.09765625" style="541" customWidth="1"/>
    <col min="3" max="4" width="15.796875" style="541" customWidth="1"/>
    <col min="5" max="5" width="16.19921875" style="541" customWidth="1"/>
    <col min="6" max="6" width="8.09765625" style="541" customWidth="1"/>
    <col min="7" max="7" width="10.19921875" style="541" customWidth="1"/>
    <col min="8" max="8" width="8.8984375" style="541" customWidth="1"/>
    <col min="9" max="9" width="5.59765625" style="541" customWidth="1"/>
    <col min="10" max="10" width="10" style="541" customWidth="1"/>
    <col min="11" max="16384" width="8.8984375" style="541" customWidth="1"/>
  </cols>
  <sheetData>
    <row r="1" spans="2:5" ht="15.75">
      <c r="B1" s="538">
        <f>(inputPrYr!D3)</f>
        <v>0</v>
      </c>
      <c r="C1" s="539"/>
      <c r="D1" s="539"/>
      <c r="E1" s="540">
        <f>inputPrYr!$C$6</f>
        <v>0</v>
      </c>
    </row>
    <row r="2" spans="2:5" ht="15.75">
      <c r="B2" s="539"/>
      <c r="C2" s="539"/>
      <c r="D2" s="539"/>
      <c r="E2" s="542"/>
    </row>
    <row r="3" spans="2:5" ht="15.75">
      <c r="B3" s="543" t="s">
        <v>169</v>
      </c>
      <c r="C3" s="544"/>
      <c r="D3" s="544"/>
      <c r="E3" s="544"/>
    </row>
    <row r="4" spans="2:5" ht="15.75">
      <c r="B4" s="545" t="s">
        <v>101</v>
      </c>
      <c r="C4" s="546" t="s">
        <v>801</v>
      </c>
      <c r="D4" s="547" t="s">
        <v>802</v>
      </c>
      <c r="E4" s="548" t="s">
        <v>803</v>
      </c>
    </row>
    <row r="5" spans="2:5" ht="15.75">
      <c r="B5" s="549" t="str">
        <f>+(inputPrYr!B23)</f>
        <v>Debt Service</v>
      </c>
      <c r="C5" s="550" t="str">
        <f>CONCATENATE("Actual for ",E1-2,"")</f>
        <v>Actual for -2</v>
      </c>
      <c r="D5" s="550" t="str">
        <f>CONCATENATE("Estimate for ",E1-1,"")</f>
        <v>Estimate for -1</v>
      </c>
      <c r="E5" s="551" t="str">
        <f>CONCATENATE("Year for ",E1,"")</f>
        <v>Year for 0</v>
      </c>
    </row>
    <row r="6" spans="2:5" ht="15.75">
      <c r="B6" s="552" t="s">
        <v>211</v>
      </c>
      <c r="C6" s="553"/>
      <c r="D6" s="554">
        <f>C54</f>
        <v>0</v>
      </c>
      <c r="E6" s="555">
        <f>D54</f>
        <v>0</v>
      </c>
    </row>
    <row r="7" spans="2:5" ht="15.75">
      <c r="B7" s="556" t="s">
        <v>213</v>
      </c>
      <c r="C7" s="557"/>
      <c r="D7" s="554"/>
      <c r="E7" s="558"/>
    </row>
    <row r="8" spans="2:5" ht="15.75">
      <c r="B8" s="552" t="s">
        <v>102</v>
      </c>
      <c r="C8" s="553"/>
      <c r="D8" s="554">
        <f>IF(inputPrYr!H21&gt;0,inputPrYr!G23,inputPrYr!E23)</f>
        <v>0</v>
      </c>
      <c r="E8" s="559" t="s">
        <v>91</v>
      </c>
    </row>
    <row r="9" spans="2:5" ht="15.75">
      <c r="B9" s="552" t="s">
        <v>103</v>
      </c>
      <c r="C9" s="553"/>
      <c r="D9" s="560"/>
      <c r="E9" s="561"/>
    </row>
    <row r="10" spans="2:5" ht="15.75">
      <c r="B10" s="552" t="s">
        <v>104</v>
      </c>
      <c r="C10" s="553"/>
      <c r="D10" s="560"/>
      <c r="E10" s="562" t="str">
        <f>mvalloc!D8</f>
        <v>  </v>
      </c>
    </row>
    <row r="11" spans="2:5" ht="15.75">
      <c r="B11" s="552" t="s">
        <v>105</v>
      </c>
      <c r="C11" s="553"/>
      <c r="D11" s="560"/>
      <c r="E11" s="562" t="str">
        <f>mvalloc!E8</f>
        <v> </v>
      </c>
    </row>
    <row r="12" spans="2:5" ht="15.75">
      <c r="B12" s="563" t="s">
        <v>200</v>
      </c>
      <c r="C12" s="553"/>
      <c r="D12" s="560"/>
      <c r="E12" s="562" t="str">
        <f>mvalloc!F8</f>
        <v> </v>
      </c>
    </row>
    <row r="13" spans="2:5" ht="15.75">
      <c r="B13" s="913" t="s">
        <v>1012</v>
      </c>
      <c r="C13" s="553"/>
      <c r="D13" s="560"/>
      <c r="E13" s="562" t="str">
        <f>mvalloc!G8</f>
        <v> </v>
      </c>
    </row>
    <row r="14" spans="2:5" ht="15.75">
      <c r="B14" s="913" t="s">
        <v>1013</v>
      </c>
      <c r="C14" s="553"/>
      <c r="D14" s="560"/>
      <c r="E14" s="562" t="str">
        <f>mvalloc!H8</f>
        <v> </v>
      </c>
    </row>
    <row r="15" spans="2:5" ht="15.75">
      <c r="B15" s="489"/>
      <c r="C15" s="553"/>
      <c r="D15" s="560"/>
      <c r="E15" s="561"/>
    </row>
    <row r="16" spans="2:5" ht="15.75">
      <c r="B16" s="490"/>
      <c r="C16" s="553"/>
      <c r="D16" s="560"/>
      <c r="E16" s="561"/>
    </row>
    <row r="17" spans="2:5" ht="15.75">
      <c r="B17" s="489"/>
      <c r="C17" s="553"/>
      <c r="D17" s="560"/>
      <c r="E17" s="561"/>
    </row>
    <row r="18" spans="2:5" ht="15.75">
      <c r="B18" s="564"/>
      <c r="C18" s="553"/>
      <c r="D18" s="560"/>
      <c r="E18" s="561"/>
    </row>
    <row r="19" spans="2:5" ht="15.75">
      <c r="B19" s="489"/>
      <c r="C19" s="553"/>
      <c r="D19" s="560"/>
      <c r="E19" s="561"/>
    </row>
    <row r="20" spans="2:5" ht="15.75">
      <c r="B20" s="489"/>
      <c r="C20" s="565"/>
      <c r="D20" s="560"/>
      <c r="E20" s="561"/>
    </row>
    <row r="21" spans="2:5" ht="15.75">
      <c r="B21" s="489"/>
      <c r="C21" s="565"/>
      <c r="D21" s="560"/>
      <c r="E21" s="561"/>
    </row>
    <row r="22" spans="2:5" ht="15.75">
      <c r="B22" s="489"/>
      <c r="C22" s="553"/>
      <c r="D22" s="560"/>
      <c r="E22" s="561"/>
    </row>
    <row r="23" spans="2:5" ht="15.75">
      <c r="B23" s="489"/>
      <c r="C23" s="553"/>
      <c r="D23" s="560"/>
      <c r="E23" s="561"/>
    </row>
    <row r="24" spans="2:5" ht="15.75">
      <c r="B24" s="566" t="s">
        <v>109</v>
      </c>
      <c r="C24" s="553"/>
      <c r="D24" s="560"/>
      <c r="E24" s="561"/>
    </row>
    <row r="25" spans="2:5" ht="15.75">
      <c r="B25" s="567" t="s">
        <v>12</v>
      </c>
      <c r="C25" s="553"/>
      <c r="D25" s="560"/>
      <c r="E25" s="562">
        <f>nhood!E7*-1</f>
        <v>0</v>
      </c>
    </row>
    <row r="26" spans="2:5" ht="15.75">
      <c r="B26" s="567" t="s">
        <v>13</v>
      </c>
      <c r="C26" s="565"/>
      <c r="D26" s="560"/>
      <c r="E26" s="568"/>
    </row>
    <row r="27" spans="2:5" ht="15.75">
      <c r="B27" s="567" t="s">
        <v>780</v>
      </c>
      <c r="C27" s="569">
        <f>IF(C28*0.1&lt;C26,"Exceed 10% Rule","")</f>
      </c>
      <c r="D27" s="570">
        <f>IF(D28*0.1&lt;D26,"Exceed 10% Rule","")</f>
      </c>
      <c r="E27" s="571">
        <f>IF(E28*0.1+E60&lt;E26,"Exceed 10% Rule","")</f>
      </c>
    </row>
    <row r="28" spans="2:5" ht="15.75">
      <c r="B28" s="572" t="s">
        <v>110</v>
      </c>
      <c r="C28" s="573">
        <f>SUM(C8:C26)</f>
        <v>0</v>
      </c>
      <c r="D28" s="574">
        <f>SUM(D8:D26)</f>
        <v>0</v>
      </c>
      <c r="E28" s="575">
        <f>SUM(E8:E26)</f>
        <v>0</v>
      </c>
    </row>
    <row r="29" spans="2:5" ht="15.75">
      <c r="B29" s="572" t="s">
        <v>111</v>
      </c>
      <c r="C29" s="573">
        <f>C6+C28</f>
        <v>0</v>
      </c>
      <c r="D29" s="574">
        <f>D6+D28</f>
        <v>0</v>
      </c>
      <c r="E29" s="576">
        <f>E6+E28</f>
        <v>0</v>
      </c>
    </row>
    <row r="30" spans="2:5" ht="15.75">
      <c r="B30" s="556" t="s">
        <v>113</v>
      </c>
      <c r="C30" s="577"/>
      <c r="D30" s="578"/>
      <c r="E30" s="562"/>
    </row>
    <row r="31" spans="2:5" ht="15.75">
      <c r="B31" s="579"/>
      <c r="C31" s="565"/>
      <c r="D31" s="560"/>
      <c r="E31" s="580"/>
    </row>
    <row r="32" spans="2:5" ht="15.75">
      <c r="B32" s="581"/>
      <c r="C32" s="565"/>
      <c r="D32" s="560"/>
      <c r="E32" s="580"/>
    </row>
    <row r="33" spans="2:5" ht="15.75">
      <c r="B33" s="581"/>
      <c r="C33" s="565"/>
      <c r="D33" s="560"/>
      <c r="E33" s="580"/>
    </row>
    <row r="34" spans="2:5" ht="15.75">
      <c r="B34" s="581"/>
      <c r="C34" s="565"/>
      <c r="D34" s="560"/>
      <c r="E34" s="580"/>
    </row>
    <row r="35" spans="2:5" ht="15.75">
      <c r="B35" s="581"/>
      <c r="C35" s="565"/>
      <c r="D35" s="560"/>
      <c r="E35" s="580"/>
    </row>
    <row r="36" spans="2:10" ht="15.75">
      <c r="B36" s="582"/>
      <c r="C36" s="565"/>
      <c r="D36" s="560"/>
      <c r="E36" s="561"/>
      <c r="G36" s="1161" t="str">
        <f>CONCATENATE("Desired Carryover Into ",E1+1,"")</f>
        <v>Desired Carryover Into 1</v>
      </c>
      <c r="H36" s="1162"/>
      <c r="I36" s="1162"/>
      <c r="J36" s="1163"/>
    </row>
    <row r="37" spans="2:10" ht="15.75">
      <c r="B37" s="582"/>
      <c r="C37" s="565"/>
      <c r="D37" s="560"/>
      <c r="E37" s="561"/>
      <c r="G37" s="588"/>
      <c r="H37" s="589"/>
      <c r="I37" s="590"/>
      <c r="J37" s="591"/>
    </row>
    <row r="38" spans="2:10" ht="15.75">
      <c r="B38" s="582"/>
      <c r="C38" s="565"/>
      <c r="D38" s="560"/>
      <c r="E38" s="561"/>
      <c r="G38" s="592" t="s">
        <v>768</v>
      </c>
      <c r="H38" s="590"/>
      <c r="I38" s="590"/>
      <c r="J38" s="593">
        <v>0</v>
      </c>
    </row>
    <row r="39" spans="2:10" ht="15.75">
      <c r="B39" s="582"/>
      <c r="C39" s="565"/>
      <c r="D39" s="560"/>
      <c r="E39" s="561"/>
      <c r="G39" s="588" t="s">
        <v>769</v>
      </c>
      <c r="H39" s="589"/>
      <c r="I39" s="589"/>
      <c r="J39" s="594">
        <f>IF(J38=0,"",ROUND((J38+E60-G51)/inputOth!E9*1000,3)-G56)</f>
      </c>
    </row>
    <row r="40" spans="2:10" ht="15.75">
      <c r="B40" s="582"/>
      <c r="C40" s="565"/>
      <c r="D40" s="560"/>
      <c r="E40" s="561"/>
      <c r="G40" s="595" t="str">
        <f>CONCATENATE("",E1," Tot Exp/Non-Appr Must Be:")</f>
        <v>0 Tot Exp/Non-Appr Must Be:</v>
      </c>
      <c r="H40" s="596"/>
      <c r="I40" s="597"/>
      <c r="J40" s="598">
        <f>IF(J38&gt;0,IF(E57&lt;E29,IF(J38=G51,E57,((J38-G51)*(1-D59))+E29),E57+(J38-G51)),0)</f>
        <v>0</v>
      </c>
    </row>
    <row r="41" spans="2:10" ht="15.75">
      <c r="B41" s="582"/>
      <c r="C41" s="565"/>
      <c r="D41" s="560"/>
      <c r="E41" s="561"/>
      <c r="G41" s="599" t="s">
        <v>804</v>
      </c>
      <c r="H41" s="600"/>
      <c r="I41" s="600"/>
      <c r="J41" s="601">
        <f>IF(J38&gt;0,J40-E57,0)</f>
        <v>0</v>
      </c>
    </row>
    <row r="42" spans="2:5" ht="15.75">
      <c r="B42" s="582"/>
      <c r="C42" s="565"/>
      <c r="D42" s="560"/>
      <c r="E42" s="561"/>
    </row>
    <row r="43" spans="2:10" ht="15.75">
      <c r="B43" s="582"/>
      <c r="C43" s="565"/>
      <c r="D43" s="560"/>
      <c r="E43" s="561"/>
      <c r="G43" s="1161" t="str">
        <f>CONCATENATE("Projected Carryover Into ",E1+1,"")</f>
        <v>Projected Carryover Into 1</v>
      </c>
      <c r="H43" s="1162"/>
      <c r="I43" s="1162"/>
      <c r="J43" s="1163"/>
    </row>
    <row r="44" spans="2:10" ht="15.75">
      <c r="B44" s="582"/>
      <c r="C44" s="565"/>
      <c r="D44" s="560"/>
      <c r="E44" s="561"/>
      <c r="G44" s="602"/>
      <c r="H44" s="589"/>
      <c r="I44" s="589"/>
      <c r="J44" s="603"/>
    </row>
    <row r="45" spans="2:10" ht="15.75">
      <c r="B45" s="579"/>
      <c r="C45" s="565"/>
      <c r="D45" s="560"/>
      <c r="E45" s="587"/>
      <c r="G45" s="604">
        <f>D54</f>
        <v>0</v>
      </c>
      <c r="H45" s="605" t="str">
        <f>CONCATENATE("",E1-1," Ending Cash Balance (est.)")</f>
        <v>-1 Ending Cash Balance (est.)</v>
      </c>
      <c r="I45" s="606"/>
      <c r="J45" s="603"/>
    </row>
    <row r="46" spans="2:10" ht="15.75">
      <c r="B46" s="579"/>
      <c r="C46" s="565"/>
      <c r="D46" s="560"/>
      <c r="E46" s="561"/>
      <c r="G46" s="604">
        <f>E28</f>
        <v>0</v>
      </c>
      <c r="H46" s="590" t="str">
        <f>CONCATENATE("",E1," Non-AV Receipts (est.)")</f>
        <v>0 Non-AV Receipts (est.)</v>
      </c>
      <c r="I46" s="606"/>
      <c r="J46" s="603"/>
    </row>
    <row r="47" spans="2:11" ht="15.75">
      <c r="B47" s="579"/>
      <c r="C47" s="565"/>
      <c r="D47" s="560"/>
      <c r="E47" s="561"/>
      <c r="G47" s="611">
        <f>IF(E59&gt;0,E58,E60)</f>
        <v>0</v>
      </c>
      <c r="H47" s="590" t="str">
        <f>CONCATENATE("",E1," Ad Valorem Tax (est.)")</f>
        <v>0 Ad Valorem Tax (est.)</v>
      </c>
      <c r="I47" s="606"/>
      <c r="J47" s="603"/>
      <c r="K47" s="612">
        <f>IF(G47=E60,"","Note: Does not include Delinquent Taxes")</f>
      </c>
    </row>
    <row r="48" spans="2:10" ht="15.75">
      <c r="B48" s="579"/>
      <c r="C48" s="565"/>
      <c r="D48" s="560"/>
      <c r="E48" s="561"/>
      <c r="G48" s="604">
        <f>SUM(G45:G47)</f>
        <v>0</v>
      </c>
      <c r="H48" s="590" t="str">
        <f>CONCATENATE("Total ",E1," Resources Available")</f>
        <v>Total 0 Resources Available</v>
      </c>
      <c r="I48" s="606"/>
      <c r="J48" s="603"/>
    </row>
    <row r="49" spans="2:10" ht="15.75">
      <c r="B49" s="579"/>
      <c r="C49" s="565"/>
      <c r="D49" s="560"/>
      <c r="E49" s="561"/>
      <c r="G49" s="617"/>
      <c r="H49" s="590"/>
      <c r="I49" s="590"/>
      <c r="J49" s="603"/>
    </row>
    <row r="50" spans="2:10" ht="15.75">
      <c r="B50" s="567" t="str">
        <f>CONCATENATE("Cash Basis Reserve (",E1," column)")</f>
        <v>Cash Basis Reserve (0 column)</v>
      </c>
      <c r="C50" s="565"/>
      <c r="D50" s="560"/>
      <c r="E50" s="561"/>
      <c r="G50" s="611">
        <f>ROUND(C53*0.05+C53,0)</f>
        <v>0</v>
      </c>
      <c r="H50" s="590" t="str">
        <f>CONCATENATE("Less ",E1-2," Expenditures + 5%")</f>
        <v>Less -2 Expenditures + 5%</v>
      </c>
      <c r="I50" s="606"/>
      <c r="J50" s="603"/>
    </row>
    <row r="51" spans="2:10" ht="15.75">
      <c r="B51" s="567" t="s">
        <v>13</v>
      </c>
      <c r="C51" s="565"/>
      <c r="D51" s="560"/>
      <c r="E51" s="561"/>
      <c r="G51" s="622">
        <f>G48-G50</f>
        <v>0</v>
      </c>
      <c r="H51" s="623" t="str">
        <f>CONCATENATE("Projected ",E1+1," Carryover (est.)")</f>
        <v>Projected 1 Carryover (est.)</v>
      </c>
      <c r="I51" s="624"/>
      <c r="J51" s="625"/>
    </row>
    <row r="52" spans="2:5" ht="15.75">
      <c r="B52" s="567" t="s">
        <v>781</v>
      </c>
      <c r="C52" s="569">
        <f>IF(C53*0.1&lt;C51,"Exceed 10% Rule","")</f>
      </c>
      <c r="D52" s="570">
        <f>IF(D53*0.1&lt;D51,"Exceed 10% Rule","")</f>
      </c>
      <c r="E52" s="571">
        <f>IF(E53*0.1&lt;E51,"Exceed 10% Rule","")</f>
      </c>
    </row>
    <row r="53" spans="2:10" ht="15.75">
      <c r="B53" s="572" t="s">
        <v>117</v>
      </c>
      <c r="C53" s="573">
        <f>SUM(C31:C51)</f>
        <v>0</v>
      </c>
      <c r="D53" s="574">
        <f>SUM(D31:D51)</f>
        <v>0</v>
      </c>
      <c r="E53" s="575">
        <f>SUM(E31:E51)</f>
        <v>0</v>
      </c>
      <c r="G53" s="1156" t="s">
        <v>805</v>
      </c>
      <c r="H53" s="1157"/>
      <c r="I53" s="1157"/>
      <c r="J53" s="1158"/>
    </row>
    <row r="54" spans="2:10" ht="15.75">
      <c r="B54" s="552" t="s">
        <v>212</v>
      </c>
      <c r="C54" s="607">
        <f>C29-C53</f>
        <v>0</v>
      </c>
      <c r="D54" s="608">
        <f>D29-D53</f>
        <v>0</v>
      </c>
      <c r="E54" s="559" t="s">
        <v>91</v>
      </c>
      <c r="G54" s="629"/>
      <c r="H54" s="605"/>
      <c r="I54" s="630"/>
      <c r="J54" s="631"/>
    </row>
    <row r="55" spans="2:10" ht="15.75">
      <c r="B55" s="829" t="str">
        <f>CONCATENATE("",E1-2,"/",E1-1,"/",E1," Budget Authority Amount:")</f>
        <v>-2/-1/0 Budget Authority Amount:</v>
      </c>
      <c r="C55" s="578">
        <f>inputOth!B67</f>
        <v>0</v>
      </c>
      <c r="D55" s="578">
        <f>inputPrYr!D23</f>
        <v>0</v>
      </c>
      <c r="E55" s="828">
        <f>E53</f>
        <v>0</v>
      </c>
      <c r="F55" s="610"/>
      <c r="G55" s="632" t="str">
        <f>summ!H16</f>
        <v>  </v>
      </c>
      <c r="H55" s="605" t="str">
        <f>CONCATENATE("",E1," Fund Mill Rate")</f>
        <v>0 Fund Mill Rate</v>
      </c>
      <c r="I55" s="630"/>
      <c r="J55" s="631"/>
    </row>
    <row r="56" spans="2:10" ht="15.75">
      <c r="B56" s="609"/>
      <c r="C56" s="1142" t="s">
        <v>626</v>
      </c>
      <c r="D56" s="1143"/>
      <c r="E56" s="613"/>
      <c r="F56" s="614">
        <f>IF(E53/0.95-E53&lt;E56,"Exceeds 5%","")</f>
      </c>
      <c r="G56" s="635" t="str">
        <f>summ!E16</f>
        <v>  </v>
      </c>
      <c r="H56" s="605" t="str">
        <f>CONCATENATE("",E1-1," Fund Mill Rate")</f>
        <v>-1 Fund Mill Rate</v>
      </c>
      <c r="I56" s="630"/>
      <c r="J56" s="631"/>
    </row>
    <row r="57" spans="2:10" ht="15.75">
      <c r="B57" s="615" t="str">
        <f>CONCATENATE(C73,"     ",D73)</f>
        <v>     </v>
      </c>
      <c r="C57" s="1144" t="s">
        <v>627</v>
      </c>
      <c r="D57" s="1145"/>
      <c r="E57" s="616">
        <f>E53+E56</f>
        <v>0</v>
      </c>
      <c r="G57" s="641">
        <f>summ!H52</f>
        <v>0</v>
      </c>
      <c r="H57" s="605" t="str">
        <f>CONCATENATE("Total ",E1," Mill Rate")</f>
        <v>Total 0 Mill Rate</v>
      </c>
      <c r="I57" s="630"/>
      <c r="J57" s="631"/>
    </row>
    <row r="58" spans="2:10" ht="15.75">
      <c r="B58" s="615" t="str">
        <f>CONCATENATE(C74,"     ",D74)</f>
        <v>     </v>
      </c>
      <c r="C58" s="618"/>
      <c r="D58" s="542" t="s">
        <v>118</v>
      </c>
      <c r="E58" s="619">
        <f>IF(E57-E29&gt;0,E57-E29,0)</f>
        <v>0</v>
      </c>
      <c r="G58" s="635">
        <f>summ!E52</f>
        <v>0</v>
      </c>
      <c r="H58" s="644" t="str">
        <f>CONCATENATE("Total ",E1-1," Mill Rate")</f>
        <v>Total -1 Mill Rate</v>
      </c>
      <c r="I58" s="645"/>
      <c r="J58" s="646"/>
    </row>
    <row r="59" spans="2:10" ht="15.75">
      <c r="B59" s="620"/>
      <c r="C59" s="330" t="s">
        <v>625</v>
      </c>
      <c r="D59" s="621">
        <f>inputOth!E53</f>
        <v>0</v>
      </c>
      <c r="E59" s="616">
        <f>ROUND(IF(D59&gt;0,(E58*D59),0),0)</f>
        <v>0</v>
      </c>
      <c r="G59" s="638"/>
      <c r="H59" s="633"/>
      <c r="I59" s="633"/>
      <c r="J59" s="648"/>
    </row>
    <row r="60" spans="2:10" ht="16.5" thickBot="1">
      <c r="B60" s="539"/>
      <c r="C60" s="1164" t="str">
        <f>CONCATENATE("Amount of  ",E1-1," Ad Valorem Tax")</f>
        <v>Amount of  -1 Ad Valorem Tax</v>
      </c>
      <c r="D60" s="1165"/>
      <c r="E60" s="626">
        <f>E58+E59</f>
        <v>0</v>
      </c>
      <c r="G60" s="914"/>
      <c r="H60" s="915"/>
      <c r="I60" s="922"/>
      <c r="J60" s="916"/>
    </row>
    <row r="61" spans="2:10" ht="16.5" thickTop="1">
      <c r="B61" s="542"/>
      <c r="C61" s="539"/>
      <c r="D61" s="539"/>
      <c r="E61" s="539"/>
      <c r="G61" s="927" t="str">
        <f>CONCATENATE("Computed ",E1," tax levy limit amount")</f>
        <v>Computed 0 tax levy limit amount</v>
      </c>
      <c r="H61" s="923"/>
      <c r="I61" s="923"/>
      <c r="J61" s="924">
        <f>Comp1!J47</f>
        <v>0</v>
      </c>
    </row>
    <row r="62" spans="2:16" ht="15.75">
      <c r="B62" s="977" t="s">
        <v>1034</v>
      </c>
      <c r="C62" s="952"/>
      <c r="D62" s="952"/>
      <c r="E62" s="953"/>
      <c r="G62" s="928" t="str">
        <f>CONCATENATE("Total ",E1," tax levy amount")</f>
        <v>Total 0 tax levy amount</v>
      </c>
      <c r="H62" s="925"/>
      <c r="I62" s="925"/>
      <c r="J62" s="926">
        <f>summ!G52</f>
        <v>0</v>
      </c>
      <c r="M62" s="1159"/>
      <c r="N62" s="1159"/>
      <c r="O62" s="1159"/>
      <c r="P62" s="1160"/>
    </row>
    <row r="63" spans="2:16" ht="15.75">
      <c r="B63" s="954"/>
      <c r="C63" s="589"/>
      <c r="D63" s="589"/>
      <c r="E63" s="603"/>
      <c r="M63" s="633"/>
      <c r="N63" s="633"/>
      <c r="O63" s="633"/>
      <c r="P63" s="633"/>
    </row>
    <row r="64" spans="2:16" ht="15.75">
      <c r="B64" s="955"/>
      <c r="C64" s="956"/>
      <c r="D64" s="956"/>
      <c r="E64" s="957"/>
      <c r="F64" s="584"/>
      <c r="L64" s="636"/>
      <c r="M64" s="637"/>
      <c r="N64" s="638"/>
      <c r="O64" s="638"/>
      <c r="P64" s="639"/>
    </row>
    <row r="65" spans="2:16" ht="15.75">
      <c r="B65" s="542"/>
      <c r="C65" s="539"/>
      <c r="D65" s="539"/>
      <c r="E65" s="539"/>
      <c r="F65" s="585"/>
      <c r="M65" s="640"/>
      <c r="N65" s="585"/>
      <c r="O65" s="640"/>
      <c r="P65" s="639"/>
    </row>
    <row r="66" spans="2:16" ht="15.75">
      <c r="B66" s="609" t="s">
        <v>120</v>
      </c>
      <c r="C66" s="627"/>
      <c r="D66" s="628"/>
      <c r="E66" s="539"/>
      <c r="F66" s="585"/>
      <c r="M66" s="640"/>
      <c r="N66" s="585"/>
      <c r="O66" s="640"/>
      <c r="P66" s="647"/>
    </row>
    <row r="67" ht="14.25" customHeight="1">
      <c r="F67" s="585"/>
    </row>
    <row r="68" spans="3:6" ht="15.75">
      <c r="C68" s="583"/>
      <c r="D68" s="583"/>
      <c r="E68" s="634"/>
      <c r="F68" s="585"/>
    </row>
    <row r="69" spans="3:6" ht="15.75" hidden="1">
      <c r="C69" s="640"/>
      <c r="D69" s="585"/>
      <c r="E69" s="634"/>
      <c r="F69" s="585"/>
    </row>
    <row r="70" spans="3:5" ht="15.75" hidden="1">
      <c r="C70" s="642"/>
      <c r="D70" s="643"/>
      <c r="E70" s="634"/>
    </row>
    <row r="71" spans="3:5" ht="15.75">
      <c r="C71" s="586"/>
      <c r="D71" s="585"/>
      <c r="E71" s="585"/>
    </row>
    <row r="72" spans="3:5" ht="15.75">
      <c r="C72" s="586"/>
      <c r="D72" s="585"/>
      <c r="E72" s="585"/>
    </row>
    <row r="73" spans="3:5" ht="15.75">
      <c r="C73" s="649">
        <f>IF(C53&gt;C55,"See Tab A","")</f>
      </c>
      <c r="D73" s="650">
        <f>IF(D53&gt;D55,"See Tab C","")</f>
      </c>
      <c r="E73" s="585"/>
    </row>
    <row r="74" spans="3:4" ht="15.75">
      <c r="C74" s="651">
        <f>IF(C54&lt;0,"See Tab B","")</f>
      </c>
      <c r="D74" s="651">
        <f>IF(D54&lt;0,"See Tab D","")</f>
      </c>
    </row>
  </sheetData>
  <sheetProtection/>
  <mergeCells count="7">
    <mergeCell ref="G53:J53"/>
    <mergeCell ref="M62:P62"/>
    <mergeCell ref="G36:J36"/>
    <mergeCell ref="G43:J43"/>
    <mergeCell ref="C56:D56"/>
    <mergeCell ref="C57:D57"/>
    <mergeCell ref="C60:D60"/>
  </mergeCells>
  <conditionalFormatting sqref="E51">
    <cfRule type="cellIs" priority="11" dxfId="328" operator="greaterThan" stopIfTrue="1">
      <formula>$E$53*0.1</formula>
    </cfRule>
  </conditionalFormatting>
  <conditionalFormatting sqref="E56">
    <cfRule type="cellIs" priority="10" dxfId="328" operator="greaterThan" stopIfTrue="1">
      <formula>$E$53/0.95-$E$53</formula>
    </cfRule>
  </conditionalFormatting>
  <conditionalFormatting sqref="C54">
    <cfRule type="cellIs" priority="9" dxfId="3" operator="lessThan" stopIfTrue="1">
      <formula>0</formula>
    </cfRule>
  </conditionalFormatting>
  <conditionalFormatting sqref="C53">
    <cfRule type="cellIs" priority="8" dxfId="3" operator="greaterThan" stopIfTrue="1">
      <formula>$C$55</formula>
    </cfRule>
  </conditionalFormatting>
  <conditionalFormatting sqref="C51">
    <cfRule type="cellIs" priority="7" dxfId="3" operator="greaterThan" stopIfTrue="1">
      <formula>$C$53*0.1</formula>
    </cfRule>
  </conditionalFormatting>
  <conditionalFormatting sqref="D51">
    <cfRule type="cellIs" priority="6" dxfId="3" operator="greaterThan" stopIfTrue="1">
      <formula>$D$53*0.1</formula>
    </cfRule>
  </conditionalFormatting>
  <conditionalFormatting sqref="C26">
    <cfRule type="cellIs" priority="5" dxfId="3" operator="greaterThan" stopIfTrue="1">
      <formula>$C$28*0.1</formula>
    </cfRule>
  </conditionalFormatting>
  <conditionalFormatting sqref="D26">
    <cfRule type="cellIs" priority="4" dxfId="3" operator="greaterThan" stopIfTrue="1">
      <formula>$D$28*0.1</formula>
    </cfRule>
  </conditionalFormatting>
  <conditionalFormatting sqref="E26">
    <cfRule type="cellIs" priority="3" dxfId="328" operator="greaterThan" stopIfTrue="1">
      <formula>$E$28*0.1+E60</formula>
    </cfRule>
  </conditionalFormatting>
  <conditionalFormatting sqref="D54">
    <cfRule type="cellIs" priority="2" dxfId="0" operator="lessThan" stopIfTrue="1">
      <formula>0</formula>
    </cfRule>
  </conditionalFormatting>
  <conditionalFormatting sqref="D53">
    <cfRule type="cellIs" priority="1" dxfId="0" operator="greaterThan" stopIfTrue="1">
      <formula>$D$55</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B82" sqref="B82"/>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796875" style="30" customWidth="1"/>
    <col min="10" max="10" width="10.8984375" style="30" customWidth="1"/>
    <col min="11" max="16384" width="8.8984375" style="30" customWidth="1"/>
  </cols>
  <sheetData>
    <row r="1" spans="2:5" ht="15.75">
      <c r="B1" s="348">
        <f>inputPrYr!D3</f>
        <v>0</v>
      </c>
      <c r="C1" s="348"/>
      <c r="D1" s="333"/>
      <c r="E1" s="341">
        <f>inputPrYr!C6</f>
        <v>0</v>
      </c>
    </row>
    <row r="2" spans="2:5" ht="15.75">
      <c r="B2" s="333"/>
      <c r="C2" s="333"/>
      <c r="D2" s="333"/>
      <c r="E2" s="350"/>
    </row>
    <row r="3" spans="2:5" ht="15.75">
      <c r="B3" s="336" t="s">
        <v>169</v>
      </c>
      <c r="C3" s="336"/>
      <c r="D3" s="352"/>
      <c r="E3" s="342"/>
    </row>
    <row r="4" spans="2:5" ht="15.75">
      <c r="B4" s="335" t="s">
        <v>101</v>
      </c>
      <c r="C4" s="365" t="s">
        <v>801</v>
      </c>
      <c r="D4" s="364" t="s">
        <v>802</v>
      </c>
      <c r="E4" s="343" t="s">
        <v>803</v>
      </c>
    </row>
    <row r="5" spans="2:5" ht="15.75">
      <c r="B5" s="374" t="str">
        <f>inputPrYr!B24</f>
        <v>Library</v>
      </c>
      <c r="C5" s="366" t="str">
        <f>CONCATENATE("Actual for ",E1-2,"")</f>
        <v>Actual for -2</v>
      </c>
      <c r="D5" s="366" t="str">
        <f>CONCATENATE("Estimate for ",E1-1,"")</f>
        <v>Estimate for -1</v>
      </c>
      <c r="E5" s="351" t="str">
        <f>CONCATENATE("Year for ",E1,"")</f>
        <v>Year for 0</v>
      </c>
    </row>
    <row r="6" spans="2:5" ht="15.75">
      <c r="B6" s="344" t="s">
        <v>211</v>
      </c>
      <c r="C6" s="370"/>
      <c r="D6" s="369">
        <f>C34</f>
        <v>0</v>
      </c>
      <c r="E6" s="345">
        <f>D34</f>
        <v>0</v>
      </c>
    </row>
    <row r="7" spans="2:5" ht="15.75">
      <c r="B7" s="344" t="s">
        <v>213</v>
      </c>
      <c r="C7" s="346"/>
      <c r="D7" s="369"/>
      <c r="E7" s="345"/>
    </row>
    <row r="8" spans="2:5" ht="15.75">
      <c r="B8" s="344" t="s">
        <v>102</v>
      </c>
      <c r="C8" s="367"/>
      <c r="D8" s="369">
        <f>IF(inputPrYr!H21&gt;0,inputPrYr!G24,inputPrYr!E24)</f>
        <v>0</v>
      </c>
      <c r="E8" s="360" t="s">
        <v>91</v>
      </c>
    </row>
    <row r="9" spans="2:5" ht="15.75">
      <c r="B9" s="344" t="s">
        <v>103</v>
      </c>
      <c r="C9" s="367"/>
      <c r="D9" s="371"/>
      <c r="E9" s="337"/>
    </row>
    <row r="10" spans="2:5" ht="15.75">
      <c r="B10" s="344" t="s">
        <v>104</v>
      </c>
      <c r="C10" s="367"/>
      <c r="D10" s="371"/>
      <c r="E10" s="345" t="str">
        <f>mvalloc!D9</f>
        <v>  </v>
      </c>
    </row>
    <row r="11" spans="2:5" ht="15.75">
      <c r="B11" s="344" t="s">
        <v>105</v>
      </c>
      <c r="C11" s="367"/>
      <c r="D11" s="371"/>
      <c r="E11" s="345" t="str">
        <f>mvalloc!E9</f>
        <v> </v>
      </c>
    </row>
    <row r="12" spans="2:5" ht="15.75">
      <c r="B12" s="347" t="s">
        <v>200</v>
      </c>
      <c r="C12" s="367"/>
      <c r="D12" s="371"/>
      <c r="E12" s="345" t="str">
        <f>mvalloc!F9</f>
        <v> </v>
      </c>
    </row>
    <row r="13" spans="2:5" ht="15.75">
      <c r="B13" s="913" t="s">
        <v>1012</v>
      </c>
      <c r="C13" s="367"/>
      <c r="D13" s="371"/>
      <c r="E13" s="345" t="str">
        <f>mvalloc!G9</f>
        <v> </v>
      </c>
    </row>
    <row r="14" spans="2:5" ht="15.75">
      <c r="B14" s="913" t="s">
        <v>1013</v>
      </c>
      <c r="C14" s="367"/>
      <c r="D14" s="371"/>
      <c r="E14" s="345" t="str">
        <f>mvalloc!H9</f>
        <v> </v>
      </c>
    </row>
    <row r="15" spans="2:5" ht="15.75">
      <c r="B15" s="362"/>
      <c r="C15" s="367"/>
      <c r="D15" s="371"/>
      <c r="E15" s="337"/>
    </row>
    <row r="16" spans="2:5" ht="15.75">
      <c r="B16" s="362"/>
      <c r="C16" s="367"/>
      <c r="D16" s="371"/>
      <c r="E16" s="337"/>
    </row>
    <row r="17" spans="2:10" ht="15.75">
      <c r="B17" s="357" t="s">
        <v>109</v>
      </c>
      <c r="C17" s="367"/>
      <c r="D17" s="371"/>
      <c r="E17" s="337"/>
      <c r="F17" s="332"/>
      <c r="G17" s="1166" t="str">
        <f>CONCATENATE("Desired Carryover Into ",E1+1,"")</f>
        <v>Desired Carryover Into 1</v>
      </c>
      <c r="H17" s="1151"/>
      <c r="I17" s="1151"/>
      <c r="J17" s="1152"/>
    </row>
    <row r="18" spans="2:10" ht="15.75">
      <c r="B18" s="359" t="s">
        <v>12</v>
      </c>
      <c r="C18" s="367"/>
      <c r="D18" s="371"/>
      <c r="E18" s="831">
        <f>nhood!E8*-1</f>
        <v>0</v>
      </c>
      <c r="F18" s="332"/>
      <c r="G18" s="736"/>
      <c r="H18" s="737"/>
      <c r="I18" s="738"/>
      <c r="J18" s="739"/>
    </row>
    <row r="19" spans="2:10" ht="15.75">
      <c r="B19" s="344" t="s">
        <v>13</v>
      </c>
      <c r="C19" s="201"/>
      <c r="D19" s="201"/>
      <c r="E19" s="43"/>
      <c r="F19" s="332"/>
      <c r="G19" s="740" t="s">
        <v>768</v>
      </c>
      <c r="H19" s="738"/>
      <c r="I19" s="738"/>
      <c r="J19" s="741">
        <v>0</v>
      </c>
    </row>
    <row r="20" spans="2:10" ht="15.75">
      <c r="B20" s="344" t="s">
        <v>780</v>
      </c>
      <c r="C20" s="206">
        <f>IF(C21*0.1&lt;C19,"Exceed 10% Rule","")</f>
      </c>
      <c r="D20" s="206">
        <f>IF(D21*0.1&lt;D19,"Exceed 10% Rule","")</f>
      </c>
      <c r="E20" s="243">
        <f>IF(E21*0.1+E40&lt;E19,"Exceed 10% Rule","")</f>
      </c>
      <c r="F20" s="332"/>
      <c r="G20" s="736" t="s">
        <v>769</v>
      </c>
      <c r="H20" s="737"/>
      <c r="I20" s="737"/>
      <c r="J20" s="742">
        <f>IF(J19=0,"",ROUND((J19+E40-G32)/inputOth!E9*1000,3)-G37)</f>
      </c>
    </row>
    <row r="21" spans="2:10" ht="15.75">
      <c r="B21" s="354" t="s">
        <v>110</v>
      </c>
      <c r="C21" s="372">
        <f>SUM(C8:C19)</f>
        <v>0</v>
      </c>
      <c r="D21" s="372">
        <f>SUM(D8:D19)</f>
        <v>0</v>
      </c>
      <c r="E21" s="363">
        <f>SUM(E9:E19)</f>
        <v>0</v>
      </c>
      <c r="F21" s="332"/>
      <c r="G21" s="743" t="str">
        <f>CONCATENATE("",E1," Tot Exp/Non-Appr Must Be:")</f>
        <v>0 Tot Exp/Non-Appr Must Be:</v>
      </c>
      <c r="H21" s="744"/>
      <c r="I21" s="745"/>
      <c r="J21" s="746">
        <f>IF(J19&gt;0,IF(E37&lt;E22,IF(J19=G32,E37,((J19-G32)*(1-D39))+E22),E37+(J19-G32)),0)</f>
        <v>0</v>
      </c>
    </row>
    <row r="22" spans="2:10" ht="15.75">
      <c r="B22" s="354" t="s">
        <v>111</v>
      </c>
      <c r="C22" s="372">
        <f>SUM(C6+C21)</f>
        <v>0</v>
      </c>
      <c r="D22" s="372">
        <f>SUM(D6+D21)</f>
        <v>0</v>
      </c>
      <c r="E22" s="363">
        <f>SUM(E6+E21)</f>
        <v>0</v>
      </c>
      <c r="F22" s="332"/>
      <c r="G22" s="747" t="s">
        <v>804</v>
      </c>
      <c r="H22" s="748"/>
      <c r="I22" s="748"/>
      <c r="J22" s="715">
        <f>IF(J19&gt;0,J21-E37,0)</f>
        <v>0</v>
      </c>
    </row>
    <row r="23" spans="2:9" ht="15.75">
      <c r="B23" s="344" t="s">
        <v>113</v>
      </c>
      <c r="C23" s="344"/>
      <c r="D23" s="369"/>
      <c r="E23" s="345"/>
      <c r="F23" s="332"/>
      <c r="G23" s="332"/>
      <c r="H23" s="332"/>
      <c r="I23" s="332"/>
    </row>
    <row r="24" spans="2:10" ht="15.75">
      <c r="B24" s="362"/>
      <c r="C24" s="443"/>
      <c r="D24" s="371"/>
      <c r="E24" s="337"/>
      <c r="F24" s="332"/>
      <c r="G24" s="1167" t="str">
        <f>CONCATENATE("Projected Carryover Into ",E1+1,"")</f>
        <v>Projected Carryover Into 1</v>
      </c>
      <c r="H24" s="1151"/>
      <c r="I24" s="1151"/>
      <c r="J24" s="1152"/>
    </row>
    <row r="25" spans="2:10" ht="15.75">
      <c r="B25" s="362"/>
      <c r="C25" s="443"/>
      <c r="D25" s="371"/>
      <c r="E25" s="337"/>
      <c r="F25" s="332"/>
      <c r="G25" s="749"/>
      <c r="H25" s="705"/>
      <c r="I25" s="705"/>
      <c r="J25" s="750"/>
    </row>
    <row r="26" spans="2:10" ht="15.75">
      <c r="B26" s="362"/>
      <c r="C26" s="443"/>
      <c r="D26" s="371"/>
      <c r="E26" s="337"/>
      <c r="F26" s="332"/>
      <c r="G26" s="751">
        <f>D34</f>
        <v>0</v>
      </c>
      <c r="H26" s="752" t="str">
        <f>CONCATENATE("",E1-1," Ending Cash Balance (est.)")</f>
        <v>-1 Ending Cash Balance (est.)</v>
      </c>
      <c r="I26" s="753"/>
      <c r="J26" s="750"/>
    </row>
    <row r="27" spans="2:10" ht="15.75">
      <c r="B27" s="362"/>
      <c r="C27" s="443"/>
      <c r="D27" s="371"/>
      <c r="E27" s="337"/>
      <c r="F27" s="332"/>
      <c r="G27" s="751">
        <f>E21</f>
        <v>0</v>
      </c>
      <c r="H27" s="754" t="str">
        <f>CONCATENATE("",E1," Non-AV Receipts (est.)")</f>
        <v>0 Non-AV Receipts (est.)</v>
      </c>
      <c r="I27" s="705"/>
      <c r="J27" s="750"/>
    </row>
    <row r="28" spans="2:11" ht="15.75">
      <c r="B28" s="362"/>
      <c r="C28" s="443"/>
      <c r="D28" s="371"/>
      <c r="E28" s="337"/>
      <c r="F28" s="332"/>
      <c r="G28" s="755">
        <f>IF(E39&gt;0,E38,E40)</f>
        <v>0</v>
      </c>
      <c r="H28" s="754" t="str">
        <f>CONCATENATE("",E1," Ad Valorem Tax (est.)")</f>
        <v>0 Ad Valorem Tax (est.)</v>
      </c>
      <c r="I28" s="705"/>
      <c r="J28" s="750"/>
      <c r="K28" s="720">
        <f>IF(G28=E40,"","Note: Does not include Delinquent Taxes")</f>
      </c>
    </row>
    <row r="29" spans="2:10" ht="15.75">
      <c r="B29" s="362"/>
      <c r="C29" s="443"/>
      <c r="D29" s="371"/>
      <c r="E29" s="337"/>
      <c r="F29" s="332"/>
      <c r="G29" s="751">
        <f>SUM(G26:G28)</f>
        <v>0</v>
      </c>
      <c r="H29" s="754" t="str">
        <f>CONCATENATE("Total ",E1," Resources Available")</f>
        <v>Total 0 Resources Available</v>
      </c>
      <c r="I29" s="753"/>
      <c r="J29" s="750"/>
    </row>
    <row r="30" spans="2:10" ht="15.75">
      <c r="B30" s="362"/>
      <c r="C30" s="443"/>
      <c r="D30" s="371"/>
      <c r="E30" s="337"/>
      <c r="F30" s="332"/>
      <c r="G30" s="756"/>
      <c r="H30" s="754"/>
      <c r="I30" s="705"/>
      <c r="J30" s="750"/>
    </row>
    <row r="31" spans="2:10" ht="15.75">
      <c r="B31" s="359" t="s">
        <v>13</v>
      </c>
      <c r="C31" s="443"/>
      <c r="D31" s="371"/>
      <c r="E31" s="337"/>
      <c r="F31" s="332"/>
      <c r="G31" s="771">
        <f>ROUND(C33*0.05+C33,0)</f>
        <v>0</v>
      </c>
      <c r="H31" s="770" t="str">
        <f>CONCATENATE("Less ",E1-2," Expenditures + 5%")</f>
        <v>Less -2 Expenditures + 5%</v>
      </c>
      <c r="I31" s="705"/>
      <c r="J31" s="750"/>
    </row>
    <row r="32" spans="2:10" ht="15.75">
      <c r="B32" s="359" t="s">
        <v>782</v>
      </c>
      <c r="C32" s="206">
        <f>IF(C33*0.1&lt;C31,"Exceed 10% Rule","")</f>
      </c>
      <c r="D32" s="206">
        <f>IF(D33*0.1&lt;D31,"Exceed 10% Rule","")</f>
      </c>
      <c r="E32" s="243">
        <f>IF(E33*0.1&lt;E31,"Exceed 10% Rule","")</f>
      </c>
      <c r="F32" s="332"/>
      <c r="G32" s="757">
        <f>SUM(G29-G31)</f>
        <v>0</v>
      </c>
      <c r="H32" s="758" t="str">
        <f>CONCATENATE("Projected ",E1+1," carryover (est.)")</f>
        <v>Projected 1 carryover (est.)</v>
      </c>
      <c r="I32" s="759"/>
      <c r="J32" s="760"/>
    </row>
    <row r="33" spans="2:6" ht="15.75">
      <c r="B33" s="354" t="s">
        <v>117</v>
      </c>
      <c r="C33" s="368">
        <f>SUM(C24:C31)</f>
        <v>0</v>
      </c>
      <c r="D33" s="368">
        <f>SUM(D24:D31)</f>
        <v>0</v>
      </c>
      <c r="E33" s="358">
        <f>SUM(E24:E31)</f>
        <v>0</v>
      </c>
      <c r="F33" s="332"/>
    </row>
    <row r="34" spans="2:10" ht="15.75">
      <c r="B34" s="344" t="s">
        <v>212</v>
      </c>
      <c r="C34" s="373">
        <f>SUM(C22-C33)</f>
        <v>0</v>
      </c>
      <c r="D34" s="373">
        <f>SUM(D22-D33)</f>
        <v>0</v>
      </c>
      <c r="E34" s="360" t="s">
        <v>91</v>
      </c>
      <c r="F34" s="332"/>
      <c r="G34" s="1153" t="s">
        <v>805</v>
      </c>
      <c r="H34" s="1154"/>
      <c r="I34" s="1154"/>
      <c r="J34" s="1155"/>
    </row>
    <row r="35" spans="2:10" ht="15.75">
      <c r="B35" s="832" t="str">
        <f>CONCATENATE("",E1-2,"/",E1-1,"/",E1," Budget Authority Amount:")</f>
        <v>-2/-1/0 Budget Authority Amount:</v>
      </c>
      <c r="C35" s="831">
        <f>inputOth!B68</f>
        <v>0</v>
      </c>
      <c r="D35" s="830">
        <f>inputPrYr!D24</f>
        <v>0</v>
      </c>
      <c r="E35" s="345">
        <f>E33</f>
        <v>0</v>
      </c>
      <c r="F35" s="355"/>
      <c r="G35" s="726"/>
      <c r="H35" s="727"/>
      <c r="I35" s="728"/>
      <c r="J35" s="729"/>
    </row>
    <row r="36" spans="2:10" ht="15.75">
      <c r="B36" s="349"/>
      <c r="C36" s="1142" t="s">
        <v>626</v>
      </c>
      <c r="D36" s="1143"/>
      <c r="E36" s="43"/>
      <c r="F36" s="390">
        <f>IF(E33/0.95-E33&lt;E36,"Exceeds 5%","")</f>
      </c>
      <c r="G36" s="730">
        <f>summ!H17</f>
      </c>
      <c r="H36" s="727" t="str">
        <f>CONCATENATE("",E1," Fund Mill Rate")</f>
        <v>0 Fund Mill Rate</v>
      </c>
      <c r="I36" s="728"/>
      <c r="J36" s="729"/>
    </row>
    <row r="37" spans="2:10" ht="15.75">
      <c r="B37" s="484" t="str">
        <f>CONCATENATE(C98,"     ",D98)</f>
        <v>     </v>
      </c>
      <c r="C37" s="1144" t="s">
        <v>627</v>
      </c>
      <c r="D37" s="1145"/>
      <c r="E37" s="345">
        <f>SUM(E33+E36)</f>
        <v>0</v>
      </c>
      <c r="F37" s="332"/>
      <c r="G37" s="731" t="str">
        <f>summ!E17</f>
        <v>  </v>
      </c>
      <c r="H37" s="727" t="str">
        <f>CONCATENATE("",E1-1," Fund Mill Rate")</f>
        <v>-1 Fund Mill Rate</v>
      </c>
      <c r="I37" s="728"/>
      <c r="J37" s="729"/>
    </row>
    <row r="38" spans="2:10" ht="15.75">
      <c r="B38" s="484" t="str">
        <f>CONCATENATE(C99,"     ",D99)</f>
        <v>     </v>
      </c>
      <c r="C38" s="356"/>
      <c r="D38" s="350" t="s">
        <v>118</v>
      </c>
      <c r="E38" s="338">
        <f>IF(E37-E22&gt;0,E37-E22,0)</f>
        <v>0</v>
      </c>
      <c r="F38" s="332"/>
      <c r="G38" s="732">
        <f>summ!H52</f>
        <v>0</v>
      </c>
      <c r="H38" s="727" t="str">
        <f>CONCATENATE("Total ",E1," Mill Rate")</f>
        <v>Total 0 Mill Rate</v>
      </c>
      <c r="I38" s="728"/>
      <c r="J38" s="729"/>
    </row>
    <row r="39" spans="2:10" ht="15.75">
      <c r="B39" s="350"/>
      <c r="C39" s="330" t="s">
        <v>625</v>
      </c>
      <c r="D39" s="685">
        <f>inputOth!$E$53</f>
        <v>0</v>
      </c>
      <c r="E39" s="345">
        <f>ROUND(IF(D39&gt;0,(E38*D39),0),0)</f>
        <v>0</v>
      </c>
      <c r="F39" s="332"/>
      <c r="G39" s="731">
        <f>summ!E52</f>
        <v>0</v>
      </c>
      <c r="H39" s="733" t="str">
        <f>CONCATENATE("Total ",E1-1," Mill Rate")</f>
        <v>Total -1 Mill Rate</v>
      </c>
      <c r="I39" s="734"/>
      <c r="J39" s="735"/>
    </row>
    <row r="40" spans="2:9" ht="16.5" thickBot="1">
      <c r="B40" s="333"/>
      <c r="C40" s="1164" t="s">
        <v>630</v>
      </c>
      <c r="D40" s="1165"/>
      <c r="E40" s="687">
        <f>SUM(E38:E39)</f>
        <v>0</v>
      </c>
      <c r="F40" s="776" t="str">
        <f>IF('Library Grant'!F33="","",IF('Library Grant'!F33="Qualify","Qualifies for State Library Grant","See 'Library Grant' tab"))</f>
        <v>Qualifies for State Library Grant</v>
      </c>
      <c r="G40" s="332"/>
      <c r="H40" s="332"/>
      <c r="I40" s="332"/>
    </row>
    <row r="41" spans="2:10" ht="16.5" thickTop="1">
      <c r="B41" s="333"/>
      <c r="C41" s="520"/>
      <c r="D41" s="333"/>
      <c r="E41" s="333"/>
      <c r="F41" s="332"/>
      <c r="G41" s="914"/>
      <c r="H41" s="915"/>
      <c r="I41" s="917"/>
      <c r="J41" s="916"/>
    </row>
    <row r="42" spans="2:10" ht="15.75">
      <c r="B42" s="335"/>
      <c r="C42" s="335"/>
      <c r="D42" s="352"/>
      <c r="E42" s="352"/>
      <c r="F42" s="332"/>
      <c r="G42" s="931" t="str">
        <f>CONCATENATE("Computed ",E1," tax levy limit amount")</f>
        <v>Computed 0 tax levy limit amount</v>
      </c>
      <c r="H42" s="932"/>
      <c r="I42" s="932"/>
      <c r="J42" s="920">
        <f>Comp1!J47</f>
        <v>0</v>
      </c>
    </row>
    <row r="43" spans="2:10" ht="15.75">
      <c r="B43" s="335" t="s">
        <v>101</v>
      </c>
      <c r="C43" s="365" t="s">
        <v>801</v>
      </c>
      <c r="D43" s="364" t="s">
        <v>802</v>
      </c>
      <c r="E43" s="343" t="s">
        <v>803</v>
      </c>
      <c r="F43" s="332"/>
      <c r="G43" s="933" t="str">
        <f>CONCATENATE("Total ",E1," tax levy amount")</f>
        <v>Total 0 tax levy amount</v>
      </c>
      <c r="H43" s="934"/>
      <c r="I43" s="934"/>
      <c r="J43" s="921">
        <f>summ!G52</f>
        <v>0</v>
      </c>
    </row>
    <row r="44" spans="2:6" ht="15.75">
      <c r="B44" s="375" t="s">
        <v>631</v>
      </c>
      <c r="C44" s="366" t="str">
        <f>CONCATENATE("Actual for ",E1-2,"")</f>
        <v>Actual for -2</v>
      </c>
      <c r="D44" s="366" t="str">
        <f>CONCATENATE("Estimate for ",E1-1,"")</f>
        <v>Estimate for -1</v>
      </c>
      <c r="E44" s="351" t="str">
        <f>CONCATENATE("Year for ",E1,"")</f>
        <v>Year for 0</v>
      </c>
      <c r="F44" s="332"/>
    </row>
    <row r="45" spans="2:6" ht="15.75">
      <c r="B45" s="344" t="s">
        <v>211</v>
      </c>
      <c r="C45" s="367"/>
      <c r="D45" s="369">
        <f>C74</f>
        <v>0</v>
      </c>
      <c r="E45" s="345">
        <f>D74</f>
        <v>0</v>
      </c>
      <c r="F45" s="332"/>
    </row>
    <row r="46" spans="2:6" ht="15.75">
      <c r="B46" s="353" t="s">
        <v>213</v>
      </c>
      <c r="C46" s="344"/>
      <c r="D46" s="369"/>
      <c r="E46" s="345"/>
      <c r="F46" s="332"/>
    </row>
    <row r="47" spans="2:6" ht="15.75">
      <c r="B47" s="344" t="s">
        <v>102</v>
      </c>
      <c r="C47" s="367"/>
      <c r="D47" s="369">
        <f>IF(inputPrYr!H21&gt;0,inputPrYr!G38,inputPrYr!E38)</f>
        <v>0</v>
      </c>
      <c r="E47" s="360" t="s">
        <v>91</v>
      </c>
      <c r="F47" s="332"/>
    </row>
    <row r="48" spans="2:6" ht="15.75">
      <c r="B48" s="344" t="s">
        <v>103</v>
      </c>
      <c r="C48" s="367"/>
      <c r="D48" s="371"/>
      <c r="E48" s="337"/>
      <c r="F48" s="332"/>
    </row>
    <row r="49" spans="2:6" ht="15.75">
      <c r="B49" s="344" t="s">
        <v>104</v>
      </c>
      <c r="C49" s="367"/>
      <c r="D49" s="371"/>
      <c r="E49" s="345" t="str">
        <f>mvalloc!D20</f>
        <v>  </v>
      </c>
      <c r="F49" s="332"/>
    </row>
    <row r="50" spans="2:6" ht="15.75">
      <c r="B50" s="344" t="s">
        <v>105</v>
      </c>
      <c r="C50" s="367"/>
      <c r="D50" s="371"/>
      <c r="E50" s="345" t="str">
        <f>mvalloc!E20</f>
        <v> </v>
      </c>
      <c r="F50" s="332"/>
    </row>
    <row r="51" spans="2:5" ht="15.75">
      <c r="B51" s="347" t="s">
        <v>200</v>
      </c>
      <c r="C51" s="367"/>
      <c r="D51" s="371"/>
      <c r="E51" s="345" t="str">
        <f>mvalloc!F20</f>
        <v> </v>
      </c>
    </row>
    <row r="52" spans="2:5" ht="15.75">
      <c r="B52" s="913" t="s">
        <v>1012</v>
      </c>
      <c r="C52" s="367"/>
      <c r="D52" s="371"/>
      <c r="E52" s="345" t="str">
        <f>mvalloc!G20</f>
        <v> </v>
      </c>
    </row>
    <row r="53" spans="2:5" ht="15.75">
      <c r="B53" s="913" t="s">
        <v>1013</v>
      </c>
      <c r="C53" s="367"/>
      <c r="D53" s="371"/>
      <c r="E53" s="345" t="str">
        <f>mvalloc!H20</f>
        <v> </v>
      </c>
    </row>
    <row r="54" spans="2:5" ht="15.75">
      <c r="B54" s="362"/>
      <c r="C54" s="367"/>
      <c r="D54" s="371"/>
      <c r="E54" s="337"/>
    </row>
    <row r="55" spans="2:5" ht="15.75">
      <c r="B55" s="362"/>
      <c r="C55" s="367"/>
      <c r="D55" s="371"/>
      <c r="E55" s="337"/>
    </row>
    <row r="56" spans="2:5" ht="15.75">
      <c r="B56" s="362"/>
      <c r="C56" s="367"/>
      <c r="D56" s="371"/>
      <c r="E56" s="337"/>
    </row>
    <row r="57" spans="2:10" ht="15.75">
      <c r="B57" s="357" t="s">
        <v>109</v>
      </c>
      <c r="C57" s="367"/>
      <c r="D57" s="371"/>
      <c r="E57" s="337"/>
      <c r="G57" s="1166" t="str">
        <f>CONCATENATE("Desired Carryover Into ",E1+1,"")</f>
        <v>Desired Carryover Into 1</v>
      </c>
      <c r="H57" s="1151"/>
      <c r="I57" s="1151"/>
      <c r="J57" s="1152"/>
    </row>
    <row r="58" spans="2:10" ht="15.75">
      <c r="B58" s="347" t="s">
        <v>12</v>
      </c>
      <c r="C58" s="367"/>
      <c r="D58" s="371"/>
      <c r="E58" s="831">
        <f>nhood!E19*-1</f>
        <v>0</v>
      </c>
      <c r="G58" s="736"/>
      <c r="H58" s="737"/>
      <c r="I58" s="738"/>
      <c r="J58" s="739"/>
    </row>
    <row r="59" spans="2:10" ht="15.75">
      <c r="B59" s="344" t="s">
        <v>13</v>
      </c>
      <c r="C59" s="367"/>
      <c r="D59" s="201"/>
      <c r="E59" s="43"/>
      <c r="G59" s="740" t="s">
        <v>768</v>
      </c>
      <c r="H59" s="738"/>
      <c r="I59" s="738"/>
      <c r="J59" s="741">
        <v>0</v>
      </c>
    </row>
    <row r="60" spans="2:10" ht="15.75">
      <c r="B60" s="344" t="s">
        <v>780</v>
      </c>
      <c r="C60" s="206">
        <f>IF(C61*0.1&lt;C59,"Exceed 10% Rule","")</f>
      </c>
      <c r="D60" s="206">
        <f>IF(D61*0.1&lt;D59,"Exceed 10% Rule","")</f>
      </c>
      <c r="E60" s="243">
        <f>IF(E61*0.1+E80&lt;E59,"Exceed 10% Rule","")</f>
      </c>
      <c r="G60" s="736" t="s">
        <v>769</v>
      </c>
      <c r="H60" s="737"/>
      <c r="I60" s="737"/>
      <c r="J60" s="742">
        <f>IF(J59=0,"",ROUND((J59+E80-G72)/inputOth!E9*1000,3)-G77)</f>
      </c>
    </row>
    <row r="61" spans="2:10" ht="15.75">
      <c r="B61" s="354" t="s">
        <v>110</v>
      </c>
      <c r="C61" s="368">
        <f>SUM(C47:C59)</f>
        <v>0</v>
      </c>
      <c r="D61" s="368">
        <f>SUM(D47:D59)</f>
        <v>0</v>
      </c>
      <c r="E61" s="358">
        <f>SUM(E48:E59)</f>
        <v>0</v>
      </c>
      <c r="G61" s="743" t="str">
        <f>CONCATENATE("",E1," Tot Exp/Non-Appr Must Be:")</f>
        <v>0 Tot Exp/Non-Appr Must Be:</v>
      </c>
      <c r="H61" s="744"/>
      <c r="I61" s="745"/>
      <c r="J61" s="746">
        <f>IF(J59&gt;0,IF(E77&lt;E62,IF(J59=G72,E77,((J59-G72)*(1-D79))+E62),E77+(J59-G72)),0)</f>
        <v>0</v>
      </c>
    </row>
    <row r="62" spans="2:10" ht="15.75">
      <c r="B62" s="354" t="s">
        <v>111</v>
      </c>
      <c r="C62" s="368">
        <f>SUM(C45+C61)</f>
        <v>0</v>
      </c>
      <c r="D62" s="368">
        <f>SUM(D45+D61)</f>
        <v>0</v>
      </c>
      <c r="E62" s="358">
        <f>SUM(E45+E61)</f>
        <v>0</v>
      </c>
      <c r="G62" s="747" t="s">
        <v>804</v>
      </c>
      <c r="H62" s="748"/>
      <c r="I62" s="748"/>
      <c r="J62" s="715">
        <f>IF(J59&gt;0,J61-E77,0)</f>
        <v>0</v>
      </c>
    </row>
    <row r="63" spans="2:10" ht="15.75">
      <c r="B63" s="344" t="s">
        <v>113</v>
      </c>
      <c r="C63" s="344"/>
      <c r="D63" s="369"/>
      <c r="E63" s="345"/>
      <c r="G63" s="2"/>
      <c r="H63" s="2"/>
      <c r="I63" s="2"/>
      <c r="J63" s="2"/>
    </row>
    <row r="64" spans="2:10" ht="15.75">
      <c r="B64" s="362"/>
      <c r="C64" s="367"/>
      <c r="D64" s="371"/>
      <c r="E64" s="337"/>
      <c r="F64" s="2"/>
      <c r="G64" s="1166" t="str">
        <f>CONCATENATE("Projected Carryover Into ",E1+1,"")</f>
        <v>Projected Carryover Into 1</v>
      </c>
      <c r="H64" s="1168"/>
      <c r="I64" s="1168"/>
      <c r="J64" s="1169"/>
    </row>
    <row r="65" spans="2:10" ht="15.75">
      <c r="B65" s="362"/>
      <c r="C65" s="367"/>
      <c r="D65" s="371"/>
      <c r="E65" s="337"/>
      <c r="F65" s="2"/>
      <c r="G65" s="761"/>
      <c r="H65" s="737"/>
      <c r="I65" s="737"/>
      <c r="J65" s="762"/>
    </row>
    <row r="66" spans="2:10" ht="15.75">
      <c r="B66" s="362"/>
      <c r="C66" s="367"/>
      <c r="D66" s="371"/>
      <c r="E66" s="337"/>
      <c r="F66" s="2"/>
      <c r="G66" s="763">
        <f>D74</f>
        <v>0</v>
      </c>
      <c r="H66" s="727" t="str">
        <f>CONCATENATE("",E1-1," Ending Cash Balance (est.)")</f>
        <v>-1 Ending Cash Balance (est.)</v>
      </c>
      <c r="I66" s="764"/>
      <c r="J66" s="762"/>
    </row>
    <row r="67" spans="2:10" ht="15.75">
      <c r="B67" s="362"/>
      <c r="C67" s="367"/>
      <c r="D67" s="371"/>
      <c r="E67" s="337"/>
      <c r="F67" s="2"/>
      <c r="G67" s="763">
        <f>E61</f>
        <v>0</v>
      </c>
      <c r="H67" s="738" t="str">
        <f>CONCATENATE("",E1," Non-AV Receipts (est.)")</f>
        <v>0 Non-AV Receipts (est.)</v>
      </c>
      <c r="I67" s="764"/>
      <c r="J67" s="762"/>
    </row>
    <row r="68" spans="2:11" ht="15.75">
      <c r="B68" s="362"/>
      <c r="C68" s="367"/>
      <c r="D68" s="371"/>
      <c r="E68" s="337"/>
      <c r="F68" s="2"/>
      <c r="G68" s="765">
        <f>IF(E79&gt;0,E78,E80)</f>
        <v>0</v>
      </c>
      <c r="H68" s="738" t="str">
        <f>CONCATENATE("",E1," Ad Valorem Tax (est.)")</f>
        <v>0 Ad Valorem Tax (est.)</v>
      </c>
      <c r="I68" s="764"/>
      <c r="J68" s="762"/>
      <c r="K68" s="720">
        <f>IF(G68=E80,"","Note: Does not include Delinquent Taxes")</f>
      </c>
    </row>
    <row r="69" spans="2:10" ht="15.75">
      <c r="B69" s="362"/>
      <c r="C69" s="367"/>
      <c r="D69" s="371"/>
      <c r="E69" s="337"/>
      <c r="F69" s="2"/>
      <c r="G69" s="767">
        <f>SUM(G66:G68)</f>
        <v>0</v>
      </c>
      <c r="H69" s="738" t="str">
        <f>CONCATENATE("Total ",E1," Resources Available")</f>
        <v>Total 0 Resources Available</v>
      </c>
      <c r="I69" s="768"/>
      <c r="J69" s="762"/>
    </row>
    <row r="70" spans="2:10" ht="15.75">
      <c r="B70" s="362"/>
      <c r="C70" s="367"/>
      <c r="D70" s="371"/>
      <c r="E70" s="337"/>
      <c r="F70"/>
      <c r="G70" s="769"/>
      <c r="H70" s="770"/>
      <c r="I70" s="737"/>
      <c r="J70" s="762"/>
    </row>
    <row r="71" spans="2:10" ht="15.75">
      <c r="B71" s="347" t="s">
        <v>13</v>
      </c>
      <c r="C71" s="443"/>
      <c r="D71" s="371"/>
      <c r="E71" s="337"/>
      <c r="F71"/>
      <c r="G71" s="771">
        <f>ROUND(C73*0.05+C73,0)</f>
        <v>0</v>
      </c>
      <c r="H71" s="770" t="str">
        <f>CONCATENATE("Less ",E1-2," Expenditures + 5%")</f>
        <v>Less -2 Expenditures + 5%</v>
      </c>
      <c r="I71" s="768"/>
      <c r="J71" s="762"/>
    </row>
    <row r="72" spans="2:10" ht="15.75">
      <c r="B72" s="347" t="s">
        <v>781</v>
      </c>
      <c r="C72" s="206">
        <f>IF(C73*0.1&lt;C71,"Exceed 10% Rule","")</f>
      </c>
      <c r="D72" s="206">
        <f>IF(D73*0.1&lt;D71,"Exceed 10% Rule","")</f>
      </c>
      <c r="E72" s="243">
        <f>IF(E73*0.1&lt;E71,"Exceed 10% Rule","")</f>
      </c>
      <c r="F72"/>
      <c r="G72" s="772">
        <f>G69-G71</f>
        <v>0</v>
      </c>
      <c r="H72" s="773" t="str">
        <f>CONCATENATE("Projected ",E1+1," carryover (est.)")</f>
        <v>Projected 1 carryover (est.)</v>
      </c>
      <c r="I72" s="774"/>
      <c r="J72" s="775"/>
    </row>
    <row r="73" spans="2:10" ht="15.75">
      <c r="B73" s="354" t="s">
        <v>117</v>
      </c>
      <c r="C73" s="368">
        <f>SUM(C64:C71)</f>
        <v>0</v>
      </c>
      <c r="D73" s="368">
        <f>SUM(D64:D71)</f>
        <v>0</v>
      </c>
      <c r="E73" s="358">
        <f>SUM(E64:E71)</f>
        <v>0</v>
      </c>
      <c r="F73"/>
      <c r="G73" s="2"/>
      <c r="H73" s="2"/>
      <c r="I73" s="2"/>
      <c r="J73" s="2"/>
    </row>
    <row r="74" spans="2:10" ht="15.75">
      <c r="B74" s="344" t="s">
        <v>212</v>
      </c>
      <c r="C74" s="373">
        <f>SUM(C62-C73)</f>
        <v>0</v>
      </c>
      <c r="D74" s="373">
        <f>SUM(D62-D73)</f>
        <v>0</v>
      </c>
      <c r="E74" s="360" t="s">
        <v>91</v>
      </c>
      <c r="F74"/>
      <c r="G74" s="1153" t="s">
        <v>805</v>
      </c>
      <c r="H74" s="1154"/>
      <c r="I74" s="1154"/>
      <c r="J74" s="1155"/>
    </row>
    <row r="75" spans="2:10" ht="15.75">
      <c r="B75" s="832" t="str">
        <f>CONCATENATE("",E1-2,"/",E1-1,"/",E1," Budget Authority Amount:")</f>
        <v>-2/-1/0 Budget Authority Amount:</v>
      </c>
      <c r="C75" s="831">
        <f>inputOth!B79</f>
        <v>0</v>
      </c>
      <c r="D75" s="831">
        <f>inputPrYr!D38</f>
        <v>0</v>
      </c>
      <c r="E75" s="345">
        <f>E73</f>
        <v>0</v>
      </c>
      <c r="F75" s="219"/>
      <c r="G75" s="726"/>
      <c r="H75" s="727"/>
      <c r="I75" s="728"/>
      <c r="J75" s="729"/>
    </row>
    <row r="76" spans="2:10" ht="15.75">
      <c r="B76" s="349"/>
      <c r="C76" s="1142" t="s">
        <v>626</v>
      </c>
      <c r="D76" s="1143"/>
      <c r="E76" s="43"/>
      <c r="F76" s="766">
        <f>IF(E73/0.95-E73&lt;E76,"Exceeds 5%","")</f>
      </c>
      <c r="G76" s="730">
        <f>summ!H53</f>
        <v>0</v>
      </c>
      <c r="H76" s="727" t="str">
        <f>CONCATENATE("",E1," Fund Mill Rate")</f>
        <v>0 Fund Mill Rate</v>
      </c>
      <c r="I76" s="728"/>
      <c r="J76" s="819">
        <f>IF(G76&gt;inputOth!E6,"Exceed Mill Rate","")</f>
      </c>
    </row>
    <row r="77" spans="2:10" ht="15.75">
      <c r="B77" s="484" t="str">
        <f>CONCATENATE(C100,"     ",D100)</f>
        <v>     </v>
      </c>
      <c r="C77" s="1144" t="s">
        <v>627</v>
      </c>
      <c r="D77" s="1145"/>
      <c r="E77" s="345">
        <f>SUM(E73+E76)</f>
        <v>0</v>
      </c>
      <c r="F77"/>
      <c r="G77" s="731" t="str">
        <f>summ!E53</f>
        <v>  </v>
      </c>
      <c r="H77" s="733" t="str">
        <f>CONCATENATE("",E1-1," Fund Mill Rate")</f>
        <v>-1 Fund Mill Rate</v>
      </c>
      <c r="I77" s="734"/>
      <c r="J77" s="735"/>
    </row>
    <row r="78" spans="2:11" ht="15.75">
      <c r="B78" s="484" t="str">
        <f>CONCATENATE(C101,"     ",D101)</f>
        <v>     </v>
      </c>
      <c r="C78" s="356"/>
      <c r="D78" s="350" t="s">
        <v>118</v>
      </c>
      <c r="E78" s="338">
        <f>IF(E77-E62&gt;0,E77-E62,0)</f>
        <v>0</v>
      </c>
      <c r="F78"/>
      <c r="G78" s="778"/>
      <c r="H78" s="779"/>
      <c r="I78" s="780"/>
      <c r="J78" s="781"/>
      <c r="K78" s="689"/>
    </row>
    <row r="79" spans="2:11" ht="15.75">
      <c r="B79" s="350"/>
      <c r="C79" s="330" t="s">
        <v>625</v>
      </c>
      <c r="D79" s="685">
        <f>inputOth!$E$53</f>
        <v>0</v>
      </c>
      <c r="E79" s="345">
        <f>ROUND(IF(D79&gt;0,(E78*D79),0),0)</f>
        <v>0</v>
      </c>
      <c r="F79" s="820">
        <f>IF(F80&lt;0,"Reduce","")</f>
      </c>
      <c r="G79" s="935"/>
      <c r="H79" s="827"/>
      <c r="I79" s="936"/>
      <c r="J79" s="826"/>
      <c r="K79" s="689"/>
    </row>
    <row r="80" spans="2:10" ht="16.5" thickBot="1">
      <c r="B80" s="333"/>
      <c r="C80" s="1164" t="str">
        <f>CONCATENATE("Amount of  ",E1-1," Ad Valorem Tax")</f>
        <v>Amount of  -1 Ad Valorem Tax</v>
      </c>
      <c r="D80" s="1165"/>
      <c r="E80" s="687">
        <f>SUM(E78:E79)</f>
        <v>0</v>
      </c>
      <c r="F80" s="821">
        <f>IF(G76&gt;inputOth!E6,ROUND(inputOth!E6*inputOth!E9/1000,0)-'Library-Rec'!E80,"")</f>
      </c>
      <c r="G80" s="689"/>
      <c r="H80" s="689"/>
      <c r="I80" s="689"/>
      <c r="J80" s="689"/>
    </row>
    <row r="81" spans="2:6" ht="16.5" thickTop="1">
      <c r="B81" s="333"/>
      <c r="C81" s="520"/>
      <c r="D81" s="333"/>
      <c r="E81" s="333"/>
      <c r="F81"/>
    </row>
    <row r="82" spans="2:6" ht="15.75">
      <c r="B82" s="978" t="s">
        <v>1034</v>
      </c>
      <c r="C82" s="958"/>
      <c r="D82" s="959"/>
      <c r="E82" s="960"/>
      <c r="F82" s="2"/>
    </row>
    <row r="83" spans="2:6" ht="15.75">
      <c r="B83" s="698"/>
      <c r="C83" s="520"/>
      <c r="D83" s="699"/>
      <c r="E83" s="700"/>
      <c r="F83"/>
    </row>
    <row r="84" spans="2:6" ht="15.75">
      <c r="B84" s="961"/>
      <c r="C84" s="962"/>
      <c r="D84" s="963"/>
      <c r="E84" s="964"/>
      <c r="F84" s="2"/>
    </row>
    <row r="85" spans="2:6" ht="15.75">
      <c r="B85" s="333"/>
      <c r="C85" s="520"/>
      <c r="D85" s="333"/>
      <c r="E85" s="333"/>
      <c r="F85" s="777"/>
    </row>
    <row r="86" spans="2:6" ht="15.75">
      <c r="B86" s="350" t="s">
        <v>120</v>
      </c>
      <c r="C86" s="361"/>
      <c r="D86" s="339"/>
      <c r="E86" s="333"/>
      <c r="F86" s="777"/>
    </row>
    <row r="88" spans="2:5" ht="15.75">
      <c r="B88" s="340"/>
      <c r="C88" s="340"/>
      <c r="D88" s="332"/>
      <c r="E88" s="332"/>
    </row>
    <row r="93" spans="3:4" ht="9" customHeight="1">
      <c r="C93" s="334" t="s">
        <v>629</v>
      </c>
      <c r="D93" s="334" t="s">
        <v>629</v>
      </c>
    </row>
    <row r="94" spans="3:4" ht="13.5" customHeight="1" hidden="1">
      <c r="C94" s="334" t="s">
        <v>629</v>
      </c>
      <c r="D94" s="334" t="s">
        <v>629</v>
      </c>
    </row>
    <row r="95" ht="15.75" customHeight="1" hidden="1"/>
    <row r="96" spans="3:4" ht="15.75" customHeight="1" hidden="1">
      <c r="C96" s="334" t="s">
        <v>629</v>
      </c>
      <c r="D96" s="334" t="s">
        <v>629</v>
      </c>
    </row>
    <row r="97" spans="3:4" ht="13.5" customHeight="1">
      <c r="C97" s="334" t="s">
        <v>629</v>
      </c>
      <c r="D97" s="334" t="s">
        <v>629</v>
      </c>
    </row>
    <row r="98" spans="3:4" ht="15.75">
      <c r="C98" s="483">
        <f>IF(C33&gt;C35,"See Tab A","")</f>
      </c>
      <c r="D98" s="483">
        <f>IF(D33&gt;D35,"See Tab C","")</f>
      </c>
    </row>
    <row r="99" spans="3:4" ht="15.75">
      <c r="C99" s="483">
        <f>IF(C34&lt;0,"See Tab B","")</f>
      </c>
      <c r="D99" s="483">
        <f>IF(D34&lt;0,"See Tab D","")</f>
      </c>
    </row>
    <row r="100" spans="3:4" ht="15.75">
      <c r="C100" s="483">
        <f>IF(C73&gt;C75,"See Tab A","")</f>
      </c>
      <c r="D100" s="483">
        <f>IF(D73&gt;D75,"See Tab C","")</f>
      </c>
    </row>
    <row r="101" spans="3:4" ht="15.75">
      <c r="C101" s="483">
        <f>IF(C74&lt;0,"See Tab B","")</f>
      </c>
      <c r="D101" s="483">
        <f>IF(D74&lt;0,"See Tab D","")</f>
      </c>
    </row>
  </sheetData>
  <sheetProtection/>
  <mergeCells count="12">
    <mergeCell ref="C80:D80"/>
    <mergeCell ref="C76:D76"/>
    <mergeCell ref="C77:D77"/>
    <mergeCell ref="C36:D36"/>
    <mergeCell ref="C37:D37"/>
    <mergeCell ref="C40:D40"/>
    <mergeCell ref="G17:J17"/>
    <mergeCell ref="G24:J24"/>
    <mergeCell ref="G34:J34"/>
    <mergeCell ref="G57:J57"/>
    <mergeCell ref="G64:J64"/>
    <mergeCell ref="G74:J74"/>
  </mergeCells>
  <conditionalFormatting sqref="C59">
    <cfRule type="cellIs" priority="22" dxfId="0" operator="greaterThan" stopIfTrue="1">
      <formula>$C$61*0.1</formula>
    </cfRule>
  </conditionalFormatting>
  <conditionalFormatting sqref="D59 D19">
    <cfRule type="cellIs" priority="21" dxfId="3" operator="greaterThan" stopIfTrue="1">
      <formula>$D$21*0.1</formula>
    </cfRule>
  </conditionalFormatting>
  <conditionalFormatting sqref="E59">
    <cfRule type="cellIs" priority="20" dxfId="328" operator="greaterThan" stopIfTrue="1">
      <formula>$E$61*0.1+E80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9">
    <cfRule type="cellIs" priority="12" dxfId="3" operator="greaterThan" stopIfTrue="1">
      <formula>$C$21*0.1</formula>
    </cfRule>
  </conditionalFormatting>
  <conditionalFormatting sqref="E19">
    <cfRule type="cellIs" priority="11" dxfId="328" operator="greaterThan" stopIfTrue="1">
      <formula>$E$21*0.1+E40</formula>
    </cfRule>
  </conditionalFormatting>
  <conditionalFormatting sqref="E36">
    <cfRule type="cellIs" priority="10" dxfId="328" operator="greaterThan" stopIfTrue="1">
      <formula>$E$33/0.95-$E$33</formula>
    </cfRule>
  </conditionalFormatting>
  <conditionalFormatting sqref="E76">
    <cfRule type="cellIs" priority="9" dxfId="328" operator="greaterThan" stopIfTrue="1">
      <formula>$E$73/0.95-$E$73</formula>
    </cfRule>
  </conditionalFormatting>
  <conditionalFormatting sqref="C33">
    <cfRule type="cellIs" priority="8" dxfId="0" operator="greaterThan" stopIfTrue="1">
      <formula>$C$35</formula>
    </cfRule>
  </conditionalFormatting>
  <conditionalFormatting sqref="C34:D34 C74:D74">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3">
    <cfRule type="cellIs" priority="4" dxfId="0" operator="greaterThan" stopIfTrue="1">
      <formula>$C$75</formula>
    </cfRule>
  </conditionalFormatting>
  <conditionalFormatting sqref="D73">
    <cfRule type="cellIs" priority="2" dxfId="0" operator="greaterThan" stopIfTrue="1">
      <formula>$D$75</formula>
    </cfRule>
  </conditionalFormatting>
  <printOptions/>
  <pageMargins left="0.75" right="0.75" top="1" bottom="1" header="0.5" footer="0.5"/>
  <pageSetup blackAndWhite="1" fitToHeight="1" fitToWidth="1" horizontalDpi="600" verticalDpi="600" orientation="portrait" scale="48"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33"/>
  <sheetViews>
    <sheetView zoomScalePageLayoutView="0" workbookViewId="0" topLeftCell="A1">
      <selection activeCell="C10" sqref="C10"/>
    </sheetView>
  </sheetViews>
  <sheetFormatPr defaultColWidth="8.796875" defaultRowHeight="15"/>
  <cols>
    <col min="1" max="1" width="15.796875" style="30" customWidth="1"/>
    <col min="2" max="2" width="20.796875" style="30" customWidth="1"/>
    <col min="3" max="3" width="9.796875" style="30" customWidth="1"/>
    <col min="4" max="4" width="15.09765625" style="30" customWidth="1"/>
    <col min="5" max="5" width="15.796875" style="30" customWidth="1"/>
    <col min="6" max="6" width="1.8984375" style="30" customWidth="1"/>
    <col min="7" max="7" width="18.69921875" style="30" customWidth="1"/>
    <col min="8" max="16384" width="8.8984375" style="30" customWidth="1"/>
  </cols>
  <sheetData>
    <row r="1" spans="1:5" ht="15.75">
      <c r="A1" s="1093" t="s">
        <v>993</v>
      </c>
      <c r="B1" s="1094"/>
      <c r="C1" s="1094"/>
      <c r="D1" s="1094"/>
      <c r="E1" s="1094"/>
    </row>
    <row r="2" spans="1:5" ht="15.75">
      <c r="A2" s="33"/>
      <c r="B2" s="32"/>
      <c r="C2" s="32"/>
      <c r="D2" s="34"/>
      <c r="E2" s="32"/>
    </row>
    <row r="3" spans="1:5" ht="15.75">
      <c r="A3" s="884" t="s">
        <v>994</v>
      </c>
      <c r="B3" s="32"/>
      <c r="C3" s="32"/>
      <c r="D3" s="837"/>
      <c r="E3" s="838"/>
    </row>
    <row r="4" spans="1:5" ht="15.75">
      <c r="A4" s="884" t="s">
        <v>995</v>
      </c>
      <c r="B4" s="32"/>
      <c r="C4" s="32"/>
      <c r="D4" s="837"/>
      <c r="E4" s="838"/>
    </row>
    <row r="5" spans="1:5" ht="15.75">
      <c r="A5" s="885"/>
      <c r="B5" s="32"/>
      <c r="C5" s="32"/>
      <c r="D5" s="34"/>
      <c r="E5" s="32"/>
    </row>
    <row r="6" spans="1:5" ht="15.75">
      <c r="A6" s="884" t="s">
        <v>996</v>
      </c>
      <c r="B6" s="32"/>
      <c r="C6" s="35"/>
      <c r="D6" s="34"/>
      <c r="E6" s="32"/>
    </row>
    <row r="7" spans="1:5" ht="15.75">
      <c r="A7" s="884"/>
      <c r="B7" s="32"/>
      <c r="C7" s="32"/>
      <c r="D7" s="34"/>
      <c r="E7" s="32"/>
    </row>
    <row r="8" spans="1:5" ht="15.75">
      <c r="A8" s="884" t="s">
        <v>1037</v>
      </c>
      <c r="B8" s="32"/>
      <c r="C8" s="984"/>
      <c r="D8" s="34"/>
      <c r="E8" s="32"/>
    </row>
    <row r="9" spans="1:5" ht="15.75">
      <c r="A9" s="884"/>
      <c r="B9" s="32"/>
      <c r="C9" s="32"/>
      <c r="D9" s="34"/>
      <c r="E9" s="32"/>
    </row>
    <row r="10" spans="1:5" ht="15.75">
      <c r="A10" s="884" t="s">
        <v>1038</v>
      </c>
      <c r="B10" s="32"/>
      <c r="C10" s="984"/>
      <c r="D10" s="34"/>
      <c r="E10" s="32"/>
    </row>
    <row r="11" spans="1:5" ht="15.75">
      <c r="A11" s="32"/>
      <c r="B11" s="32"/>
      <c r="C11" s="32"/>
      <c r="D11" s="32"/>
      <c r="E11" s="32"/>
    </row>
    <row r="12" spans="1:5" ht="15.75">
      <c r="A12" s="1095" t="s">
        <v>997</v>
      </c>
      <c r="B12" s="1095"/>
      <c r="C12" s="1095"/>
      <c r="D12" s="1095"/>
      <c r="E12" s="1095"/>
    </row>
    <row r="13" spans="1:8" ht="15.75" customHeight="1">
      <c r="A13" s="1095"/>
      <c r="B13" s="1095"/>
      <c r="C13" s="1095"/>
      <c r="D13" s="1095"/>
      <c r="E13" s="1095"/>
      <c r="F13" s="32"/>
      <c r="G13" s="1096" t="s">
        <v>999</v>
      </c>
      <c r="H13" s="1097"/>
    </row>
    <row r="14" spans="1:8" ht="15.75">
      <c r="A14" s="1095"/>
      <c r="B14" s="1095"/>
      <c r="C14" s="1095"/>
      <c r="D14" s="1095"/>
      <c r="E14" s="1095"/>
      <c r="F14" s="32"/>
      <c r="G14" s="1098"/>
      <c r="H14" s="1099"/>
    </row>
    <row r="15" spans="1:8" ht="15.75">
      <c r="A15" s="1091" t="s">
        <v>998</v>
      </c>
      <c r="B15" s="1092"/>
      <c r="C15" s="1092"/>
      <c r="D15" s="1092"/>
      <c r="E15" s="1092"/>
      <c r="F15" s="32"/>
      <c r="G15" s="1098"/>
      <c r="H15" s="1099"/>
    </row>
    <row r="16" spans="1:8" ht="15.75">
      <c r="A16" s="32"/>
      <c r="B16" s="32"/>
      <c r="C16" s="32"/>
      <c r="D16" s="32"/>
      <c r="E16" s="32"/>
      <c r="F16" s="32"/>
      <c r="G16" s="1098"/>
      <c r="H16" s="1099"/>
    </row>
    <row r="17" spans="1:8" ht="15.75">
      <c r="A17" s="890" t="s">
        <v>300</v>
      </c>
      <c r="B17" s="889"/>
      <c r="C17" s="32"/>
      <c r="D17" s="32"/>
      <c r="E17" s="32"/>
      <c r="F17" s="32"/>
      <c r="G17" s="1098"/>
      <c r="H17" s="1099"/>
    </row>
    <row r="18" spans="1:8" ht="15.75">
      <c r="A18" s="888" t="str">
        <f>CONCATENATE("the ",C6-1," Budget, Certificate Page:")</f>
        <v>the -1 Budget, Certificate Page:</v>
      </c>
      <c r="B18" s="887"/>
      <c r="C18" s="32"/>
      <c r="D18" s="32"/>
      <c r="E18" s="32"/>
      <c r="F18" s="32"/>
      <c r="G18" s="1098"/>
      <c r="H18" s="1099"/>
    </row>
    <row r="19" spans="1:8" ht="15.75">
      <c r="A19" s="886" t="s">
        <v>364</v>
      </c>
      <c r="B19" s="858"/>
      <c r="C19" s="32"/>
      <c r="D19" s="32"/>
      <c r="E19" s="32"/>
      <c r="F19" s="32"/>
      <c r="G19" s="1100"/>
      <c r="H19" s="1101"/>
    </row>
    <row r="20" spans="1:8" ht="15.75">
      <c r="A20" s="32"/>
      <c r="B20" s="32"/>
      <c r="C20" s="32"/>
      <c r="D20" s="38">
        <f>C6-1</f>
        <v>-1</v>
      </c>
      <c r="E20" s="38">
        <f>C6-2</f>
        <v>-2</v>
      </c>
      <c r="F20" s="892"/>
      <c r="G20" s="142" t="s">
        <v>874</v>
      </c>
      <c r="H20" s="114" t="s">
        <v>119</v>
      </c>
    </row>
    <row r="21" spans="1:8" ht="15.75">
      <c r="A21" s="33" t="s">
        <v>70</v>
      </c>
      <c r="B21" s="32"/>
      <c r="C21" s="39" t="s">
        <v>71</v>
      </c>
      <c r="D21" s="40" t="s">
        <v>363</v>
      </c>
      <c r="E21" s="40" t="s">
        <v>62</v>
      </c>
      <c r="F21" s="892"/>
      <c r="G21" s="143" t="str">
        <f>CONCATENATE("",E20," Ad Valorem Tax")</f>
        <v>-2 Ad Valorem Tax</v>
      </c>
      <c r="H21" s="808">
        <v>0</v>
      </c>
    </row>
    <row r="22" spans="1:7" ht="15.75">
      <c r="A22" s="32"/>
      <c r="B22" s="41" t="s">
        <v>72</v>
      </c>
      <c r="C22" s="114" t="s">
        <v>215</v>
      </c>
      <c r="D22" s="897"/>
      <c r="E22" s="897"/>
      <c r="F22" s="892"/>
      <c r="G22" s="170">
        <f>IF(H21&gt;0,ROUND(E22-(E22*H21),0),0)</f>
        <v>0</v>
      </c>
    </row>
    <row r="23" spans="1:7" ht="15.75">
      <c r="A23" s="32"/>
      <c r="B23" s="41" t="s">
        <v>44</v>
      </c>
      <c r="C23" s="114" t="s">
        <v>244</v>
      </c>
      <c r="D23" s="897"/>
      <c r="E23" s="897"/>
      <c r="F23" s="892"/>
      <c r="G23" s="170">
        <f>IF(H21&gt;0,ROUND(E23-(E23*H21),0),0)</f>
        <v>0</v>
      </c>
    </row>
    <row r="24" spans="1:7" ht="15.75">
      <c r="A24" s="32"/>
      <c r="B24" s="41" t="s">
        <v>785</v>
      </c>
      <c r="C24" s="114" t="s">
        <v>786</v>
      </c>
      <c r="D24" s="897"/>
      <c r="E24" s="897"/>
      <c r="F24" s="892"/>
      <c r="G24" s="170">
        <f>IF(H21&gt;0,ROUND(E24-(E24*H21),0),0)</f>
        <v>0</v>
      </c>
    </row>
    <row r="25" spans="1:7" ht="15.75">
      <c r="A25" s="33" t="s">
        <v>73</v>
      </c>
      <c r="B25" s="32"/>
      <c r="C25" s="32"/>
      <c r="D25" s="32"/>
      <c r="E25" s="898"/>
      <c r="F25" s="892"/>
      <c r="G25" s="44"/>
    </row>
    <row r="26" spans="1:7" ht="15.75">
      <c r="A26" s="32"/>
      <c r="B26" s="896"/>
      <c r="C26" s="329"/>
      <c r="D26" s="43"/>
      <c r="E26" s="897"/>
      <c r="F26" s="892"/>
      <c r="G26" s="170">
        <f>IF(H21&gt;0,ROUND(E26-(E26*H21),0),0)</f>
        <v>0</v>
      </c>
    </row>
    <row r="27" spans="1:7" ht="15.75">
      <c r="A27" s="32"/>
      <c r="B27" s="895"/>
      <c r="C27" s="329"/>
      <c r="D27" s="43"/>
      <c r="E27" s="897"/>
      <c r="F27" s="893"/>
      <c r="G27" s="170">
        <f>IF(H21&gt;0,ROUND(E27-(E27*H21),0),0)</f>
        <v>0</v>
      </c>
    </row>
    <row r="28" spans="1:7" ht="15.75">
      <c r="A28" s="32"/>
      <c r="B28" s="895"/>
      <c r="C28" s="329"/>
      <c r="D28" s="43"/>
      <c r="E28" s="897"/>
      <c r="F28" s="893"/>
      <c r="G28" s="170">
        <f>IF(H21&gt;0,ROUND(E28-(E28*H21),0),0)</f>
        <v>0</v>
      </c>
    </row>
    <row r="29" spans="1:7" ht="15.75">
      <c r="A29" s="32"/>
      <c r="B29" s="895"/>
      <c r="C29" s="329"/>
      <c r="D29" s="43"/>
      <c r="E29" s="897"/>
      <c r="F29" s="893"/>
      <c r="G29" s="170">
        <f>IF(H21&gt;0,ROUND(E29-(E29*H21),0),0)</f>
        <v>0</v>
      </c>
    </row>
    <row r="30" spans="1:7" ht="15.75">
      <c r="A30" s="32"/>
      <c r="B30" s="895"/>
      <c r="C30" s="329"/>
      <c r="D30" s="43"/>
      <c r="E30" s="897"/>
      <c r="F30" s="893"/>
      <c r="G30" s="170">
        <f>IF(H21&gt;0,ROUND(E30-(E30*H21),0),0)</f>
        <v>0</v>
      </c>
    </row>
    <row r="31" spans="1:7" ht="15.75">
      <c r="A31" s="32"/>
      <c r="B31" s="895"/>
      <c r="C31" s="329"/>
      <c r="D31" s="43"/>
      <c r="E31" s="897"/>
      <c r="F31" s="893"/>
      <c r="G31" s="170">
        <f>IF(H21&gt;0,ROUND(E31-(E31*H21),0),0)</f>
        <v>0</v>
      </c>
    </row>
    <row r="32" spans="1:7" ht="15.75">
      <c r="A32" s="32"/>
      <c r="B32" s="895"/>
      <c r="C32" s="329"/>
      <c r="D32" s="43"/>
      <c r="E32" s="897"/>
      <c r="F32" s="893"/>
      <c r="G32" s="170">
        <f>IF(H21&gt;0,ROUND(E32-(E32*H21),0),0)</f>
        <v>0</v>
      </c>
    </row>
    <row r="33" spans="1:7" ht="15.75">
      <c r="A33" s="32"/>
      <c r="B33" s="895"/>
      <c r="C33" s="329"/>
      <c r="D33" s="43"/>
      <c r="E33" s="897"/>
      <c r="F33" s="893"/>
      <c r="G33" s="170">
        <f>IF(H21&gt;0,ROUND(E33-(E33*H21),0),0)</f>
        <v>0</v>
      </c>
    </row>
    <row r="34" spans="1:7" ht="15.75">
      <c r="A34" s="32"/>
      <c r="B34" s="895"/>
      <c r="C34" s="329"/>
      <c r="D34" s="43"/>
      <c r="E34" s="897"/>
      <c r="F34" s="893"/>
      <c r="G34" s="170">
        <f>IF(H21&gt;0,ROUND(E34-(E34*H21),0),0)</f>
        <v>0</v>
      </c>
    </row>
    <row r="35" spans="1:7" ht="15.75">
      <c r="A35" s="32"/>
      <c r="B35" s="895"/>
      <c r="C35" s="329"/>
      <c r="D35" s="43"/>
      <c r="E35" s="897"/>
      <c r="F35" s="893"/>
      <c r="G35" s="170">
        <f>IF(H21&gt;0,ROUND(E35-(E35*H21),0),0)</f>
        <v>0</v>
      </c>
    </row>
    <row r="36" spans="1:5" ht="15.75">
      <c r="A36" s="46" t="str">
        <f>CONCATENATE("Total Tax Levy Funds for ",C6-1," Budgeted Year")</f>
        <v>Total Tax Levy Funds for -1 Budgeted Year</v>
      </c>
      <c r="B36" s="47"/>
      <c r="C36" s="48"/>
      <c r="D36" s="49"/>
      <c r="E36" s="50">
        <f>SUM(E22:E35)</f>
        <v>0</v>
      </c>
    </row>
    <row r="37" spans="1:5" ht="15.75">
      <c r="A37" s="376" t="str">
        <f>CONCATENATE("Fund Not Considered Part of the Max Levy Computation for ",C6," Budgeted Year:")</f>
        <v>Fund Not Considered Part of the Max Levy Computation for  Budgeted Year:</v>
      </c>
      <c r="B37" s="52"/>
      <c r="C37" s="52"/>
      <c r="D37" s="53"/>
      <c r="E37" s="44"/>
    </row>
    <row r="38" spans="1:7" ht="15.75">
      <c r="A38" s="51"/>
      <c r="B38" s="377" t="s">
        <v>631</v>
      </c>
      <c r="C38" s="379" t="s">
        <v>632</v>
      </c>
      <c r="D38" s="378"/>
      <c r="E38" s="378"/>
      <c r="F38" s="893"/>
      <c r="G38" s="170">
        <f>IF(H21&gt;0,ROUND(E38-(E38*H21),0),0)</f>
        <v>0</v>
      </c>
    </row>
    <row r="39" spans="1:5" ht="15.75">
      <c r="A39" s="51"/>
      <c r="B39" s="52"/>
      <c r="C39" s="52"/>
      <c r="D39" s="53"/>
      <c r="E39" s="44"/>
    </row>
    <row r="40" spans="1:5" ht="15.75">
      <c r="A40" s="33" t="s">
        <v>249</v>
      </c>
      <c r="B40" s="32"/>
      <c r="C40" s="32"/>
      <c r="D40" s="32"/>
      <c r="E40" s="32"/>
    </row>
    <row r="41" spans="1:5" ht="15.75">
      <c r="A41" s="32"/>
      <c r="B41" s="42" t="s">
        <v>202</v>
      </c>
      <c r="C41" s="32"/>
      <c r="D41" s="43"/>
      <c r="E41" s="32"/>
    </row>
    <row r="42" spans="1:5" ht="15.75">
      <c r="A42" s="32"/>
      <c r="B42" s="45"/>
      <c r="C42" s="32"/>
      <c r="D42" s="43"/>
      <c r="E42" s="32"/>
    </row>
    <row r="43" spans="1:5" ht="15.75">
      <c r="A43" s="32"/>
      <c r="B43" s="45"/>
      <c r="C43" s="32"/>
      <c r="D43" s="43"/>
      <c r="E43" s="32"/>
    </row>
    <row r="44" spans="1:5" ht="15.75">
      <c r="A44" s="32"/>
      <c r="B44" s="45"/>
      <c r="C44" s="32"/>
      <c r="D44" s="43"/>
      <c r="E44" s="32"/>
    </row>
    <row r="45" spans="1:5" ht="15.75">
      <c r="A45" s="32"/>
      <c r="B45" s="45"/>
      <c r="C45" s="32"/>
      <c r="D45" s="43"/>
      <c r="E45" s="32"/>
    </row>
    <row r="46" spans="1:5" ht="15.75">
      <c r="A46" s="32"/>
      <c r="B46" s="45"/>
      <c r="C46" s="32"/>
      <c r="D46" s="43"/>
      <c r="E46" s="32"/>
    </row>
    <row r="47" spans="1:5" ht="15.75">
      <c r="A47" s="32"/>
      <c r="B47" s="45"/>
      <c r="C47" s="32"/>
      <c r="D47" s="43"/>
      <c r="E47" s="32"/>
    </row>
    <row r="48" spans="1:5" ht="15.75">
      <c r="A48" s="32"/>
      <c r="B48" s="45"/>
      <c r="C48" s="32"/>
      <c r="D48" s="43"/>
      <c r="E48" s="32"/>
    </row>
    <row r="49" spans="1:5" ht="15.75">
      <c r="A49" s="32"/>
      <c r="B49" s="45"/>
      <c r="C49" s="32"/>
      <c r="D49" s="43"/>
      <c r="E49" s="32"/>
    </row>
    <row r="50" spans="1:5" ht="15.75">
      <c r="A50" s="32"/>
      <c r="B50" s="45"/>
      <c r="C50" s="32"/>
      <c r="D50" s="43"/>
      <c r="E50" s="32"/>
    </row>
    <row r="51" spans="1:5" ht="15.75">
      <c r="A51" s="32"/>
      <c r="B51" s="54"/>
      <c r="C51" s="32"/>
      <c r="D51" s="43"/>
      <c r="E51" s="32"/>
    </row>
    <row r="52" spans="1:5" ht="15.75">
      <c r="A52" s="32"/>
      <c r="B52" s="54"/>
      <c r="C52" s="32"/>
      <c r="D52" s="43"/>
      <c r="E52" s="32"/>
    </row>
    <row r="53" spans="1:5" ht="15.75">
      <c r="A53" s="32"/>
      <c r="B53" s="54"/>
      <c r="C53" s="32"/>
      <c r="D53" s="43"/>
      <c r="E53" s="32"/>
    </row>
    <row r="54" spans="1:5" ht="15.75">
      <c r="A54" s="32"/>
      <c r="B54" s="54"/>
      <c r="C54" s="32"/>
      <c r="D54" s="43"/>
      <c r="E54" s="32"/>
    </row>
    <row r="55" spans="1:5" ht="15.75">
      <c r="A55" s="32"/>
      <c r="B55" s="54"/>
      <c r="C55" s="32"/>
      <c r="D55" s="43"/>
      <c r="E55" s="32"/>
    </row>
    <row r="56" spans="1:5" ht="15.75">
      <c r="A56" s="32"/>
      <c r="B56" s="54"/>
      <c r="C56" s="32"/>
      <c r="D56" s="43"/>
      <c r="E56" s="32"/>
    </row>
    <row r="57" spans="1:5" ht="15.75">
      <c r="A57" s="32" t="s">
        <v>273</v>
      </c>
      <c r="B57" s="860"/>
      <c r="C57" s="32"/>
      <c r="D57" s="32"/>
      <c r="E57" s="32"/>
    </row>
    <row r="58" spans="1:5" ht="15.75">
      <c r="A58" s="32">
        <v>1</v>
      </c>
      <c r="B58" s="859"/>
      <c r="C58" s="32"/>
      <c r="D58" s="43"/>
      <c r="E58" s="32"/>
    </row>
    <row r="59" spans="1:5" ht="15.75">
      <c r="A59" s="32">
        <v>2</v>
      </c>
      <c r="B59" s="54"/>
      <c r="C59" s="32"/>
      <c r="D59" s="43"/>
      <c r="E59" s="32"/>
    </row>
    <row r="60" spans="1:5" ht="15.75">
      <c r="A60" s="32">
        <v>3</v>
      </c>
      <c r="B60" s="54"/>
      <c r="C60" s="32"/>
      <c r="D60" s="43"/>
      <c r="E60" s="32"/>
    </row>
    <row r="61" spans="1:5" ht="15.75">
      <c r="A61" s="32">
        <v>4</v>
      </c>
      <c r="B61" s="54"/>
      <c r="C61" s="32"/>
      <c r="D61" s="43"/>
      <c r="E61" s="32"/>
    </row>
    <row r="62" spans="1:5" ht="15.75">
      <c r="A62" s="46" t="str">
        <f>CONCATENATE("Total Expenditures for ",C6-1," Budgeted Year")</f>
        <v>Total Expenditures for -1 Budgeted Year</v>
      </c>
      <c r="B62" s="860"/>
      <c r="C62" s="55"/>
      <c r="D62" s="56">
        <f>SUM(D22:D24,D26:D35,D41:D56,D58:D61)</f>
        <v>0</v>
      </c>
      <c r="E62" s="32"/>
    </row>
    <row r="63" spans="1:5" ht="15.75">
      <c r="A63" s="32" t="s">
        <v>274</v>
      </c>
      <c r="B63" s="860"/>
      <c r="C63" s="32"/>
      <c r="D63" s="32"/>
      <c r="E63" s="32"/>
    </row>
    <row r="64" spans="1:5" ht="15.75">
      <c r="A64" s="32">
        <v>1</v>
      </c>
      <c r="B64" s="859"/>
      <c r="C64" s="32"/>
      <c r="D64" s="32"/>
      <c r="E64" s="32"/>
    </row>
    <row r="65" spans="1:5" ht="15.75">
      <c r="A65" s="32">
        <v>2</v>
      </c>
      <c r="B65" s="54"/>
      <c r="C65" s="32"/>
      <c r="D65" s="32"/>
      <c r="E65" s="32"/>
    </row>
    <row r="66" spans="1:5" ht="15.75">
      <c r="A66" s="32">
        <v>3</v>
      </c>
      <c r="B66" s="54"/>
      <c r="C66" s="32"/>
      <c r="D66" s="32"/>
      <c r="E66" s="32"/>
    </row>
    <row r="67" spans="1:5" ht="15.75">
      <c r="A67" s="32">
        <v>4</v>
      </c>
      <c r="B67" s="54"/>
      <c r="C67" s="32"/>
      <c r="D67" s="32"/>
      <c r="E67" s="32"/>
    </row>
    <row r="68" spans="1:5" ht="15.75">
      <c r="A68" s="32">
        <v>5</v>
      </c>
      <c r="B68" s="54"/>
      <c r="C68" s="32"/>
      <c r="D68" s="32"/>
      <c r="E68" s="32"/>
    </row>
    <row r="69" spans="1:5" ht="15.75">
      <c r="A69" s="32" t="s">
        <v>275</v>
      </c>
      <c r="B69" s="860"/>
      <c r="C69" s="32"/>
      <c r="D69" s="32"/>
      <c r="E69" s="32"/>
    </row>
    <row r="70" spans="1:5" ht="15.75">
      <c r="A70" s="32">
        <v>1</v>
      </c>
      <c r="B70" s="859"/>
      <c r="C70" s="32"/>
      <c r="D70" s="32"/>
      <c r="E70" s="32"/>
    </row>
    <row r="71" spans="1:5" ht="15.75">
      <c r="A71" s="32">
        <v>2</v>
      </c>
      <c r="B71" s="54"/>
      <c r="C71" s="32"/>
      <c r="D71" s="32"/>
      <c r="E71" s="32"/>
    </row>
    <row r="72" spans="1:5" ht="15.75">
      <c r="A72" s="32">
        <v>3</v>
      </c>
      <c r="B72" s="54"/>
      <c r="C72" s="32"/>
      <c r="D72" s="32"/>
      <c r="E72" s="32"/>
    </row>
    <row r="73" spans="1:5" ht="15.75">
      <c r="A73" s="32">
        <v>4</v>
      </c>
      <c r="B73" s="54"/>
      <c r="C73" s="32"/>
      <c r="D73" s="32"/>
      <c r="E73" s="32"/>
    </row>
    <row r="74" spans="1:5" ht="15.75">
      <c r="A74" s="32">
        <v>5</v>
      </c>
      <c r="B74" s="54"/>
      <c r="C74" s="32"/>
      <c r="D74" s="32"/>
      <c r="E74" s="32"/>
    </row>
    <row r="75" spans="1:5" ht="15.75">
      <c r="A75" s="32" t="s">
        <v>276</v>
      </c>
      <c r="B75" s="860"/>
      <c r="C75" s="32"/>
      <c r="D75" s="32"/>
      <c r="E75" s="32"/>
    </row>
    <row r="76" spans="1:5" ht="15.75">
      <c r="A76" s="32">
        <v>1</v>
      </c>
      <c r="B76" s="859"/>
      <c r="C76" s="32"/>
      <c r="D76" s="32"/>
      <c r="E76" s="32"/>
    </row>
    <row r="77" spans="1:5" ht="15.75">
      <c r="A77" s="32">
        <v>2</v>
      </c>
      <c r="B77" s="54"/>
      <c r="C77" s="32"/>
      <c r="D77" s="32"/>
      <c r="E77" s="32"/>
    </row>
    <row r="78" spans="1:5" ht="15.75">
      <c r="A78" s="32">
        <v>3</v>
      </c>
      <c r="B78" s="54"/>
      <c r="C78" s="32"/>
      <c r="D78" s="32"/>
      <c r="E78" s="32"/>
    </row>
    <row r="79" spans="1:5" ht="15.75">
      <c r="A79" s="32">
        <v>4</v>
      </c>
      <c r="B79" s="54"/>
      <c r="C79" s="32"/>
      <c r="D79" s="32"/>
      <c r="E79" s="32"/>
    </row>
    <row r="80" spans="1:5" ht="15.75">
      <c r="A80" s="32">
        <v>5</v>
      </c>
      <c r="B80" s="54"/>
      <c r="C80" s="32"/>
      <c r="D80" s="32"/>
      <c r="E80" s="32"/>
    </row>
    <row r="81" spans="1:5" ht="15.75">
      <c r="A81" s="32" t="s">
        <v>277</v>
      </c>
      <c r="B81" s="860"/>
      <c r="C81" s="32"/>
      <c r="D81" s="32"/>
      <c r="E81" s="32"/>
    </row>
    <row r="82" spans="1:5" ht="15.75">
      <c r="A82" s="32">
        <v>1</v>
      </c>
      <c r="B82" s="859"/>
      <c r="C82" s="32"/>
      <c r="D82" s="32"/>
      <c r="E82" s="32"/>
    </row>
    <row r="83" spans="1:5" ht="15.75">
      <c r="A83" s="32">
        <v>2</v>
      </c>
      <c r="B83" s="54"/>
      <c r="C83" s="32"/>
      <c r="D83" s="32"/>
      <c r="E83" s="32"/>
    </row>
    <row r="84" spans="1:5" ht="15.75">
      <c r="A84" s="32">
        <v>3</v>
      </c>
      <c r="B84" s="54"/>
      <c r="C84" s="32"/>
      <c r="D84" s="32"/>
      <c r="E84" s="32"/>
    </row>
    <row r="85" spans="1:5" ht="15.75">
      <c r="A85" s="32">
        <v>4</v>
      </c>
      <c r="B85" s="54"/>
      <c r="C85" s="32"/>
      <c r="D85" s="32"/>
      <c r="E85" s="32"/>
    </row>
    <row r="86" spans="1:5" ht="15.75">
      <c r="A86" s="32">
        <v>5</v>
      </c>
      <c r="B86" s="54"/>
      <c r="C86" s="32"/>
      <c r="D86" s="32"/>
      <c r="E86" s="32"/>
    </row>
    <row r="87" spans="1:5" ht="15.75">
      <c r="A87" s="51"/>
      <c r="B87" s="52"/>
      <c r="C87" s="52"/>
      <c r="D87" s="52"/>
      <c r="E87" s="57"/>
    </row>
    <row r="88" spans="1:5" ht="15.75">
      <c r="A88" s="32"/>
      <c r="B88" s="32"/>
      <c r="C88" s="32"/>
      <c r="D88" s="32"/>
      <c r="E88" s="32"/>
    </row>
    <row r="89" spans="1:5" ht="15.75">
      <c r="A89" s="32"/>
      <c r="B89" s="32"/>
      <c r="C89" s="32"/>
      <c r="D89" s="864" t="str">
        <f>CONCATENATE("",C6-3," Tax Rate")</f>
        <v>-3 Tax Rate</v>
      </c>
      <c r="E89" s="32"/>
    </row>
    <row r="90" spans="1:5" ht="15.75">
      <c r="A90" s="862" t="str">
        <f>CONCATENATE("From the ",C6-1," Budget, Budget Summary Page")</f>
        <v>From the -1 Budget, Budget Summary Page</v>
      </c>
      <c r="B90" s="863"/>
      <c r="C90" s="32"/>
      <c r="D90" s="865" t="str">
        <f>CONCATENATE("(",C6-2," Column)")</f>
        <v>(-2 Column)</v>
      </c>
      <c r="E90" s="32"/>
    </row>
    <row r="91" spans="1:5" ht="15.75">
      <c r="A91" s="32"/>
      <c r="B91" s="861" t="str">
        <f>B22</f>
        <v>General</v>
      </c>
      <c r="C91" s="32"/>
      <c r="D91" s="54"/>
      <c r="E91" s="32"/>
    </row>
    <row r="92" spans="1:5" ht="15.75">
      <c r="A92" s="32"/>
      <c r="B92" s="58" t="str">
        <f>B23</f>
        <v>Debt Service</v>
      </c>
      <c r="C92" s="32"/>
      <c r="D92" s="54"/>
      <c r="E92" s="32"/>
    </row>
    <row r="93" spans="1:5" ht="15.75">
      <c r="A93" s="32"/>
      <c r="B93" s="58" t="str">
        <f>B24</f>
        <v>Library</v>
      </c>
      <c r="C93" s="32"/>
      <c r="D93" s="54"/>
      <c r="E93" s="32"/>
    </row>
    <row r="94" spans="1:5" ht="15.75">
      <c r="A94" s="32"/>
      <c r="B94" s="58">
        <f>B26</f>
        <v>0</v>
      </c>
      <c r="C94" s="32"/>
      <c r="D94" s="54"/>
      <c r="E94" s="32"/>
    </row>
    <row r="95" spans="1:5" ht="15.75">
      <c r="A95" s="32"/>
      <c r="B95" s="58">
        <f aca="true" t="shared" si="0" ref="B95:B103">B27</f>
        <v>0</v>
      </c>
      <c r="C95" s="32"/>
      <c r="D95" s="54"/>
      <c r="E95" s="32"/>
    </row>
    <row r="96" spans="1:5" ht="15.75">
      <c r="A96" s="32"/>
      <c r="B96" s="58">
        <f t="shared" si="0"/>
        <v>0</v>
      </c>
      <c r="C96" s="32"/>
      <c r="D96" s="54"/>
      <c r="E96" s="32"/>
    </row>
    <row r="97" spans="1:5" ht="15.75">
      <c r="A97" s="32"/>
      <c r="B97" s="58">
        <f t="shared" si="0"/>
        <v>0</v>
      </c>
      <c r="C97" s="32"/>
      <c r="D97" s="54"/>
      <c r="E97" s="32"/>
    </row>
    <row r="98" spans="1:5" ht="15.75">
      <c r="A98" s="32"/>
      <c r="B98" s="58">
        <f t="shared" si="0"/>
        <v>0</v>
      </c>
      <c r="C98" s="32"/>
      <c r="D98" s="54"/>
      <c r="E98" s="32"/>
    </row>
    <row r="99" spans="1:5" ht="15.75">
      <c r="A99" s="32"/>
      <c r="B99" s="58">
        <f t="shared" si="0"/>
        <v>0</v>
      </c>
      <c r="C99" s="32"/>
      <c r="D99" s="54"/>
      <c r="E99" s="32"/>
    </row>
    <row r="100" spans="1:5" ht="15.75">
      <c r="A100" s="32"/>
      <c r="B100" s="58">
        <f t="shared" si="0"/>
        <v>0</v>
      </c>
      <c r="C100" s="32"/>
      <c r="D100" s="54"/>
      <c r="E100" s="32"/>
    </row>
    <row r="101" spans="1:5" ht="15.75">
      <c r="A101" s="32"/>
      <c r="B101" s="58">
        <f t="shared" si="0"/>
        <v>0</v>
      </c>
      <c r="C101" s="32"/>
      <c r="D101" s="54"/>
      <c r="E101" s="32"/>
    </row>
    <row r="102" spans="1:5" ht="15.75">
      <c r="A102" s="32"/>
      <c r="B102" s="58">
        <f t="shared" si="0"/>
        <v>0</v>
      </c>
      <c r="C102" s="32"/>
      <c r="D102" s="54"/>
      <c r="E102" s="32"/>
    </row>
    <row r="103" spans="1:5" ht="15.75">
      <c r="A103" s="32"/>
      <c r="B103" s="58">
        <f t="shared" si="0"/>
        <v>0</v>
      </c>
      <c r="C103" s="32"/>
      <c r="D103" s="54"/>
      <c r="E103" s="32"/>
    </row>
    <row r="104" spans="1:5" ht="15.75">
      <c r="A104" s="32"/>
      <c r="B104" s="117" t="str">
        <f>B38</f>
        <v>Recreation</v>
      </c>
      <c r="C104" s="111"/>
      <c r="D104" s="54"/>
      <c r="E104" s="32"/>
    </row>
    <row r="105" spans="1:5" ht="15.75">
      <c r="A105" s="46" t="s">
        <v>74</v>
      </c>
      <c r="B105" s="47"/>
      <c r="C105" s="55"/>
      <c r="D105" s="59">
        <f>SUM(D91:D104)</f>
        <v>0</v>
      </c>
      <c r="E105" s="32"/>
    </row>
    <row r="106" spans="1:5" ht="15.75">
      <c r="A106" s="32"/>
      <c r="B106" s="32"/>
      <c r="C106" s="32"/>
      <c r="D106" s="32"/>
      <c r="E106" s="32"/>
    </row>
    <row r="107" spans="1:5" ht="15.75">
      <c r="A107" s="866" t="str">
        <f>CONCATENATE("Total Tax Levied (",C6-2," budget column)")</f>
        <v>Total Tax Levied (-2 budget column)</v>
      </c>
      <c r="B107" s="867"/>
      <c r="C107" s="47"/>
      <c r="D107" s="55"/>
      <c r="E107" s="43"/>
    </row>
    <row r="108" spans="1:5" ht="15.75">
      <c r="A108" s="866" t="str">
        <f>CONCATENATE("Assessed Valuation  (",C6-2," budget column)")</f>
        <v>Assessed Valuation  (-2 budget column)</v>
      </c>
      <c r="B108" s="867"/>
      <c r="C108" s="48"/>
      <c r="D108" s="60"/>
      <c r="E108" s="43"/>
    </row>
    <row r="109" spans="1:5" ht="15.75">
      <c r="A109" s="51"/>
      <c r="B109" s="52"/>
      <c r="C109" s="52"/>
      <c r="D109" s="52"/>
      <c r="E109" s="57"/>
    </row>
    <row r="110" spans="1:5" ht="15.75">
      <c r="A110" s="868" t="str">
        <f>CONCATENATE("From the ",C6-1," Budget, Budget Summary Page")</f>
        <v>From the -1 Budget, Budget Summary Page</v>
      </c>
      <c r="B110" s="869"/>
      <c r="C110" s="32"/>
      <c r="D110" s="61"/>
      <c r="E110" s="62"/>
    </row>
    <row r="111" spans="1:5" ht="15.75">
      <c r="A111" s="870" t="s">
        <v>3</v>
      </c>
      <c r="B111" s="871"/>
      <c r="C111" s="63"/>
      <c r="D111" s="64">
        <f>C6-3</f>
        <v>-3</v>
      </c>
      <c r="E111" s="65">
        <f>C6-2</f>
        <v>-2</v>
      </c>
    </row>
    <row r="112" spans="1:5" ht="15.75">
      <c r="A112" s="872" t="s">
        <v>245</v>
      </c>
      <c r="B112" s="891"/>
      <c r="C112" s="66"/>
      <c r="D112" s="67"/>
      <c r="E112" s="67"/>
    </row>
    <row r="113" spans="1:5" ht="15.75">
      <c r="A113" s="873" t="s">
        <v>246</v>
      </c>
      <c r="B113" s="874"/>
      <c r="C113" s="69"/>
      <c r="D113" s="67"/>
      <c r="E113" s="67"/>
    </row>
    <row r="114" spans="1:5" ht="15.75">
      <c r="A114" s="873" t="s">
        <v>247</v>
      </c>
      <c r="B114" s="874"/>
      <c r="C114" s="69"/>
      <c r="D114" s="67"/>
      <c r="E114" s="67"/>
    </row>
    <row r="115" spans="1:5" ht="15.75">
      <c r="A115" s="873" t="s">
        <v>248</v>
      </c>
      <c r="B115" s="874"/>
      <c r="C115" s="69"/>
      <c r="D115" s="67"/>
      <c r="E115" s="67"/>
    </row>
    <row r="116" spans="1:5" ht="15.75">
      <c r="A116" s="70"/>
      <c r="B116" s="70"/>
      <c r="C116" s="70"/>
      <c r="D116" s="70"/>
      <c r="E116" s="70"/>
    </row>
    <row r="117" spans="1:5" ht="15.75">
      <c r="A117" s="70"/>
      <c r="B117" s="70"/>
      <c r="C117" s="70"/>
      <c r="D117" s="70"/>
      <c r="E117" s="70"/>
    </row>
    <row r="118" spans="1:5" ht="15.75">
      <c r="A118" s="70"/>
      <c r="B118" s="70"/>
      <c r="C118" s="70"/>
      <c r="D118" s="70"/>
      <c r="E118" s="70"/>
    </row>
    <row r="119" spans="1:5" ht="15.75">
      <c r="A119" s="70"/>
      <c r="B119" s="70"/>
      <c r="C119" s="70"/>
      <c r="D119" s="70"/>
      <c r="E119" s="70"/>
    </row>
    <row r="120" spans="1:5" ht="15.75">
      <c r="A120" s="70"/>
      <c r="B120" s="70"/>
      <c r="C120" s="70"/>
      <c r="D120" s="70"/>
      <c r="E120" s="70"/>
    </row>
    <row r="121" spans="1:5" ht="15.75">
      <c r="A121" s="70"/>
      <c r="B121" s="70"/>
      <c r="C121" s="70"/>
      <c r="D121" s="70"/>
      <c r="E121" s="70"/>
    </row>
    <row r="122" s="70" customFormat="1" ht="15"/>
    <row r="123" spans="1:5" ht="15.75">
      <c r="A123" s="70"/>
      <c r="B123" s="70"/>
      <c r="C123" s="70"/>
      <c r="D123" s="70"/>
      <c r="E123" s="70"/>
    </row>
    <row r="124" spans="1:5" ht="15.75">
      <c r="A124" s="70"/>
      <c r="B124" s="70"/>
      <c r="C124" s="70"/>
      <c r="D124" s="70"/>
      <c r="E124" s="70"/>
    </row>
    <row r="125" spans="1:5" ht="15.75">
      <c r="A125" s="70"/>
      <c r="B125" s="70"/>
      <c r="C125" s="70"/>
      <c r="D125" s="70"/>
      <c r="E125" s="70"/>
    </row>
    <row r="126" spans="1:5" ht="15.75">
      <c r="A126" s="70"/>
      <c r="B126" s="70"/>
      <c r="C126" s="70"/>
      <c r="D126" s="70"/>
      <c r="E126" s="70"/>
    </row>
    <row r="127" spans="1:5" ht="15.75">
      <c r="A127" s="70"/>
      <c r="B127" s="70"/>
      <c r="C127" s="70"/>
      <c r="D127" s="70"/>
      <c r="E127" s="70"/>
    </row>
    <row r="128" spans="1:5" ht="15.75">
      <c r="A128" s="70"/>
      <c r="B128" s="70"/>
      <c r="C128" s="70"/>
      <c r="D128" s="70"/>
      <c r="E128" s="70"/>
    </row>
    <row r="129" spans="1:5" ht="15.75">
      <c r="A129" s="70"/>
      <c r="B129" s="70"/>
      <c r="C129" s="70"/>
      <c r="D129" s="70"/>
      <c r="E129" s="70"/>
    </row>
    <row r="130" spans="1:5" ht="15.75">
      <c r="A130" s="70"/>
      <c r="B130" s="70"/>
      <c r="C130" s="70"/>
      <c r="D130" s="70"/>
      <c r="E130" s="70"/>
    </row>
    <row r="131" spans="1:5" ht="15.75">
      <c r="A131" s="70"/>
      <c r="B131" s="70"/>
      <c r="C131" s="70"/>
      <c r="D131" s="70"/>
      <c r="E131" s="70"/>
    </row>
    <row r="132" spans="1:5" ht="15.75">
      <c r="A132" s="70"/>
      <c r="B132" s="70"/>
      <c r="C132" s="70"/>
      <c r="D132" s="70"/>
      <c r="E132" s="70"/>
    </row>
    <row r="133" spans="1:5" ht="15.75">
      <c r="A133" s="70"/>
      <c r="B133" s="70"/>
      <c r="C133" s="70"/>
      <c r="D133" s="70"/>
      <c r="E133" s="70"/>
    </row>
  </sheetData>
  <sheetProtection/>
  <mergeCells count="4">
    <mergeCell ref="A15:E15"/>
    <mergeCell ref="A1:E1"/>
    <mergeCell ref="A12:E14"/>
    <mergeCell ref="G13:H19"/>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C90" sqref="C90"/>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59765625" style="30" customWidth="1"/>
    <col min="10" max="10" width="10" style="30" customWidth="1"/>
    <col min="11" max="16384" width="8.8984375" style="30" customWidth="1"/>
  </cols>
  <sheetData>
    <row r="1" spans="2:5" ht="15.75">
      <c r="B1" s="140">
        <f>(inputPrYr!D3)</f>
        <v>0</v>
      </c>
      <c r="C1" s="32"/>
      <c r="D1" s="32"/>
      <c r="E1" s="190">
        <f>inputPrYr!C6</f>
        <v>0</v>
      </c>
    </row>
    <row r="2" spans="2:5" ht="15.75">
      <c r="B2" s="32"/>
      <c r="C2" s="32"/>
      <c r="D2" s="32"/>
      <c r="E2" s="126"/>
    </row>
    <row r="3" spans="2:5" ht="15.75">
      <c r="B3" s="191" t="s">
        <v>169</v>
      </c>
      <c r="C3" s="145"/>
      <c r="D3" s="145"/>
      <c r="E3" s="231"/>
    </row>
    <row r="4" spans="2:5" ht="15.75">
      <c r="B4" s="33" t="s">
        <v>101</v>
      </c>
      <c r="C4" s="365" t="s">
        <v>801</v>
      </c>
      <c r="D4" s="364" t="s">
        <v>802</v>
      </c>
      <c r="E4" s="343" t="s">
        <v>803</v>
      </c>
    </row>
    <row r="5" spans="2:5" ht="15.75">
      <c r="B5" s="488">
        <f>inputPrYr!B26</f>
        <v>0</v>
      </c>
      <c r="C5" s="366" t="str">
        <f>CONCATENATE("Actual for ",E1-2,"")</f>
        <v>Actual for -2</v>
      </c>
      <c r="D5" s="366" t="str">
        <f>CONCATENATE("Estimate for ",E1-1,"")</f>
        <v>Estimate for -1</v>
      </c>
      <c r="E5" s="351" t="str">
        <f>CONCATENATE("Year for ",E1,"")</f>
        <v>Year for 0</v>
      </c>
    </row>
    <row r="6" spans="2:5" ht="15.75">
      <c r="B6" s="196" t="s">
        <v>211</v>
      </c>
      <c r="C6" s="201"/>
      <c r="D6" s="199">
        <f>C32</f>
        <v>0</v>
      </c>
      <c r="E6" s="170">
        <f>D32</f>
        <v>0</v>
      </c>
    </row>
    <row r="7" spans="2:5" ht="15.75">
      <c r="B7" s="200" t="s">
        <v>213</v>
      </c>
      <c r="C7" s="117"/>
      <c r="D7" s="117"/>
      <c r="E7" s="58"/>
    </row>
    <row r="8" spans="2:5" ht="15.75">
      <c r="B8" s="108" t="s">
        <v>102</v>
      </c>
      <c r="C8" s="201"/>
      <c r="D8" s="199">
        <f>IF(inputPrYr!H21&gt;0,inputPrYr!G26,inputPrYr!E26)</f>
        <v>0</v>
      </c>
      <c r="E8" s="229" t="s">
        <v>91</v>
      </c>
    </row>
    <row r="9" spans="2:5" ht="15.75">
      <c r="B9" s="108" t="s">
        <v>103</v>
      </c>
      <c r="C9" s="201"/>
      <c r="D9" s="201"/>
      <c r="E9" s="43"/>
    </row>
    <row r="10" spans="2:5" ht="15.75">
      <c r="B10" s="108" t="s">
        <v>104</v>
      </c>
      <c r="C10" s="201"/>
      <c r="D10" s="201"/>
      <c r="E10" s="170" t="str">
        <f>mvalloc!D10</f>
        <v>  </v>
      </c>
    </row>
    <row r="11" spans="2:5" ht="15.75">
      <c r="B11" s="108" t="s">
        <v>105</v>
      </c>
      <c r="C11" s="201"/>
      <c r="D11" s="201"/>
      <c r="E11" s="170" t="str">
        <f>mvalloc!E10</f>
        <v> </v>
      </c>
    </row>
    <row r="12" spans="2:5" ht="15.75">
      <c r="B12" s="117" t="s">
        <v>200</v>
      </c>
      <c r="C12" s="201"/>
      <c r="D12" s="201"/>
      <c r="E12" s="170" t="str">
        <f>mvalloc!F10</f>
        <v> </v>
      </c>
    </row>
    <row r="13" spans="2:5" ht="15.75">
      <c r="B13" s="913" t="s">
        <v>1012</v>
      </c>
      <c r="C13" s="201"/>
      <c r="D13" s="201"/>
      <c r="E13" s="170" t="str">
        <f>mvalloc!G10</f>
        <v> </v>
      </c>
    </row>
    <row r="14" spans="2:5" ht="15.75">
      <c r="B14" s="913" t="s">
        <v>1013</v>
      </c>
      <c r="C14" s="201"/>
      <c r="D14" s="201"/>
      <c r="E14" s="170" t="str">
        <f>mvalloc!H10</f>
        <v> </v>
      </c>
    </row>
    <row r="15" spans="2:5" ht="15.75">
      <c r="B15" s="217"/>
      <c r="C15" s="201"/>
      <c r="D15" s="201"/>
      <c r="E15" s="43"/>
    </row>
    <row r="16" spans="2:10" ht="15.75">
      <c r="B16" s="217"/>
      <c r="C16" s="201"/>
      <c r="D16" s="201"/>
      <c r="E16" s="43"/>
      <c r="G16" s="1166" t="str">
        <f>CONCATENATE("Desired Carryover Into ",E1+1,"")</f>
        <v>Desired Carryover Into 1</v>
      </c>
      <c r="H16" s="1151"/>
      <c r="I16" s="1151"/>
      <c r="J16" s="1152"/>
    </row>
    <row r="17" spans="2:10" ht="15.75">
      <c r="B17" s="205" t="s">
        <v>109</v>
      </c>
      <c r="C17" s="201"/>
      <c r="D17" s="201"/>
      <c r="E17" s="43"/>
      <c r="G17" s="736"/>
      <c r="H17" s="737"/>
      <c r="I17" s="738"/>
      <c r="J17" s="739"/>
    </row>
    <row r="18" spans="2:10" ht="15.75">
      <c r="B18" s="218" t="s">
        <v>12</v>
      </c>
      <c r="C18" s="201"/>
      <c r="D18" s="201"/>
      <c r="E18" s="937">
        <f>nhood!E9*-1</f>
        <v>0</v>
      </c>
      <c r="G18" s="740" t="s">
        <v>768</v>
      </c>
      <c r="H18" s="738"/>
      <c r="I18" s="738"/>
      <c r="J18" s="741">
        <v>0</v>
      </c>
    </row>
    <row r="19" spans="2:10" ht="15.75">
      <c r="B19" s="117" t="s">
        <v>13</v>
      </c>
      <c r="C19" s="201"/>
      <c r="D19" s="201"/>
      <c r="E19" s="43"/>
      <c r="G19" s="736" t="s">
        <v>769</v>
      </c>
      <c r="H19" s="737"/>
      <c r="I19" s="737"/>
      <c r="J19" s="742">
        <f>IF(J18=0,"",ROUND((J18+E38-G31)/inputOth!E9*1000,3)-G36)</f>
      </c>
    </row>
    <row r="20" spans="2:10" ht="15.75">
      <c r="B20" s="196" t="s">
        <v>780</v>
      </c>
      <c r="C20" s="206">
        <f>IF(C21*0.1&lt;C19,"Exceed 10% Rule","")</f>
      </c>
      <c r="D20" s="206">
        <f>IF(D21*0.1&lt;D19,"Exceed 10% Rule","")</f>
      </c>
      <c r="E20" s="243">
        <f>IF(E21*0.1+E38&lt;E19,"Exceed 10% Rule","")</f>
      </c>
      <c r="G20" s="743" t="str">
        <f>CONCATENATE("",E1," Tot Exp/Non-Appr Must Be:")</f>
        <v>0 Tot Exp/Non-Appr Must Be:</v>
      </c>
      <c r="H20" s="744"/>
      <c r="I20" s="745"/>
      <c r="J20" s="746">
        <f>IF(J18&gt;0,IF(E35&lt;E22,IF(J18=G31,E35,((J18-G31)*(1-D37))+E22),E35+(J18-G31)),0)</f>
        <v>0</v>
      </c>
    </row>
    <row r="21" spans="2:10" ht="15.75">
      <c r="B21" s="208" t="s">
        <v>110</v>
      </c>
      <c r="C21" s="210">
        <f>SUM(C8:C19)</f>
        <v>0</v>
      </c>
      <c r="D21" s="210">
        <f>SUM(D8:D19)</f>
        <v>0</v>
      </c>
      <c r="E21" s="211">
        <f>SUM(E8:E19)</f>
        <v>0</v>
      </c>
      <c r="G21" s="747" t="s">
        <v>804</v>
      </c>
      <c r="H21" s="748"/>
      <c r="I21" s="748"/>
      <c r="J21" s="715">
        <f>IF(J18&gt;0,J20-E35,0)</f>
        <v>0</v>
      </c>
    </row>
    <row r="22" spans="2:10" ht="15.75">
      <c r="B22" s="208" t="s">
        <v>111</v>
      </c>
      <c r="C22" s="214">
        <f>C6+C21</f>
        <v>0</v>
      </c>
      <c r="D22" s="214">
        <f>D6+D21</f>
        <v>0</v>
      </c>
      <c r="E22" s="56">
        <f>E6+E21</f>
        <v>0</v>
      </c>
      <c r="J22" s="2"/>
    </row>
    <row r="23" spans="2:10" ht="15.75">
      <c r="B23" s="108" t="s">
        <v>113</v>
      </c>
      <c r="C23" s="218"/>
      <c r="D23" s="218"/>
      <c r="E23" s="42"/>
      <c r="G23" s="1166" t="str">
        <f>CONCATENATE("Projected Carryover Into ",E1+1,"")</f>
        <v>Projected Carryover Into 1</v>
      </c>
      <c r="H23" s="1170"/>
      <c r="I23" s="1170"/>
      <c r="J23" s="1169"/>
    </row>
    <row r="24" spans="2:10" ht="15.75">
      <c r="B24" s="217"/>
      <c r="C24" s="201"/>
      <c r="D24" s="201"/>
      <c r="E24" s="43"/>
      <c r="G24" s="736"/>
      <c r="H24" s="738"/>
      <c r="I24" s="738"/>
      <c r="J24" s="762"/>
    </row>
    <row r="25" spans="2:10" ht="15.75">
      <c r="B25" s="217"/>
      <c r="C25" s="201"/>
      <c r="D25" s="201"/>
      <c r="E25" s="43"/>
      <c r="G25" s="763">
        <f>D32</f>
        <v>0</v>
      </c>
      <c r="H25" s="727" t="str">
        <f>CONCATENATE("",E1-1," Ending Cash Balance (est.)")</f>
        <v>-1 Ending Cash Balance (est.)</v>
      </c>
      <c r="I25" s="764"/>
      <c r="J25" s="762"/>
    </row>
    <row r="26" spans="2:10" ht="15.75">
      <c r="B26" s="217"/>
      <c r="C26" s="201"/>
      <c r="D26" s="201"/>
      <c r="E26" s="43"/>
      <c r="G26" s="763">
        <f>E21</f>
        <v>0</v>
      </c>
      <c r="H26" s="738" t="str">
        <f>CONCATENATE("",E1," Non-AV Receipts (est.)")</f>
        <v>0 Non-AV Receipts (est.)</v>
      </c>
      <c r="I26" s="764"/>
      <c r="J26" s="762"/>
    </row>
    <row r="27" spans="2:11" ht="15.75">
      <c r="B27" s="217"/>
      <c r="C27" s="201"/>
      <c r="D27" s="201"/>
      <c r="E27" s="43"/>
      <c r="G27" s="765">
        <f>IF(E37&gt;0,E36,E38)</f>
        <v>0</v>
      </c>
      <c r="H27" s="738" t="str">
        <f>CONCATENATE("",E1," Ad Valorem Tax (est.)")</f>
        <v>0 Ad Valorem Tax (est.)</v>
      </c>
      <c r="I27" s="764"/>
      <c r="J27" s="750"/>
      <c r="K27" s="720">
        <f>IF(G27=E38,"","Note: Does not include Delinquent Taxes")</f>
      </c>
    </row>
    <row r="28" spans="2:10" ht="15.75">
      <c r="B28" s="218" t="str">
        <f>CONCATENATE("Cash Forward (",E1," column)")</f>
        <v>Cash Forward (0 column)</v>
      </c>
      <c r="C28" s="201"/>
      <c r="D28" s="201"/>
      <c r="E28" s="43"/>
      <c r="G28" s="763">
        <f>SUM(G25:G27)</f>
        <v>0</v>
      </c>
      <c r="H28" s="738" t="str">
        <f>CONCATENATE("Total ",E1," Resources Available")</f>
        <v>Total 0 Resources Available</v>
      </c>
      <c r="I28" s="764"/>
      <c r="J28" s="762"/>
    </row>
    <row r="29" spans="2:10" ht="15.75">
      <c r="B29" s="218" t="s">
        <v>13</v>
      </c>
      <c r="C29" s="201"/>
      <c r="D29" s="201"/>
      <c r="E29" s="43"/>
      <c r="G29" s="782"/>
      <c r="H29" s="738"/>
      <c r="I29" s="738"/>
      <c r="J29" s="762"/>
    </row>
    <row r="30" spans="2:10" ht="15.75">
      <c r="B30" s="218" t="s">
        <v>781</v>
      </c>
      <c r="C30" s="206">
        <f>IF(C31*0.1&lt;C29,"Exceed 10% Rule","")</f>
      </c>
      <c r="D30" s="206">
        <f>IF(D31*0.1&lt;D29,"Exceed 10% Rule","")</f>
      </c>
      <c r="E30" s="243">
        <f>IF(E31*0.1&lt;E29,"Exceed 10% Rule","")</f>
      </c>
      <c r="G30" s="765">
        <f>ROUND(C31*0.05+C31,0)</f>
        <v>0</v>
      </c>
      <c r="H30" s="738" t="str">
        <f>CONCATENATE("Less ",E1-2," Expenditures + 5%")</f>
        <v>Less -2 Expenditures + 5%</v>
      </c>
      <c r="I30" s="764"/>
      <c r="J30" s="762"/>
    </row>
    <row r="31" spans="2:10" ht="15.75">
      <c r="B31" s="208" t="s">
        <v>117</v>
      </c>
      <c r="C31" s="210">
        <f>SUM(C24:C29)</f>
        <v>0</v>
      </c>
      <c r="D31" s="210">
        <f>SUM(D24:D29)</f>
        <v>0</v>
      </c>
      <c r="E31" s="211">
        <f>SUM(E24:E29)</f>
        <v>0</v>
      </c>
      <c r="G31" s="783">
        <f>G28-G30</f>
        <v>0</v>
      </c>
      <c r="H31" s="784" t="str">
        <f>CONCATENATE("Projected ",E1+1," carryover (est.)")</f>
        <v>Projected 1 carryover (est.)</v>
      </c>
      <c r="I31" s="785"/>
      <c r="J31" s="775"/>
    </row>
    <row r="32" spans="2:10" ht="15.75">
      <c r="B32" s="108" t="s">
        <v>212</v>
      </c>
      <c r="C32" s="214">
        <f>C22-C31</f>
        <v>0</v>
      </c>
      <c r="D32" s="214">
        <f>D22-D31</f>
        <v>0</v>
      </c>
      <c r="E32" s="229" t="s">
        <v>91</v>
      </c>
      <c r="G32" s="2"/>
      <c r="H32" s="2"/>
      <c r="I32" s="2"/>
      <c r="J32" s="2"/>
    </row>
    <row r="33" spans="2:10" ht="15.75">
      <c r="B33" s="128" t="str">
        <f>CONCATENATE("",E1-2,"/",E1-1,"/",E1," Budget Authority Amount:")</f>
        <v>-2/-1/0 Budget Authority Amount:</v>
      </c>
      <c r="C33" s="787">
        <f>inputOth!B69</f>
        <v>0</v>
      </c>
      <c r="D33" s="787">
        <f>inputPrYr!D26</f>
        <v>0</v>
      </c>
      <c r="E33" s="170">
        <f>E31</f>
        <v>0</v>
      </c>
      <c r="G33" s="1153" t="s">
        <v>805</v>
      </c>
      <c r="H33" s="1154"/>
      <c r="I33" s="1154"/>
      <c r="J33" s="1155"/>
    </row>
    <row r="34" spans="2:10" ht="15.75">
      <c r="B34" s="94"/>
      <c r="C34" s="1142" t="s">
        <v>626</v>
      </c>
      <c r="D34" s="1143"/>
      <c r="E34" s="43"/>
      <c r="G34" s="726"/>
      <c r="H34" s="727"/>
      <c r="I34" s="728"/>
      <c r="J34" s="729"/>
    </row>
    <row r="35" spans="2:10" ht="15.75">
      <c r="B35" s="484" t="str">
        <f>CONCATENATE(C95,"     ",D95)</f>
        <v>     </v>
      </c>
      <c r="C35" s="1144" t="s">
        <v>627</v>
      </c>
      <c r="D35" s="1145"/>
      <c r="E35" s="170">
        <f>E31+E34</f>
        <v>0</v>
      </c>
      <c r="F35" s="219"/>
      <c r="G35" s="730" t="str">
        <f>summ!H18</f>
        <v>  </v>
      </c>
      <c r="H35" s="727" t="str">
        <f>CONCATENATE("",E1," Fund Mill Rate")</f>
        <v>0 Fund Mill Rate</v>
      </c>
      <c r="I35" s="728"/>
      <c r="J35" s="729"/>
    </row>
    <row r="36" spans="2:10" ht="15.75">
      <c r="B36" s="484" t="str">
        <f>CONCATENATE(C96,"     ",D96)</f>
        <v>     </v>
      </c>
      <c r="C36" s="220"/>
      <c r="D36" s="126" t="s">
        <v>118</v>
      </c>
      <c r="E36" s="56">
        <f>IF(E35-E22&gt;0,E35-E22,0)</f>
        <v>0</v>
      </c>
      <c r="F36" s="822">
        <f>IF(E31/0.95-E31&lt;E34,"Exceeds 5%","")</f>
      </c>
      <c r="G36" s="731" t="str">
        <f>summ!E18</f>
        <v>  </v>
      </c>
      <c r="H36" s="727" t="str">
        <f>CONCATENATE("",E1-1," Fund Mill Rate")</f>
        <v>-1 Fund Mill Rate</v>
      </c>
      <c r="I36" s="728"/>
      <c r="J36" s="729"/>
    </row>
    <row r="37" spans="2:10" ht="15.75">
      <c r="B37" s="126"/>
      <c r="C37" s="330" t="s">
        <v>625</v>
      </c>
      <c r="D37" s="685">
        <f>inputOth!$E$53</f>
        <v>0</v>
      </c>
      <c r="E37" s="170">
        <f>ROUND(IF(D37&gt;0,(E36*D37),0),0)</f>
        <v>0</v>
      </c>
      <c r="G37" s="732">
        <f>summ!H52</f>
        <v>0</v>
      </c>
      <c r="H37" s="727" t="str">
        <f>CONCATENATE("Total ",E1," Mill Rate")</f>
        <v>Total 0 Mill Rate</v>
      </c>
      <c r="I37" s="728"/>
      <c r="J37" s="729"/>
    </row>
    <row r="38" spans="2:10" ht="16.5" thickBot="1">
      <c r="B38" s="126"/>
      <c r="C38" s="1146" t="str">
        <f>CONCATENATE("Amount of  ",$E$1-1," Ad Valorem Tax")</f>
        <v>Amount of  -1 Ad Valorem Tax</v>
      </c>
      <c r="D38" s="1147"/>
      <c r="E38" s="688">
        <f>E36+E37</f>
        <v>0</v>
      </c>
      <c r="G38" s="731">
        <f>summ!E52</f>
        <v>0</v>
      </c>
      <c r="H38" s="733" t="str">
        <f>CONCATENATE("Total ",E1-1," Mill Rate")</f>
        <v>Total -1 Mill Rate</v>
      </c>
      <c r="I38" s="734"/>
      <c r="J38" s="735"/>
    </row>
    <row r="39" spans="2:5" ht="16.5" thickTop="1">
      <c r="B39" s="32"/>
      <c r="C39" s="1146"/>
      <c r="D39" s="1171"/>
      <c r="E39" s="52"/>
    </row>
    <row r="40" spans="2:10" ht="15.75">
      <c r="B40" s="33"/>
      <c r="C40" s="232"/>
      <c r="D40" s="232"/>
      <c r="E40" s="232"/>
      <c r="G40" s="914"/>
      <c r="H40" s="915"/>
      <c r="I40" s="917"/>
      <c r="J40" s="916"/>
    </row>
    <row r="41" spans="2:10" ht="15.75">
      <c r="B41" s="33" t="s">
        <v>101</v>
      </c>
      <c r="C41" s="365" t="s">
        <v>801</v>
      </c>
      <c r="D41" s="364" t="s">
        <v>802</v>
      </c>
      <c r="E41" s="343" t="s">
        <v>803</v>
      </c>
      <c r="G41" s="918" t="str">
        <f>CONCATENATE("Computed ",E1," tax levy limit amount")</f>
        <v>Computed 0 tax levy limit amount</v>
      </c>
      <c r="H41" s="919"/>
      <c r="I41" s="919"/>
      <c r="J41" s="920">
        <f>Comp1!J47</f>
        <v>0</v>
      </c>
    </row>
    <row r="42" spans="2:10" ht="15.75">
      <c r="B42" s="488">
        <f>(inputPrYr!B27)</f>
        <v>0</v>
      </c>
      <c r="C42" s="366" t="str">
        <f>CONCATENATE("Actual for ",E1-2,"")</f>
        <v>Actual for -2</v>
      </c>
      <c r="D42" s="366" t="str">
        <f>CONCATENATE("Estimate for ",E1-1,"")</f>
        <v>Estimate for -1</v>
      </c>
      <c r="E42" s="351" t="str">
        <f>CONCATENATE("Year for ",E1,"")</f>
        <v>Year for 0</v>
      </c>
      <c r="G42" s="712" t="str">
        <f>CONCATENATE("Total ",E1," tax levy amount")</f>
        <v>Total 0 tax levy amount</v>
      </c>
      <c r="H42" s="713"/>
      <c r="I42" s="713"/>
      <c r="J42" s="921">
        <f>summ!G52</f>
        <v>0</v>
      </c>
    </row>
    <row r="43" spans="2:5" ht="15.75">
      <c r="B43" s="196" t="s">
        <v>211</v>
      </c>
      <c r="C43" s="201"/>
      <c r="D43" s="199">
        <f>C71</f>
        <v>0</v>
      </c>
      <c r="E43" s="170">
        <f>D71</f>
        <v>0</v>
      </c>
    </row>
    <row r="44" spans="2:5" ht="15.75">
      <c r="B44" s="200" t="s">
        <v>213</v>
      </c>
      <c r="C44" s="117"/>
      <c r="D44" s="117"/>
      <c r="E44" s="58"/>
    </row>
    <row r="45" spans="2:5" ht="15.75">
      <c r="B45" s="108" t="s">
        <v>102</v>
      </c>
      <c r="C45" s="201"/>
      <c r="D45" s="199">
        <f>IF(inputPrYr!H21&gt;0,inputPrYr!G27,inputPrYr!E27)</f>
        <v>0</v>
      </c>
      <c r="E45" s="229" t="s">
        <v>91</v>
      </c>
    </row>
    <row r="46" spans="2:5" ht="15.75">
      <c r="B46" s="108" t="s">
        <v>103</v>
      </c>
      <c r="C46" s="201"/>
      <c r="D46" s="201"/>
      <c r="E46" s="43"/>
    </row>
    <row r="47" spans="2:5" ht="15.75">
      <c r="B47" s="108" t="s">
        <v>104</v>
      </c>
      <c r="C47" s="201"/>
      <c r="D47" s="201"/>
      <c r="E47" s="170" t="str">
        <f>mvalloc!D11</f>
        <v>  </v>
      </c>
    </row>
    <row r="48" spans="2:5" ht="15.75">
      <c r="B48" s="108" t="s">
        <v>105</v>
      </c>
      <c r="C48" s="201"/>
      <c r="D48" s="201"/>
      <c r="E48" s="170" t="str">
        <f>mvalloc!E11</f>
        <v> </v>
      </c>
    </row>
    <row r="49" spans="2:5" ht="15.75">
      <c r="B49" s="117" t="s">
        <v>200</v>
      </c>
      <c r="C49" s="201"/>
      <c r="D49" s="201"/>
      <c r="E49" s="170" t="str">
        <f>mvalloc!F11</f>
        <v> </v>
      </c>
    </row>
    <row r="50" spans="2:5" ht="15.75">
      <c r="B50" s="913" t="s">
        <v>1012</v>
      </c>
      <c r="C50" s="201"/>
      <c r="D50" s="201"/>
      <c r="E50" s="170" t="str">
        <f>mvalloc!G11</f>
        <v> </v>
      </c>
    </row>
    <row r="51" spans="2:5" ht="15.75">
      <c r="B51" s="913" t="s">
        <v>1013</v>
      </c>
      <c r="C51" s="201"/>
      <c r="D51" s="201"/>
      <c r="E51" s="170" t="str">
        <f>mvalloc!H11</f>
        <v> </v>
      </c>
    </row>
    <row r="52" spans="2:5" ht="15.75">
      <c r="B52" s="217"/>
      <c r="C52" s="201"/>
      <c r="D52" s="201"/>
      <c r="E52" s="43"/>
    </row>
    <row r="53" spans="2:5" ht="15.75">
      <c r="B53" s="217"/>
      <c r="C53" s="201"/>
      <c r="D53" s="201"/>
      <c r="E53" s="43"/>
    </row>
    <row r="54" spans="2:5" ht="15.75">
      <c r="B54" s="205" t="s">
        <v>109</v>
      </c>
      <c r="C54" s="201"/>
      <c r="D54" s="201"/>
      <c r="E54" s="43"/>
    </row>
    <row r="55" spans="2:10" ht="15.75">
      <c r="B55" s="218" t="s">
        <v>12</v>
      </c>
      <c r="C55" s="201"/>
      <c r="D55" s="201"/>
      <c r="E55" s="937">
        <f>nhood!E10*-1</f>
        <v>0</v>
      </c>
      <c r="G55" s="1166" t="str">
        <f>CONCATENATE("Desired Carryover Into ",E1+1,"")</f>
        <v>Desired Carryover Into 1</v>
      </c>
      <c r="H55" s="1151"/>
      <c r="I55" s="1151"/>
      <c r="J55" s="1152"/>
    </row>
    <row r="56" spans="2:10" ht="15.75">
      <c r="B56" s="117" t="s">
        <v>13</v>
      </c>
      <c r="C56" s="201"/>
      <c r="D56" s="201"/>
      <c r="E56" s="43"/>
      <c r="G56" s="736"/>
      <c r="H56" s="737"/>
      <c r="I56" s="738"/>
      <c r="J56" s="739"/>
    </row>
    <row r="57" spans="2:10" ht="15.75">
      <c r="B57" s="196" t="s">
        <v>780</v>
      </c>
      <c r="C57" s="206">
        <f>IF(C58*0.1&lt;C56,"Exceed 10% Rule","")</f>
      </c>
      <c r="D57" s="206">
        <f>IF(D58*0.1&lt;D56,"Exceed 10% Rule","")</f>
      </c>
      <c r="E57" s="243">
        <f>IF(E58*0.1+E77&lt;E56,"Exceed 10% Rule","")</f>
      </c>
      <c r="G57" s="740" t="s">
        <v>768</v>
      </c>
      <c r="H57" s="738"/>
      <c r="I57" s="738"/>
      <c r="J57" s="741">
        <v>0</v>
      </c>
    </row>
    <row r="58" spans="2:10" ht="15.75">
      <c r="B58" s="208" t="s">
        <v>110</v>
      </c>
      <c r="C58" s="210">
        <f>SUM(C45:C56)</f>
        <v>0</v>
      </c>
      <c r="D58" s="210">
        <f>SUM(D45:D56)</f>
        <v>0</v>
      </c>
      <c r="E58" s="211">
        <f>SUM(E45:E56)</f>
        <v>0</v>
      </c>
      <c r="G58" s="736" t="s">
        <v>769</v>
      </c>
      <c r="H58" s="737"/>
      <c r="I58" s="737"/>
      <c r="J58" s="742">
        <f>IF(J57=0,"",ROUND((J57+E77-G70)/inputOth!E9*1000,3)-G75)</f>
      </c>
    </row>
    <row r="59" spans="2:10" ht="15.75">
      <c r="B59" s="208" t="s">
        <v>111</v>
      </c>
      <c r="C59" s="210">
        <f>C43+C58</f>
        <v>0</v>
      </c>
      <c r="D59" s="210">
        <f>D43+D58</f>
        <v>0</v>
      </c>
      <c r="E59" s="211">
        <f>E43+E58</f>
        <v>0</v>
      </c>
      <c r="G59" s="743" t="str">
        <f>CONCATENATE("",E1," Tot Exp/Non-Appr Must Be:")</f>
        <v>0 Tot Exp/Non-Appr Must Be:</v>
      </c>
      <c r="H59" s="744"/>
      <c r="I59" s="745"/>
      <c r="J59" s="746">
        <f>IF(J57&gt;0,IF(E74&lt;E59,IF(J57=G70,E74,((J57-G70)*(1-D76))+E59),E74+(J57-G70)),0)</f>
        <v>0</v>
      </c>
    </row>
    <row r="60" spans="2:10" ht="15.75">
      <c r="B60" s="108" t="s">
        <v>113</v>
      </c>
      <c r="C60" s="218"/>
      <c r="D60" s="218"/>
      <c r="E60" s="42"/>
      <c r="G60" s="747" t="s">
        <v>804</v>
      </c>
      <c r="H60" s="748"/>
      <c r="I60" s="748"/>
      <c r="J60" s="715">
        <f>IF(J57&gt;0,J59-E74,0)</f>
        <v>0</v>
      </c>
    </row>
    <row r="61" spans="2:10" ht="15.75">
      <c r="B61" s="217"/>
      <c r="C61" s="201"/>
      <c r="D61" s="201"/>
      <c r="E61" s="43"/>
      <c r="J61" s="2"/>
    </row>
    <row r="62" spans="2:10" ht="15.75">
      <c r="B62" s="217"/>
      <c r="C62" s="201"/>
      <c r="D62" s="201"/>
      <c r="E62" s="43"/>
      <c r="G62" s="1166" t="str">
        <f>CONCATENATE("Projected Carryover Into ",E1+1,"")</f>
        <v>Projected Carryover Into 1</v>
      </c>
      <c r="H62" s="1168"/>
      <c r="I62" s="1168"/>
      <c r="J62" s="1169"/>
    </row>
    <row r="63" spans="2:10" ht="15.75">
      <c r="B63" s="217"/>
      <c r="C63" s="201"/>
      <c r="D63" s="201"/>
      <c r="E63" s="43"/>
      <c r="G63" s="761"/>
      <c r="H63" s="737"/>
      <c r="I63" s="737"/>
      <c r="J63" s="768"/>
    </row>
    <row r="64" spans="2:10" ht="15.75">
      <c r="B64" s="217"/>
      <c r="C64" s="201"/>
      <c r="D64" s="201"/>
      <c r="E64" s="43"/>
      <c r="G64" s="763">
        <f>D71</f>
        <v>0</v>
      </c>
      <c r="H64" s="727" t="str">
        <f>CONCATENATE("",E1-1," Ending Cash Balance (est.)")</f>
        <v>-1 Ending Cash Balance (est.)</v>
      </c>
      <c r="I64" s="764"/>
      <c r="J64" s="768"/>
    </row>
    <row r="65" spans="2:10" ht="15.75">
      <c r="B65" s="217"/>
      <c r="C65" s="201"/>
      <c r="D65" s="201"/>
      <c r="E65" s="43"/>
      <c r="G65" s="763">
        <f>E58</f>
        <v>0</v>
      </c>
      <c r="H65" s="738" t="str">
        <f>CONCATENATE("",E1," Non-AV Receipts (est.)")</f>
        <v>0 Non-AV Receipts (est.)</v>
      </c>
      <c r="I65" s="764"/>
      <c r="J65" s="768"/>
    </row>
    <row r="66" spans="2:11" ht="15.75">
      <c r="B66" s="217"/>
      <c r="C66" s="201"/>
      <c r="D66" s="201"/>
      <c r="E66" s="43"/>
      <c r="G66" s="765">
        <f>IF(D76&gt;0,E75,E77)</f>
        <v>0</v>
      </c>
      <c r="H66" s="738" t="str">
        <f>CONCATENATE("",E1," Ad Valorem Tax (est.)")</f>
        <v>0 Ad Valorem Tax (est.)</v>
      </c>
      <c r="I66" s="764"/>
      <c r="J66" s="768"/>
      <c r="K66" s="720">
        <f>IF(G66=E77,"","Note: Does not include Delinquent Taxes")</f>
      </c>
    </row>
    <row r="67" spans="2:10" ht="15.75">
      <c r="B67" s="218" t="str">
        <f>CONCATENATE("Cash Forward (",E1," column)")</f>
        <v>Cash Forward (0 column)</v>
      </c>
      <c r="C67" s="201"/>
      <c r="D67" s="201"/>
      <c r="E67" s="43"/>
      <c r="G67" s="767">
        <f>SUM(G64:G66)</f>
        <v>0</v>
      </c>
      <c r="H67" s="738" t="str">
        <f>CONCATENATE("Total ",E1," Resources Available")</f>
        <v>Total 0 Resources Available</v>
      </c>
      <c r="I67" s="768"/>
      <c r="J67" s="768"/>
    </row>
    <row r="68" spans="2:10" ht="15.75">
      <c r="B68" s="218" t="s">
        <v>13</v>
      </c>
      <c r="C68" s="201"/>
      <c r="D68" s="201"/>
      <c r="E68" s="43"/>
      <c r="G68" s="769"/>
      <c r="H68" s="770"/>
      <c r="I68" s="737"/>
      <c r="J68" s="768"/>
    </row>
    <row r="69" spans="2:10" ht="15.75">
      <c r="B69" s="218" t="s">
        <v>781</v>
      </c>
      <c r="C69" s="206">
        <f>IF(C70*0.1&lt;C68,"Exceed 10% Rule","")</f>
      </c>
      <c r="D69" s="206">
        <f>IF(D70*0.1&lt;D68,"Exceed 10% Rule","")</f>
      </c>
      <c r="E69" s="243">
        <f>IF(E70*0.1&lt;E68,"Exceed 10% Rule","")</f>
      </c>
      <c r="G69" s="771">
        <f>ROUND(C70*0.05+C70,0)</f>
        <v>0</v>
      </c>
      <c r="H69" s="770" t="str">
        <f>CONCATENATE("Less ",E1-2," Expenditures + 5%")</f>
        <v>Less -2 Expenditures + 5%</v>
      </c>
      <c r="I69" s="768"/>
      <c r="J69" s="768"/>
    </row>
    <row r="70" spans="2:10" ht="15.75">
      <c r="B70" s="208" t="s">
        <v>117</v>
      </c>
      <c r="C70" s="210">
        <f>SUM(C61:C68)</f>
        <v>0</v>
      </c>
      <c r="D70" s="210">
        <f>SUM(D61:D68)</f>
        <v>0</v>
      </c>
      <c r="E70" s="211">
        <f>SUM(E61:E68)</f>
        <v>0</v>
      </c>
      <c r="G70" s="772">
        <f>G67-G69</f>
        <v>0</v>
      </c>
      <c r="H70" s="773" t="str">
        <f>CONCATENATE("Projected ",E1+1," carryover (est.)")</f>
        <v>Projected 1 carryover (est.)</v>
      </c>
      <c r="I70" s="774"/>
      <c r="J70" s="775"/>
    </row>
    <row r="71" spans="2:9" ht="15.75">
      <c r="B71" s="108" t="s">
        <v>212</v>
      </c>
      <c r="C71" s="214">
        <f>C59-C70</f>
        <v>0</v>
      </c>
      <c r="D71" s="214">
        <f>D59-D70</f>
        <v>0</v>
      </c>
      <c r="E71" s="229" t="s">
        <v>91</v>
      </c>
      <c r="G71" s="2"/>
      <c r="H71" s="2"/>
      <c r="I71" s="2"/>
    </row>
    <row r="72" spans="2:10" ht="15.75">
      <c r="B72" s="128" t="str">
        <f>CONCATENATE("",E1-2,"/",E1-1,"/",E1," Budget Authority Amount:")</f>
        <v>-2/-1/0 Budget Authority Amount:</v>
      </c>
      <c r="C72" s="787">
        <f>inputOth!B70</f>
        <v>0</v>
      </c>
      <c r="D72" s="787">
        <f>inputPrYr!D27</f>
        <v>0</v>
      </c>
      <c r="E72" s="170">
        <f>E70</f>
        <v>0</v>
      </c>
      <c r="G72" s="1153" t="s">
        <v>805</v>
      </c>
      <c r="H72" s="1154"/>
      <c r="I72" s="1154"/>
      <c r="J72" s="1155"/>
    </row>
    <row r="73" spans="2:10" ht="15.75">
      <c r="B73" s="94"/>
      <c r="C73" s="1142" t="s">
        <v>626</v>
      </c>
      <c r="D73" s="1143"/>
      <c r="E73" s="43"/>
      <c r="G73" s="726"/>
      <c r="H73" s="727"/>
      <c r="I73" s="728"/>
      <c r="J73" s="729"/>
    </row>
    <row r="74" spans="2:10" ht="15.75">
      <c r="B74" s="484" t="str">
        <f>CONCATENATE(C97,"     ",D97)</f>
        <v>     </v>
      </c>
      <c r="C74" s="1144" t="s">
        <v>627</v>
      </c>
      <c r="D74" s="1145"/>
      <c r="E74" s="170">
        <f>E70+E73</f>
        <v>0</v>
      </c>
      <c r="F74" s="219"/>
      <c r="G74" s="730" t="str">
        <f>summ!H19</f>
        <v>  </v>
      </c>
      <c r="H74" s="727" t="str">
        <f>CONCATENATE("",E1," Fund Mill Rate")</f>
        <v>0 Fund Mill Rate</v>
      </c>
      <c r="I74" s="728"/>
      <c r="J74" s="729"/>
    </row>
    <row r="75" spans="2:10" ht="15.75">
      <c r="B75" s="484" t="str">
        <f>CONCATENATE(C98,"     ",D98)</f>
        <v>     </v>
      </c>
      <c r="C75" s="220"/>
      <c r="D75" s="126" t="s">
        <v>118</v>
      </c>
      <c r="E75" s="56">
        <f>IF(E74-E59&gt;0,E74-E59,0)</f>
        <v>0</v>
      </c>
      <c r="F75" s="822">
        <f>IF(E70/0.95-E70&lt;E73,"Exceeds 5%","")</f>
      </c>
      <c r="G75" s="731" t="str">
        <f>summ!E19</f>
        <v>  </v>
      </c>
      <c r="H75" s="727" t="str">
        <f>CONCATENATE("",E1-1," Fund Mill Rate")</f>
        <v>-1 Fund Mill Rate</v>
      </c>
      <c r="I75" s="728"/>
      <c r="J75" s="729"/>
    </row>
    <row r="76" spans="2:10" ht="15.75">
      <c r="B76" s="126"/>
      <c r="C76" s="330" t="s">
        <v>625</v>
      </c>
      <c r="D76" s="685">
        <f>inputOth!$E$53</f>
        <v>0</v>
      </c>
      <c r="E76" s="170">
        <f>ROUND(IF(D76&gt;0,(E75*D76),0),0)</f>
        <v>0</v>
      </c>
      <c r="G76" s="732">
        <f>summ!H52</f>
        <v>0</v>
      </c>
      <c r="H76" s="727" t="str">
        <f>CONCATENATE("Total ",E1," Mill Rate")</f>
        <v>Total 0 Mill Rate</v>
      </c>
      <c r="I76" s="728"/>
      <c r="J76" s="729"/>
    </row>
    <row r="77" spans="2:10" ht="16.5" thickBot="1">
      <c r="B77" s="32"/>
      <c r="C77" s="1146" t="str">
        <f>CONCATENATE("Amount of  ",$E$1-1," Ad Valorem Tax")</f>
        <v>Amount of  -1 Ad Valorem Tax</v>
      </c>
      <c r="D77" s="1147"/>
      <c r="E77" s="688">
        <f>E75+E76</f>
        <v>0</v>
      </c>
      <c r="G77" s="731">
        <f>summ!E52</f>
        <v>0</v>
      </c>
      <c r="H77" s="733" t="str">
        <f>CONCATENATE("Total ",E1-1," Mill Rate")</f>
        <v>Total -1 Mill Rate</v>
      </c>
      <c r="I77" s="734"/>
      <c r="J77" s="735"/>
    </row>
    <row r="78" spans="2:5" ht="16.5" thickTop="1">
      <c r="B78" s="32"/>
      <c r="C78" s="530"/>
      <c r="D78" s="32"/>
      <c r="E78" s="32"/>
    </row>
    <row r="79" spans="2:10" ht="15.75">
      <c r="B79" s="976" t="s">
        <v>1036</v>
      </c>
      <c r="C79" s="950"/>
      <c r="D79" s="75"/>
      <c r="E79" s="951"/>
      <c r="G79" s="914"/>
      <c r="H79" s="915"/>
      <c r="I79" s="917"/>
      <c r="J79" s="916"/>
    </row>
    <row r="80" spans="2:10" ht="15.75">
      <c r="B80" s="761"/>
      <c r="C80" s="530"/>
      <c r="D80" s="52"/>
      <c r="E80" s="768"/>
      <c r="G80" s="918" t="str">
        <f>CONCATENATE("Computed ",E1," tax levy limit amount")</f>
        <v>Computed 0 tax levy limit amount</v>
      </c>
      <c r="H80" s="919"/>
      <c r="I80" s="919"/>
      <c r="J80" s="920">
        <f>Comp1!J47</f>
        <v>0</v>
      </c>
    </row>
    <row r="81" spans="2:10" ht="15.75">
      <c r="B81" s="695"/>
      <c r="C81" s="965"/>
      <c r="D81" s="47"/>
      <c r="E81" s="55"/>
      <c r="G81" s="712" t="str">
        <f>CONCATENATE("Total ",E1," tax levy amount")</f>
        <v>Total 0 tax levy amount</v>
      </c>
      <c r="H81" s="713"/>
      <c r="I81" s="713"/>
      <c r="J81" s="921">
        <f>summ!G52</f>
        <v>0</v>
      </c>
    </row>
    <row r="82" spans="2:5" ht="15.75">
      <c r="B82" s="126" t="s">
        <v>120</v>
      </c>
      <c r="C82" s="225"/>
      <c r="D82" s="32"/>
      <c r="E82" s="32"/>
    </row>
    <row r="83" ht="15.75">
      <c r="B83" s="18"/>
    </row>
    <row r="93" ht="15.75" hidden="1"/>
    <row r="94" ht="15.75" hidden="1"/>
    <row r="95" spans="3:4" ht="15.75" hidden="1">
      <c r="C95" s="483">
        <f>IF(C31&gt;C33,"See Tab A","")</f>
      </c>
      <c r="D95" s="483">
        <f>IF(D29&gt;D33,"See Tab C","")</f>
      </c>
    </row>
    <row r="96" spans="3:4" ht="15.75" hidden="1">
      <c r="C96" s="483">
        <f>IF(C32&lt;0,"See Tab B","")</f>
      </c>
      <c r="D96" s="483">
        <f>IF(D32&lt;0,"See Tab D","")</f>
      </c>
    </row>
    <row r="97" spans="3:4" ht="15.75">
      <c r="C97" s="483">
        <f>IF(C68&gt;C72,"See Tab A","")</f>
      </c>
      <c r="D97" s="483">
        <f>IF(D68&gt;D72,"See Tab C","")</f>
      </c>
    </row>
    <row r="98" spans="3:4" ht="15.75">
      <c r="C98" s="483">
        <f>IF(C71&lt;0,"See Tab B","")</f>
      </c>
      <c r="D98" s="483">
        <f>IF(D71&lt;0,"See Tab D","")</f>
      </c>
    </row>
  </sheetData>
  <sheetProtection/>
  <mergeCells count="13">
    <mergeCell ref="C73:D73"/>
    <mergeCell ref="C74:D74"/>
    <mergeCell ref="C34:D34"/>
    <mergeCell ref="C35:D35"/>
    <mergeCell ref="C39:D39"/>
    <mergeCell ref="C77:D77"/>
    <mergeCell ref="C38:D38"/>
    <mergeCell ref="G16:J16"/>
    <mergeCell ref="G23:J23"/>
    <mergeCell ref="G33:J33"/>
    <mergeCell ref="G55:J55"/>
    <mergeCell ref="G62:J62"/>
    <mergeCell ref="G72:J72"/>
  </mergeCells>
  <conditionalFormatting sqref="E68">
    <cfRule type="cellIs" priority="3" dxfId="328" operator="greaterThan" stopIfTrue="1">
      <formula>$E$70*0.1</formula>
    </cfRule>
  </conditionalFormatting>
  <conditionalFormatting sqref="E73">
    <cfRule type="cellIs" priority="4" dxfId="328" operator="greaterThan" stopIfTrue="1">
      <formula>$E$70/0.95-$E$70</formula>
    </cfRule>
  </conditionalFormatting>
  <conditionalFormatting sqref="E29">
    <cfRule type="cellIs" priority="5" dxfId="328" operator="greaterThan" stopIfTrue="1">
      <formula>$E$31*0.1</formula>
    </cfRule>
  </conditionalFormatting>
  <conditionalFormatting sqref="E34">
    <cfRule type="cellIs" priority="6" dxfId="328" operator="greaterThan" stopIfTrue="1">
      <formula>$E$31/0.95-$E$31</formula>
    </cfRule>
  </conditionalFormatting>
  <conditionalFormatting sqref="C29">
    <cfRule type="cellIs" priority="7" dxfId="3" operator="greaterThan" stopIfTrue="1">
      <formula>$C$31*0.1</formula>
    </cfRule>
  </conditionalFormatting>
  <conditionalFormatting sqref="D29">
    <cfRule type="cellIs" priority="8" dxfId="3" operator="greaterThan" stopIfTrue="1">
      <formula>$D$31*0.1</formula>
    </cfRule>
  </conditionalFormatting>
  <conditionalFormatting sqref="D31">
    <cfRule type="cellIs" priority="9" dxfId="3" operator="greaterThan" stopIfTrue="1">
      <formula>$D$33</formula>
    </cfRule>
  </conditionalFormatting>
  <conditionalFormatting sqref="C31">
    <cfRule type="cellIs" priority="10" dxfId="3" operator="greaterThan" stopIfTrue="1">
      <formula>$C$33</formula>
    </cfRule>
  </conditionalFormatting>
  <conditionalFormatting sqref="C32 C71">
    <cfRule type="cellIs" priority="11" dxfId="3" operator="lessThan" stopIfTrue="1">
      <formula>0</formula>
    </cfRule>
  </conditionalFormatting>
  <conditionalFormatting sqref="C68">
    <cfRule type="cellIs" priority="12" dxfId="3" operator="greaterThan" stopIfTrue="1">
      <formula>$C$70*0.1</formula>
    </cfRule>
  </conditionalFormatting>
  <conditionalFormatting sqref="D68">
    <cfRule type="cellIs" priority="13" dxfId="3" operator="greaterThan" stopIfTrue="1">
      <formula>$D$70*0.1</formula>
    </cfRule>
  </conditionalFormatting>
  <conditionalFormatting sqref="D70">
    <cfRule type="cellIs" priority="14" dxfId="3" operator="greaterThan" stopIfTrue="1">
      <formula>$D$72</formula>
    </cfRule>
  </conditionalFormatting>
  <conditionalFormatting sqref="C70">
    <cfRule type="cellIs" priority="15" dxfId="3" operator="greaterThan" stopIfTrue="1">
      <formula>$C$72</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19">
    <cfRule type="cellIs" priority="20" dxfId="328" operator="greaterThan" stopIfTrue="1">
      <formula>$E$21*0.1+E38</formula>
    </cfRule>
  </conditionalFormatting>
  <conditionalFormatting sqref="E56">
    <cfRule type="cellIs" priority="21" dxfId="328" operator="greaterThan" stopIfTrue="1">
      <formula>$E$58*0.1+E77</formula>
    </cfRule>
  </conditionalFormatting>
  <conditionalFormatting sqref="D71 D32">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D109" sqref="D109"/>
    </sheetView>
  </sheetViews>
  <sheetFormatPr defaultColWidth="8.796875" defaultRowHeight="15"/>
  <cols>
    <col min="1" max="1" width="2.3984375" style="30" customWidth="1"/>
    <col min="2" max="2" width="31.09765625" style="30" customWidth="1"/>
    <col min="3" max="4" width="15.796875" style="30" customWidth="1"/>
    <col min="5" max="5" width="16.296875" style="30" customWidth="1"/>
    <col min="6" max="6" width="8.09765625" style="30" customWidth="1"/>
    <col min="7" max="7" width="10.19921875" style="30" customWidth="1"/>
    <col min="8" max="8" width="8.8984375" style="30" customWidth="1"/>
    <col min="9" max="9" width="5.3984375" style="30" customWidth="1"/>
    <col min="10" max="10" width="10" style="30" customWidth="1"/>
    <col min="11" max="16384" width="8.8984375" style="30" customWidth="1"/>
  </cols>
  <sheetData>
    <row r="1" spans="2:5" ht="15.75">
      <c r="B1" s="140">
        <f>(inputPrYr!D3)</f>
        <v>0</v>
      </c>
      <c r="C1" s="32"/>
      <c r="D1" s="32"/>
      <c r="E1" s="190">
        <f>inputPrYr!C6</f>
        <v>0</v>
      </c>
    </row>
    <row r="2" spans="2:5" ht="15.75">
      <c r="B2" s="32"/>
      <c r="C2" s="32"/>
      <c r="D2" s="32"/>
      <c r="E2" s="126"/>
    </row>
    <row r="3" spans="2:5" ht="15.75">
      <c r="B3" s="191" t="s">
        <v>169</v>
      </c>
      <c r="C3" s="145"/>
      <c r="D3" s="145"/>
      <c r="E3" s="231"/>
    </row>
    <row r="4" spans="2:5" ht="15.75">
      <c r="B4" s="33" t="s">
        <v>101</v>
      </c>
      <c r="C4" s="365" t="s">
        <v>801</v>
      </c>
      <c r="D4" s="364" t="s">
        <v>802</v>
      </c>
      <c r="E4" s="343" t="s">
        <v>803</v>
      </c>
    </row>
    <row r="5" spans="2:5" ht="15.75">
      <c r="B5" s="488">
        <f>inputPrYr!B28</f>
        <v>0</v>
      </c>
      <c r="C5" s="366" t="str">
        <f>CONCATENATE("Actual for ",E1-2,"")</f>
        <v>Actual for -2</v>
      </c>
      <c r="D5" s="366" t="str">
        <f>CONCATENATE("Estimate for ",E1-1,"")</f>
        <v>Estimate for -1</v>
      </c>
      <c r="E5" s="351" t="str">
        <f>CONCATENATE("Year for ",E1,"")</f>
        <v>Year for 0</v>
      </c>
    </row>
    <row r="6" spans="2:5" ht="15.75">
      <c r="B6" s="196" t="s">
        <v>211</v>
      </c>
      <c r="C6" s="201"/>
      <c r="D6" s="199">
        <f>C33</f>
        <v>0</v>
      </c>
      <c r="E6" s="170">
        <f>D33</f>
        <v>0</v>
      </c>
    </row>
    <row r="7" spans="2:5" ht="15.75">
      <c r="B7" s="200" t="s">
        <v>213</v>
      </c>
      <c r="C7" s="199"/>
      <c r="D7" s="199"/>
      <c r="E7" s="170"/>
    </row>
    <row r="8" spans="2:5" ht="15.75">
      <c r="B8" s="108" t="s">
        <v>102</v>
      </c>
      <c r="C8" s="201"/>
      <c r="D8" s="199">
        <f>IF(inputPrYr!H21&gt;0,inputPrYr!G28,inputPrYr!E28)</f>
        <v>0</v>
      </c>
      <c r="E8" s="229" t="s">
        <v>91</v>
      </c>
    </row>
    <row r="9" spans="2:5" ht="15.75">
      <c r="B9" s="108" t="s">
        <v>103</v>
      </c>
      <c r="C9" s="201"/>
      <c r="D9" s="201"/>
      <c r="E9" s="43"/>
    </row>
    <row r="10" spans="2:5" ht="15.75">
      <c r="B10" s="108" t="s">
        <v>104</v>
      </c>
      <c r="C10" s="201"/>
      <c r="D10" s="201"/>
      <c r="E10" s="170" t="str">
        <f>mvalloc!D12</f>
        <v>  </v>
      </c>
    </row>
    <row r="11" spans="2:5" ht="15.75">
      <c r="B11" s="108" t="s">
        <v>105</v>
      </c>
      <c r="C11" s="201"/>
      <c r="D11" s="201"/>
      <c r="E11" s="170" t="str">
        <f>mvalloc!E12</f>
        <v> </v>
      </c>
    </row>
    <row r="12" spans="2:5" ht="15.75">
      <c r="B12" s="117" t="s">
        <v>200</v>
      </c>
      <c r="C12" s="201"/>
      <c r="D12" s="201"/>
      <c r="E12" s="170" t="str">
        <f>mvalloc!F12</f>
        <v> </v>
      </c>
    </row>
    <row r="13" spans="2:5" ht="15.75">
      <c r="B13" s="913" t="s">
        <v>1012</v>
      </c>
      <c r="C13" s="201"/>
      <c r="D13" s="201"/>
      <c r="E13" s="170" t="str">
        <f>mvalloc!G12</f>
        <v> </v>
      </c>
    </row>
    <row r="14" spans="2:5" ht="15.75">
      <c r="B14" s="913" t="s">
        <v>1013</v>
      </c>
      <c r="C14" s="201"/>
      <c r="D14" s="201"/>
      <c r="E14" s="170" t="str">
        <f>mvalloc!H12</f>
        <v> </v>
      </c>
    </row>
    <row r="15" spans="2:5" ht="15.75">
      <c r="B15" s="217"/>
      <c r="C15" s="201"/>
      <c r="D15" s="201"/>
      <c r="E15" s="43"/>
    </row>
    <row r="16" spans="2:10" ht="15.75">
      <c r="B16" s="217"/>
      <c r="C16" s="201"/>
      <c r="D16" s="201"/>
      <c r="E16" s="43"/>
      <c r="G16" s="1166" t="str">
        <f>CONCATENATE("Desired Carryover Into ",E1+1,"")</f>
        <v>Desired Carryover Into 1</v>
      </c>
      <c r="H16" s="1151"/>
      <c r="I16" s="1151"/>
      <c r="J16" s="1152"/>
    </row>
    <row r="17" spans="2:10" ht="15.75">
      <c r="B17" s="205" t="s">
        <v>109</v>
      </c>
      <c r="C17" s="201"/>
      <c r="D17" s="201"/>
      <c r="E17" s="43"/>
      <c r="G17" s="736"/>
      <c r="H17" s="737"/>
      <c r="I17" s="738"/>
      <c r="J17" s="739"/>
    </row>
    <row r="18" spans="2:10" ht="15.75">
      <c r="B18" s="218" t="s">
        <v>12</v>
      </c>
      <c r="C18" s="201"/>
      <c r="D18" s="201"/>
      <c r="E18" s="937">
        <f>nhood!E11*-1</f>
        <v>0</v>
      </c>
      <c r="G18" s="740" t="s">
        <v>768</v>
      </c>
      <c r="H18" s="738"/>
      <c r="I18" s="738"/>
      <c r="J18" s="741">
        <v>0</v>
      </c>
    </row>
    <row r="19" spans="2:10" ht="15.75">
      <c r="B19" s="117" t="s">
        <v>13</v>
      </c>
      <c r="C19" s="201"/>
      <c r="D19" s="201"/>
      <c r="E19" s="43"/>
      <c r="G19" s="736" t="s">
        <v>769</v>
      </c>
      <c r="H19" s="737"/>
      <c r="I19" s="737"/>
      <c r="J19" s="742">
        <f>IF(J18=0,"",ROUND((J18+E39-G31)/inputOth!E9*1000,3)-G36)</f>
      </c>
    </row>
    <row r="20" spans="2:10" ht="15.75">
      <c r="B20" s="196" t="s">
        <v>780</v>
      </c>
      <c r="C20" s="206">
        <f>IF(C21*0.1&lt;C19,"Exceed 10% Rule","")</f>
      </c>
      <c r="D20" s="206">
        <f>IF(D21*0.1&lt;D19,"Exceed 10% Rule","")</f>
      </c>
      <c r="E20" s="243">
        <f>IF(E21*0.1+E39&lt;E19,"Exceed 10% Rule","")</f>
      </c>
      <c r="G20" s="743" t="str">
        <f>CONCATENATE("",E1," Tot Exp/Non-Appr Must Be:")</f>
        <v>0 Tot Exp/Non-Appr Must Be:</v>
      </c>
      <c r="H20" s="744"/>
      <c r="I20" s="745"/>
      <c r="J20" s="746">
        <f>IF(J18&gt;0,IF(E36&lt;E22,IF(J18=G31,E36,((J18-G31)*(1-D38))+E22),E36+(J18-G31)),0)</f>
        <v>0</v>
      </c>
    </row>
    <row r="21" spans="2:10" ht="15.75">
      <c r="B21" s="208" t="s">
        <v>110</v>
      </c>
      <c r="C21" s="210">
        <f>SUM(C8:C19)</f>
        <v>0</v>
      </c>
      <c r="D21" s="210">
        <f>SUM(D8:D19)</f>
        <v>0</v>
      </c>
      <c r="E21" s="211">
        <f>SUM(E8:E19)</f>
        <v>0</v>
      </c>
      <c r="G21" s="747" t="s">
        <v>804</v>
      </c>
      <c r="H21" s="748"/>
      <c r="I21" s="748"/>
      <c r="J21" s="715">
        <f>IF(J18&gt;0,J20-E36,0)</f>
        <v>0</v>
      </c>
    </row>
    <row r="22" spans="2:10" ht="15.75">
      <c r="B22" s="208" t="s">
        <v>111</v>
      </c>
      <c r="C22" s="210">
        <f>C6+C21</f>
        <v>0</v>
      </c>
      <c r="D22" s="210">
        <f>D6+D21</f>
        <v>0</v>
      </c>
      <c r="E22" s="211">
        <f>E6+E21</f>
        <v>0</v>
      </c>
      <c r="F22" s="234"/>
      <c r="J22" s="2"/>
    </row>
    <row r="23" spans="2:10" ht="15.75">
      <c r="B23" s="108" t="s">
        <v>113</v>
      </c>
      <c r="C23" s="218"/>
      <c r="D23" s="218"/>
      <c r="E23" s="42"/>
      <c r="G23" s="1166" t="str">
        <f>CONCATENATE("Projected Carryover Into ",E1+1,"")</f>
        <v>Projected Carryover Into 1</v>
      </c>
      <c r="H23" s="1170"/>
      <c r="I23" s="1170"/>
      <c r="J23" s="1169"/>
    </row>
    <row r="24" spans="2:10" ht="15.75">
      <c r="B24" s="235"/>
      <c r="C24" s="201"/>
      <c r="D24" s="201"/>
      <c r="E24" s="67"/>
      <c r="G24" s="736"/>
      <c r="H24" s="738"/>
      <c r="I24" s="738"/>
      <c r="J24" s="762"/>
    </row>
    <row r="25" spans="2:10" ht="15.75">
      <c r="B25" s="235"/>
      <c r="C25" s="201"/>
      <c r="D25" s="201"/>
      <c r="E25" s="67"/>
      <c r="G25" s="763">
        <f>D33</f>
        <v>0</v>
      </c>
      <c r="H25" s="727" t="str">
        <f>CONCATENATE("",E1-1," Ending Cash Balance (est.)")</f>
        <v>-1 Ending Cash Balance (est.)</v>
      </c>
      <c r="I25" s="764"/>
      <c r="J25" s="762"/>
    </row>
    <row r="26" spans="2:10" ht="15.75">
      <c r="B26" s="979"/>
      <c r="C26" s="980"/>
      <c r="D26" s="980"/>
      <c r="E26" s="981"/>
      <c r="G26" s="763">
        <f>E21</f>
        <v>0</v>
      </c>
      <c r="H26" s="738" t="str">
        <f>CONCATENATE("",E1," Non-AV Receipts (est.)")</f>
        <v>0 Non-AV Receipts (est.)</v>
      </c>
      <c r="I26" s="764"/>
      <c r="J26" s="762"/>
    </row>
    <row r="27" spans="2:11" ht="15.75">
      <c r="B27" s="217"/>
      <c r="C27" s="201"/>
      <c r="D27" s="201"/>
      <c r="E27" s="43"/>
      <c r="G27" s="765">
        <f>IF(E38&gt;0,E37,E39)</f>
        <v>0</v>
      </c>
      <c r="H27" s="738" t="str">
        <f>CONCATENATE("",E1," Ad Valorem Tax (est.)")</f>
        <v>0 Ad Valorem Tax (est.)</v>
      </c>
      <c r="I27" s="764"/>
      <c r="J27" s="750"/>
      <c r="K27" s="720">
        <f>IF(G27=E39,"","Note: Does not include Delinquent Taxes")</f>
      </c>
    </row>
    <row r="28" spans="2:10" ht="15.75">
      <c r="B28" s="217"/>
      <c r="C28" s="201"/>
      <c r="D28" s="201"/>
      <c r="E28" s="43"/>
      <c r="G28" s="763">
        <f>SUM(G25:G27)</f>
        <v>0</v>
      </c>
      <c r="H28" s="738" t="str">
        <f>CONCATENATE("Total ",E1," Resources Available")</f>
        <v>Total 0 Resources Available</v>
      </c>
      <c r="I28" s="764"/>
      <c r="J28" s="762"/>
    </row>
    <row r="29" spans="2:10" ht="15.75">
      <c r="B29" s="218" t="str">
        <f>CONCATENATE("Cash Forward (",E1," column)")</f>
        <v>Cash Forward (0 column)</v>
      </c>
      <c r="C29" s="201"/>
      <c r="D29" s="201"/>
      <c r="E29" s="43"/>
      <c r="G29" s="782"/>
      <c r="H29" s="738"/>
      <c r="I29" s="738"/>
      <c r="J29" s="762"/>
    </row>
    <row r="30" spans="2:10" ht="15.75">
      <c r="B30" s="218" t="s">
        <v>13</v>
      </c>
      <c r="C30" s="201"/>
      <c r="D30" s="201"/>
      <c r="E30" s="43"/>
      <c r="G30" s="765">
        <f>ROUND(C32*0.05+C32,0)</f>
        <v>0</v>
      </c>
      <c r="H30" s="738" t="str">
        <f>CONCATENATE("Less ",E1-2," Expenditures + 5%")</f>
        <v>Less -2 Expenditures + 5%</v>
      </c>
      <c r="I30" s="764"/>
      <c r="J30" s="762"/>
    </row>
    <row r="31" spans="2:10" ht="15.75">
      <c r="B31" s="218" t="s">
        <v>781</v>
      </c>
      <c r="C31" s="206">
        <f>IF(C32*0.1&lt;C30,"Exceed 10% Rule","")</f>
      </c>
      <c r="D31" s="206">
        <f>IF(D32*0.1&lt;D30,"Exceed 10% Rule","")</f>
      </c>
      <c r="E31" s="243">
        <f>IF(E32*0.1&lt;E30,"Exceed 10% Rule","")</f>
      </c>
      <c r="G31" s="783">
        <f>G28-G30</f>
        <v>0</v>
      </c>
      <c r="H31" s="784" t="str">
        <f>CONCATENATE("Projected ",E1+1," carryover (est.)")</f>
        <v>Projected 1 carryover (est.)</v>
      </c>
      <c r="I31" s="785"/>
      <c r="J31" s="775"/>
    </row>
    <row r="32" spans="2:10" ht="15.75">
      <c r="B32" s="208" t="s">
        <v>117</v>
      </c>
      <c r="C32" s="210">
        <f>SUM(C24:C30)</f>
        <v>0</v>
      </c>
      <c r="D32" s="210">
        <f>SUM(D24:D30)</f>
        <v>0</v>
      </c>
      <c r="E32" s="211">
        <f>SUM(E24:E30)</f>
        <v>0</v>
      </c>
      <c r="G32" s="2"/>
      <c r="H32" s="2"/>
      <c r="I32" s="2"/>
      <c r="J32" s="2"/>
    </row>
    <row r="33" spans="2:10" ht="15.75">
      <c r="B33" s="108" t="s">
        <v>212</v>
      </c>
      <c r="C33" s="214">
        <f>C22-C32</f>
        <v>0</v>
      </c>
      <c r="D33" s="214">
        <f>D22-D32</f>
        <v>0</v>
      </c>
      <c r="E33" s="229" t="s">
        <v>91</v>
      </c>
      <c r="G33" s="1153" t="s">
        <v>805</v>
      </c>
      <c r="H33" s="1154"/>
      <c r="I33" s="1154"/>
      <c r="J33" s="1155"/>
    </row>
    <row r="34" spans="2:10" ht="15.75">
      <c r="B34" s="128" t="str">
        <f>CONCATENATE("",E1-2,"/",E1-1,"/",E1," Budget Authority Amount:")</f>
        <v>-2/-1/0 Budget Authority Amount:</v>
      </c>
      <c r="C34" s="787">
        <f>inputOth!B71</f>
        <v>0</v>
      </c>
      <c r="D34" s="787">
        <f>inputPrYr!D28</f>
        <v>0</v>
      </c>
      <c r="E34" s="170">
        <f>E32</f>
        <v>0</v>
      </c>
      <c r="G34" s="726"/>
      <c r="H34" s="727"/>
      <c r="I34" s="728"/>
      <c r="J34" s="729"/>
    </row>
    <row r="35" spans="2:10" ht="15.75">
      <c r="B35" s="94"/>
      <c r="C35" s="1142" t="s">
        <v>626</v>
      </c>
      <c r="D35" s="1143"/>
      <c r="E35" s="43"/>
      <c r="F35" s="219"/>
      <c r="G35" s="730" t="str">
        <f>summ!H20</f>
        <v>  </v>
      </c>
      <c r="H35" s="727" t="str">
        <f>CONCATENATE("",E1," Fund Mill Rate")</f>
        <v>0 Fund Mill Rate</v>
      </c>
      <c r="I35" s="728"/>
      <c r="J35" s="729"/>
    </row>
    <row r="36" spans="2:10" ht="15.75">
      <c r="B36" s="484" t="str">
        <f>CONCATENATE(C98,"     ",D98)</f>
        <v>     </v>
      </c>
      <c r="C36" s="1144" t="s">
        <v>627</v>
      </c>
      <c r="D36" s="1145"/>
      <c r="E36" s="170">
        <f>E32+E35</f>
        <v>0</v>
      </c>
      <c r="F36" s="822">
        <f>IF(E32/0.95-E32&lt;E35,"Exceeds 5%","")</f>
      </c>
      <c r="G36" s="731" t="str">
        <f>summ!E20</f>
        <v>  </v>
      </c>
      <c r="H36" s="727" t="str">
        <f>CONCATENATE("",E1-1," Fund Mill Rate")</f>
        <v>-1 Fund Mill Rate</v>
      </c>
      <c r="I36" s="728"/>
      <c r="J36" s="729"/>
    </row>
    <row r="37" spans="2:10" ht="15.75">
      <c r="B37" s="484" t="str">
        <f>CONCATENATE(C99,"     ",D99)</f>
        <v>     </v>
      </c>
      <c r="C37" s="220"/>
      <c r="D37" s="126" t="s">
        <v>118</v>
      </c>
      <c r="E37" s="56">
        <f>IF(E36-E22&gt;0,E36-E22,0)</f>
        <v>0</v>
      </c>
      <c r="G37" s="732">
        <f>summ!H52</f>
        <v>0</v>
      </c>
      <c r="H37" s="727" t="str">
        <f>CONCATENATE("Total ",E1," Mill Rate")</f>
        <v>Total 0 Mill Rate</v>
      </c>
      <c r="I37" s="728"/>
      <c r="J37" s="729"/>
    </row>
    <row r="38" spans="2:10" ht="15.75">
      <c r="B38" s="126"/>
      <c r="C38" s="330" t="s">
        <v>625</v>
      </c>
      <c r="D38" s="685">
        <f>inputOth!$E$53</f>
        <v>0</v>
      </c>
      <c r="E38" s="170">
        <f>ROUND(IF(D38&gt;0,(E37*D38),0),0)</f>
        <v>0</v>
      </c>
      <c r="G38" s="731">
        <f>summ!E52</f>
        <v>0</v>
      </c>
      <c r="H38" s="733" t="str">
        <f>CONCATENATE("Total ",E1-1," Mill Rate")</f>
        <v>Total -1 Mill Rate</v>
      </c>
      <c r="I38" s="734"/>
      <c r="J38" s="735"/>
    </row>
    <row r="39" spans="2:5" ht="16.5" thickBot="1">
      <c r="B39" s="126"/>
      <c r="C39" s="1146" t="str">
        <f>CONCATENATE("Amount of  ",$E$1-1," Ad Valorem Tax")</f>
        <v>Amount of  -1 Ad Valorem Tax</v>
      </c>
      <c r="D39" s="1147"/>
      <c r="E39" s="688">
        <f>E37+E38</f>
        <v>0</v>
      </c>
    </row>
    <row r="40" spans="2:10" ht="16.5" thickTop="1">
      <c r="B40" s="32"/>
      <c r="C40" s="1146"/>
      <c r="D40" s="1171"/>
      <c r="E40" s="52"/>
      <c r="G40" s="914"/>
      <c r="H40" s="915"/>
      <c r="I40" s="917"/>
      <c r="J40" s="916"/>
    </row>
    <row r="41" spans="2:10" ht="15.75">
      <c r="B41" s="33"/>
      <c r="C41" s="232"/>
      <c r="D41" s="232"/>
      <c r="E41" s="232"/>
      <c r="G41" s="929" t="str">
        <f>CONCATENATE("Computed ",E1," tax levy limit amount")</f>
        <v>Computed 0 tax levy limit amount</v>
      </c>
      <c r="H41" s="919"/>
      <c r="I41" s="919"/>
      <c r="J41" s="920">
        <f>Comp1!J47</f>
        <v>0</v>
      </c>
    </row>
    <row r="42" spans="2:10" ht="15.75">
      <c r="B42" s="33" t="s">
        <v>101</v>
      </c>
      <c r="C42" s="365" t="s">
        <v>801</v>
      </c>
      <c r="D42" s="364" t="s">
        <v>802</v>
      </c>
      <c r="E42" s="343" t="s">
        <v>803</v>
      </c>
      <c r="G42" s="930" t="str">
        <f>CONCATENATE("Total ",E1," tax levy amount")</f>
        <v>Total 0 tax levy amount</v>
      </c>
      <c r="H42" s="713"/>
      <c r="I42" s="713"/>
      <c r="J42" s="921">
        <f>summ!G52</f>
        <v>0</v>
      </c>
    </row>
    <row r="43" spans="2:5" ht="15.75">
      <c r="B43" s="488">
        <f>inputPrYr!B29</f>
        <v>0</v>
      </c>
      <c r="C43" s="366" t="str">
        <f>CONCATENATE("Actual for ",E1-2,"")</f>
        <v>Actual for -2</v>
      </c>
      <c r="D43" s="366" t="str">
        <f>CONCATENATE("Estimate for ",E1-1,"")</f>
        <v>Estimate for -1</v>
      </c>
      <c r="E43" s="351" t="str">
        <f>CONCATENATE("Year for ",E1,"")</f>
        <v>Year for 0</v>
      </c>
    </row>
    <row r="44" spans="2:5" ht="15.75">
      <c r="B44" s="196" t="s">
        <v>211</v>
      </c>
      <c r="C44" s="201"/>
      <c r="D44" s="199">
        <f>C74</f>
        <v>0</v>
      </c>
      <c r="E44" s="170">
        <f>D74</f>
        <v>0</v>
      </c>
    </row>
    <row r="45" spans="2:5" ht="15.75">
      <c r="B45" s="200" t="s">
        <v>213</v>
      </c>
      <c r="C45" s="117"/>
      <c r="D45" s="117"/>
      <c r="E45" s="58"/>
    </row>
    <row r="46" spans="2:5" ht="15.75">
      <c r="B46" s="108" t="s">
        <v>102</v>
      </c>
      <c r="C46" s="201"/>
      <c r="D46" s="199">
        <f>IF(inputPrYr!H21&gt;0,inputPrYr!G29,inputPrYr!E29)</f>
        <v>0</v>
      </c>
      <c r="E46" s="229" t="s">
        <v>91</v>
      </c>
    </row>
    <row r="47" spans="2:5" ht="15.75">
      <c r="B47" s="108" t="s">
        <v>103</v>
      </c>
      <c r="C47" s="201"/>
      <c r="D47" s="201"/>
      <c r="E47" s="43"/>
    </row>
    <row r="48" spans="2:5" ht="15.75">
      <c r="B48" s="108" t="s">
        <v>104</v>
      </c>
      <c r="C48" s="201"/>
      <c r="D48" s="201"/>
      <c r="E48" s="170" t="str">
        <f>mvalloc!D13</f>
        <v>  </v>
      </c>
    </row>
    <row r="49" spans="2:5" ht="15.75">
      <c r="B49" s="108" t="s">
        <v>105</v>
      </c>
      <c r="C49" s="201"/>
      <c r="D49" s="201"/>
      <c r="E49" s="170" t="str">
        <f>mvalloc!E13</f>
        <v> </v>
      </c>
    </row>
    <row r="50" spans="2:5" ht="15.75">
      <c r="B50" s="117" t="s">
        <v>200</v>
      </c>
      <c r="C50" s="201"/>
      <c r="D50" s="201"/>
      <c r="E50" s="170" t="str">
        <f>mvalloc!F13</f>
        <v> </v>
      </c>
    </row>
    <row r="51" spans="2:5" ht="15.75">
      <c r="B51" s="913" t="s">
        <v>1012</v>
      </c>
      <c r="C51" s="201"/>
      <c r="D51" s="201"/>
      <c r="E51" s="170" t="str">
        <f>mvalloc!G13</f>
        <v> </v>
      </c>
    </row>
    <row r="52" spans="2:5" ht="15.75">
      <c r="B52" s="913" t="s">
        <v>1013</v>
      </c>
      <c r="C52" s="201"/>
      <c r="D52" s="201"/>
      <c r="E52" s="170" t="str">
        <f>mvalloc!H13</f>
        <v> </v>
      </c>
    </row>
    <row r="53" spans="2:5" ht="15.75">
      <c r="B53" s="217"/>
      <c r="C53" s="201"/>
      <c r="D53" s="201"/>
      <c r="E53" s="43"/>
    </row>
    <row r="54" spans="2:5" ht="15.75">
      <c r="B54" s="217"/>
      <c r="C54" s="201"/>
      <c r="D54" s="201"/>
      <c r="E54" s="43"/>
    </row>
    <row r="55" spans="2:5" ht="15.75">
      <c r="B55" s="217"/>
      <c r="C55" s="201"/>
      <c r="D55" s="201"/>
      <c r="E55" s="43"/>
    </row>
    <row r="56" spans="2:5" ht="15.75">
      <c r="B56" s="217"/>
      <c r="C56" s="201"/>
      <c r="D56" s="201"/>
      <c r="E56" s="43"/>
    </row>
    <row r="57" spans="2:10" ht="15.75">
      <c r="B57" s="205" t="s">
        <v>109</v>
      </c>
      <c r="C57" s="201"/>
      <c r="D57" s="201"/>
      <c r="E57" s="43"/>
      <c r="G57" s="1166" t="str">
        <f>CONCATENATE("Desired Carryover Into ",E1+1,"")</f>
        <v>Desired Carryover Into 1</v>
      </c>
      <c r="H57" s="1151"/>
      <c r="I57" s="1151"/>
      <c r="J57" s="1152"/>
    </row>
    <row r="58" spans="2:10" ht="15.75">
      <c r="B58" s="218" t="s">
        <v>12</v>
      </c>
      <c r="C58" s="201"/>
      <c r="D58" s="201"/>
      <c r="E58" s="937">
        <f>nhood!E12*-1</f>
        <v>0</v>
      </c>
      <c r="G58" s="736"/>
      <c r="H58" s="737"/>
      <c r="I58" s="738"/>
      <c r="J58" s="739"/>
    </row>
    <row r="59" spans="2:10" ht="15.75">
      <c r="B59" s="117" t="s">
        <v>13</v>
      </c>
      <c r="C59" s="201"/>
      <c r="D59" s="201"/>
      <c r="E59" s="43"/>
      <c r="G59" s="740" t="s">
        <v>768</v>
      </c>
      <c r="H59" s="738"/>
      <c r="I59" s="738"/>
      <c r="J59" s="741">
        <v>0</v>
      </c>
    </row>
    <row r="60" spans="2:10" ht="15.75">
      <c r="B60" s="196" t="s">
        <v>780</v>
      </c>
      <c r="C60" s="206">
        <f>IF(C61*0.1&lt;C59,"Exceed 10% Rule","")</f>
      </c>
      <c r="D60" s="206">
        <f>IF(D61*0.1&lt;D59,"Exceed 10% Rule","")</f>
      </c>
      <c r="E60" s="243">
        <f>IF(E61*0.1+E80&lt;E59,"Exceed 10% Rule","")</f>
      </c>
      <c r="G60" s="736" t="s">
        <v>769</v>
      </c>
      <c r="H60" s="737"/>
      <c r="I60" s="737"/>
      <c r="J60" s="742">
        <f>IF(J59=0,"",ROUND((J59+E80-G72)/inputOth!E9*1000,3)-G77)</f>
      </c>
    </row>
    <row r="61" spans="2:10" ht="15.75">
      <c r="B61" s="208" t="s">
        <v>110</v>
      </c>
      <c r="C61" s="210">
        <f>SUM(C46:C59)</f>
        <v>0</v>
      </c>
      <c r="D61" s="210">
        <f>SUM(D46:D59)</f>
        <v>0</v>
      </c>
      <c r="E61" s="211">
        <f>SUM(E47:E59)</f>
        <v>0</v>
      </c>
      <c r="G61" s="743" t="str">
        <f>CONCATENATE("",E1," Tot Exp/Non-Appr Must Be:")</f>
        <v>0 Tot Exp/Non-Appr Must Be:</v>
      </c>
      <c r="H61" s="744"/>
      <c r="I61" s="745"/>
      <c r="J61" s="746">
        <f>IF(J59&gt;0,IF(E77&lt;E62,IF(J59=G72,E77,((J59-G72)*(1-D79))+E62),E77+(J59-G72)),0)</f>
        <v>0</v>
      </c>
    </row>
    <row r="62" spans="2:10" ht="15.75">
      <c r="B62" s="208" t="s">
        <v>111</v>
      </c>
      <c r="C62" s="210">
        <f>C44+C61</f>
        <v>0</v>
      </c>
      <c r="D62" s="210">
        <f>D44+D61</f>
        <v>0</v>
      </c>
      <c r="E62" s="211">
        <f>E44+E61</f>
        <v>0</v>
      </c>
      <c r="G62" s="747" t="s">
        <v>804</v>
      </c>
      <c r="H62" s="748"/>
      <c r="I62" s="748"/>
      <c r="J62" s="715">
        <f>IF(J59&gt;0,J61-E77,0)</f>
        <v>0</v>
      </c>
    </row>
    <row r="63" spans="2:10" ht="15.75">
      <c r="B63" s="108" t="s">
        <v>113</v>
      </c>
      <c r="C63" s="218"/>
      <c r="D63" s="218"/>
      <c r="E63" s="42"/>
      <c r="J63" s="2"/>
    </row>
    <row r="64" spans="2:10" ht="15.75">
      <c r="B64" s="217"/>
      <c r="C64" s="201"/>
      <c r="D64" s="201"/>
      <c r="E64" s="43"/>
      <c r="G64" s="1166" t="str">
        <f>CONCATENATE("Projected Carryover Into ",E1+1,"")</f>
        <v>Projected Carryover Into 1</v>
      </c>
      <c r="H64" s="1168"/>
      <c r="I64" s="1168"/>
      <c r="J64" s="1169"/>
    </row>
    <row r="65" spans="2:10" ht="15.75">
      <c r="B65" s="217"/>
      <c r="C65" s="201"/>
      <c r="D65" s="201"/>
      <c r="E65" s="43"/>
      <c r="G65" s="761"/>
      <c r="H65" s="737"/>
      <c r="I65" s="737"/>
      <c r="J65" s="768"/>
    </row>
    <row r="66" spans="2:10" ht="15.75">
      <c r="B66" s="217"/>
      <c r="C66" s="201"/>
      <c r="D66" s="201"/>
      <c r="E66" s="43"/>
      <c r="G66" s="763">
        <f>D74</f>
        <v>0</v>
      </c>
      <c r="H66" s="727" t="str">
        <f>CONCATENATE("",E1-1," Ending Cash Balance (est.)")</f>
        <v>-1 Ending Cash Balance (est.)</v>
      </c>
      <c r="I66" s="764"/>
      <c r="J66" s="768"/>
    </row>
    <row r="67" spans="2:10" ht="15.75">
      <c r="B67" s="217"/>
      <c r="C67" s="201"/>
      <c r="D67" s="201"/>
      <c r="E67" s="43"/>
      <c r="G67" s="763">
        <f>E61</f>
        <v>0</v>
      </c>
      <c r="H67" s="738" t="str">
        <f>CONCATENATE("",E1," Non-AV Receipts (est.)")</f>
        <v>0 Non-AV Receipts (est.)</v>
      </c>
      <c r="I67" s="764"/>
      <c r="J67" s="768"/>
    </row>
    <row r="68" spans="2:11" ht="15.75">
      <c r="B68" s="217"/>
      <c r="C68" s="201"/>
      <c r="D68" s="201"/>
      <c r="E68" s="43"/>
      <c r="G68" s="765">
        <f>IF(D79&gt;0,E78,E80)</f>
        <v>0</v>
      </c>
      <c r="H68" s="738" t="str">
        <f>CONCATENATE("",E1," Ad Valorem Tax (est.)")</f>
        <v>0 Ad Valorem Tax (est.)</v>
      </c>
      <c r="I68" s="764"/>
      <c r="J68" s="768"/>
      <c r="K68" s="720">
        <f>IF(G68=E80,"","Note: Does not include Delinquent Taxes")</f>
      </c>
    </row>
    <row r="69" spans="2:10" ht="15.75">
      <c r="B69" s="217"/>
      <c r="C69" s="201"/>
      <c r="D69" s="201"/>
      <c r="E69" s="43"/>
      <c r="G69" s="767">
        <f>SUM(G66:G68)</f>
        <v>0</v>
      </c>
      <c r="H69" s="738" t="str">
        <f>CONCATENATE("Total ",E1," Resources Available")</f>
        <v>Total 0 Resources Available</v>
      </c>
      <c r="I69" s="768"/>
      <c r="J69" s="768"/>
    </row>
    <row r="70" spans="2:10" ht="15.75">
      <c r="B70" s="218" t="str">
        <f>CONCATENATE("Cash Forward (",E1," column)")</f>
        <v>Cash Forward (0 column)</v>
      </c>
      <c r="C70" s="201"/>
      <c r="D70" s="201"/>
      <c r="E70" s="43"/>
      <c r="G70" s="769"/>
      <c r="H70" s="770"/>
      <c r="I70" s="737"/>
      <c r="J70" s="768"/>
    </row>
    <row r="71" spans="2:10" ht="15.75">
      <c r="B71" s="218" t="s">
        <v>13</v>
      </c>
      <c r="C71" s="201"/>
      <c r="D71" s="201"/>
      <c r="E71" s="43"/>
      <c r="G71" s="771">
        <f>ROUND(C73*0.05+C73,0)</f>
        <v>0</v>
      </c>
      <c r="H71" s="770" t="str">
        <f>CONCATENATE("Less ",E1-2," Expenditures + 5%")</f>
        <v>Less -2 Expenditures + 5%</v>
      </c>
      <c r="I71" s="768"/>
      <c r="J71" s="768"/>
    </row>
    <row r="72" spans="2:10" ht="15.75">
      <c r="B72" s="218" t="s">
        <v>781</v>
      </c>
      <c r="C72" s="206">
        <f>IF(C73*0.1&lt;C71,"Exceed 10% Rule","")</f>
      </c>
      <c r="D72" s="206">
        <f>IF(D73*0.1&lt;D71,"Exceed 10% Rule","")</f>
      </c>
      <c r="E72" s="243">
        <f>IF(E73*0.1&lt;E71,"Exceed 10% Rule","")</f>
      </c>
      <c r="G72" s="772">
        <f>G69-G71</f>
        <v>0</v>
      </c>
      <c r="H72" s="773" t="str">
        <f>CONCATENATE("Projected ",E1+1," carryover (est.)")</f>
        <v>Projected 1 carryover (est.)</v>
      </c>
      <c r="I72" s="774"/>
      <c r="J72" s="775"/>
    </row>
    <row r="73" spans="2:9" ht="15.75">
      <c r="B73" s="208" t="s">
        <v>117</v>
      </c>
      <c r="C73" s="210">
        <f>SUM(C64:C71)</f>
        <v>0</v>
      </c>
      <c r="D73" s="210">
        <f>SUM(D64:D71)</f>
        <v>0</v>
      </c>
      <c r="E73" s="211">
        <f>SUM(E64:E71)</f>
        <v>0</v>
      </c>
      <c r="G73" s="2"/>
      <c r="H73" s="2"/>
      <c r="I73" s="2"/>
    </row>
    <row r="74" spans="2:10" ht="15.75">
      <c r="B74" s="108" t="s">
        <v>212</v>
      </c>
      <c r="C74" s="214">
        <f>C62-C73</f>
        <v>0</v>
      </c>
      <c r="D74" s="214">
        <f>D62-D73</f>
        <v>0</v>
      </c>
      <c r="E74" s="229" t="s">
        <v>91</v>
      </c>
      <c r="G74" s="1153" t="s">
        <v>805</v>
      </c>
      <c r="H74" s="1154"/>
      <c r="I74" s="1154"/>
      <c r="J74" s="1155"/>
    </row>
    <row r="75" spans="2:10" ht="15.75">
      <c r="B75" s="128" t="str">
        <f>CONCATENATE("",E1-2,"/",E1-1,"/",E1," Budget Authority Amount:")</f>
        <v>-2/-1/0 Budget Authority Amount:</v>
      </c>
      <c r="C75" s="787">
        <f>inputOth!B72</f>
        <v>0</v>
      </c>
      <c r="D75" s="787">
        <f>inputPrYr!D29</f>
        <v>0</v>
      </c>
      <c r="E75" s="170">
        <f>E73</f>
        <v>0</v>
      </c>
      <c r="G75" s="726"/>
      <c r="H75" s="727"/>
      <c r="I75" s="728"/>
      <c r="J75" s="729"/>
    </row>
    <row r="76" spans="2:10" ht="15.75">
      <c r="B76" s="94"/>
      <c r="C76" s="1142" t="s">
        <v>626</v>
      </c>
      <c r="D76" s="1143"/>
      <c r="E76" s="43"/>
      <c r="F76" s="219"/>
      <c r="G76" s="730" t="str">
        <f>summ!H21</f>
        <v>  </v>
      </c>
      <c r="H76" s="727" t="str">
        <f>CONCATENATE("",E1," Fund Mill Rate")</f>
        <v>0 Fund Mill Rate</v>
      </c>
      <c r="I76" s="728"/>
      <c r="J76" s="729"/>
    </row>
    <row r="77" spans="2:10" ht="15.75">
      <c r="B77" s="484" t="str">
        <f>CONCATENATE(C100,"     ",D100)</f>
        <v>     </v>
      </c>
      <c r="C77" s="1144" t="s">
        <v>627</v>
      </c>
      <c r="D77" s="1145"/>
      <c r="E77" s="170">
        <f>E73+E76</f>
        <v>0</v>
      </c>
      <c r="F77" s="822">
        <f>IF(E73/0.95-E73&lt;E76,"Exceeds 5%","")</f>
      </c>
      <c r="G77" s="731" t="str">
        <f>summ!E21</f>
        <v>  </v>
      </c>
      <c r="H77" s="727" t="str">
        <f>CONCATENATE("",E1-1," Fund Mill Rate")</f>
        <v>-1 Fund Mill Rate</v>
      </c>
      <c r="I77" s="728"/>
      <c r="J77" s="729"/>
    </row>
    <row r="78" spans="2:10" ht="15.75">
      <c r="B78" s="484" t="str">
        <f>CONCATENATE(C101,"     ",D101)</f>
        <v>     </v>
      </c>
      <c r="C78" s="220"/>
      <c r="D78" s="126" t="s">
        <v>118</v>
      </c>
      <c r="E78" s="56">
        <f>IF(E77-E62&gt;0,E77-E62,0)</f>
        <v>0</v>
      </c>
      <c r="G78" s="732">
        <f>summ!H52</f>
        <v>0</v>
      </c>
      <c r="H78" s="727" t="str">
        <f>CONCATENATE("Total ",E1," Mill Rate")</f>
        <v>Total 0 Mill Rate</v>
      </c>
      <c r="I78" s="728"/>
      <c r="J78" s="729"/>
    </row>
    <row r="79" spans="2:10" ht="15.75">
      <c r="B79" s="126"/>
      <c r="C79" s="330" t="s">
        <v>625</v>
      </c>
      <c r="D79" s="685">
        <f>inputOth!$E$53</f>
        <v>0</v>
      </c>
      <c r="E79" s="170">
        <f>ROUND(IF(D79&gt;0,(E78*D79),0),0)</f>
        <v>0</v>
      </c>
      <c r="G79" s="731">
        <f>summ!E52</f>
        <v>0</v>
      </c>
      <c r="H79" s="733" t="str">
        <f>CONCATENATE("Total ",E1-1," Mill Rate")</f>
        <v>Total -1 Mill Rate</v>
      </c>
      <c r="I79" s="734"/>
      <c r="J79" s="735"/>
    </row>
    <row r="80" spans="2:5" ht="16.5" thickBot="1">
      <c r="B80" s="32"/>
      <c r="C80" s="1146" t="str">
        <f>CONCATENATE("Amount of  ",$E$1-1," Ad Valorem Tax")</f>
        <v>Amount of  -1 Ad Valorem Tax</v>
      </c>
      <c r="D80" s="1147"/>
      <c r="E80" s="688">
        <f>E78+E79</f>
        <v>0</v>
      </c>
    </row>
    <row r="81" spans="2:10" ht="16.5" thickTop="1">
      <c r="B81" s="32"/>
      <c r="C81" s="32"/>
      <c r="D81" s="32"/>
      <c r="E81" s="32"/>
      <c r="G81" s="914"/>
      <c r="H81" s="915"/>
      <c r="I81" s="917"/>
      <c r="J81" s="916"/>
    </row>
    <row r="82" spans="2:10" ht="15.75">
      <c r="B82" s="976" t="s">
        <v>1034</v>
      </c>
      <c r="C82" s="75"/>
      <c r="D82" s="75"/>
      <c r="E82" s="951"/>
      <c r="G82" s="929" t="str">
        <f>CONCATENATE("Computed ",E1," tax levy limit amount")</f>
        <v>Computed 0 tax levy limit amount</v>
      </c>
      <c r="H82" s="919"/>
      <c r="I82" s="919"/>
      <c r="J82" s="920">
        <f>Comp1!J47</f>
        <v>0</v>
      </c>
    </row>
    <row r="83" spans="2:10" ht="15.75">
      <c r="B83" s="761"/>
      <c r="C83" s="52"/>
      <c r="D83" s="52"/>
      <c r="E83" s="768"/>
      <c r="G83" s="930" t="str">
        <f>CONCATENATE("Total ",E1," tax levy amount")</f>
        <v>Total 0 tax levy amount</v>
      </c>
      <c r="H83" s="713"/>
      <c r="I83" s="713"/>
      <c r="J83" s="921">
        <f>summ!G52</f>
        <v>0</v>
      </c>
    </row>
    <row r="84" spans="2:5" ht="15.75">
      <c r="B84" s="695"/>
      <c r="C84" s="47"/>
      <c r="D84" s="47"/>
      <c r="E84" s="55"/>
    </row>
    <row r="85" spans="2:5" ht="15.75">
      <c r="B85" s="32"/>
      <c r="C85" s="32"/>
      <c r="D85" s="32"/>
      <c r="E85" s="32"/>
    </row>
    <row r="86" spans="2:5" ht="15.75">
      <c r="B86" s="126" t="s">
        <v>120</v>
      </c>
      <c r="C86" s="225"/>
      <c r="D86" s="32"/>
      <c r="E86" s="32"/>
    </row>
    <row r="95" ht="15.75" hidden="1"/>
    <row r="96" ht="15.75" hidden="1"/>
    <row r="97" ht="15.75" hidden="1"/>
    <row r="98" spans="3:4" ht="15.75" hidden="1">
      <c r="C98" s="483">
        <f>IF(C32&gt;C34,"See Tab A","")</f>
      </c>
      <c r="D98" s="483">
        <f>IF(D30&gt;D34,"See Tab C","")</f>
      </c>
    </row>
    <row r="99" spans="3:4" ht="15.75">
      <c r="C99" s="483">
        <f>IF(C33&lt;0,"See Tab B","")</f>
      </c>
      <c r="D99" s="483">
        <f>IF(D33&lt;0,"See Tab D","")</f>
      </c>
    </row>
    <row r="100" spans="3:4" ht="15.75">
      <c r="C100" s="483">
        <f>IF(C71&gt;C75,"See Tab A","")</f>
      </c>
      <c r="D100" s="483">
        <f>IF(D71&gt;D75,"See Tab C","")</f>
      </c>
    </row>
    <row r="101" spans="3:4" ht="15.75">
      <c r="C101" s="483">
        <f>IF(C74&lt;0,"See Tab B","")</f>
      </c>
      <c r="D101" s="483">
        <f>IF(D74&lt;0,"See Tab D","")</f>
      </c>
    </row>
  </sheetData>
  <sheetProtection/>
  <mergeCells count="13">
    <mergeCell ref="C80:D80"/>
    <mergeCell ref="C76:D76"/>
    <mergeCell ref="C77:D77"/>
    <mergeCell ref="C35:D35"/>
    <mergeCell ref="C36:D36"/>
    <mergeCell ref="C40:D40"/>
    <mergeCell ref="C39:D39"/>
    <mergeCell ref="G16:J16"/>
    <mergeCell ref="G23:J23"/>
    <mergeCell ref="G33:J33"/>
    <mergeCell ref="G57:J57"/>
    <mergeCell ref="G64:J64"/>
    <mergeCell ref="G74:J74"/>
  </mergeCells>
  <conditionalFormatting sqref="E75">
    <cfRule type="cellIs" priority="3" dxfId="328" operator="greaterThan" stopIfTrue="1">
      <formula>$E$77*0.1</formula>
    </cfRule>
  </conditionalFormatting>
  <conditionalFormatting sqref="E80">
    <cfRule type="cellIs" priority="4" dxfId="328" operator="greaterThan" stopIfTrue="1">
      <formula>$E$77/0.95-$E$77</formula>
    </cfRule>
  </conditionalFormatting>
  <conditionalFormatting sqref="E33">
    <cfRule type="cellIs" priority="5" dxfId="328" operator="greaterThan" stopIfTrue="1">
      <formula>$E$35*0.1</formula>
    </cfRule>
  </conditionalFormatting>
  <conditionalFormatting sqref="E38">
    <cfRule type="cellIs" priority="6" dxfId="328" operator="greaterThan" stopIfTrue="1">
      <formula>$E$35/0.95-$E$35</formula>
    </cfRule>
  </conditionalFormatting>
  <conditionalFormatting sqref="C33">
    <cfRule type="cellIs" priority="7" dxfId="3" operator="greaterThan" stopIfTrue="1">
      <formula>$C$35*0.1</formula>
    </cfRule>
  </conditionalFormatting>
  <conditionalFormatting sqref="D33">
    <cfRule type="cellIs" priority="8" dxfId="3" operator="greaterThan" stopIfTrue="1">
      <formula>$D$35*0.1</formula>
    </cfRule>
  </conditionalFormatting>
  <conditionalFormatting sqref="D35">
    <cfRule type="cellIs" priority="9" dxfId="3" operator="greaterThan" stopIfTrue="1">
      <formula>$D$37</formula>
    </cfRule>
  </conditionalFormatting>
  <conditionalFormatting sqref="C35">
    <cfRule type="cellIs" priority="10" dxfId="3" operator="greaterThan" stopIfTrue="1">
      <formula>$C$37</formula>
    </cfRule>
  </conditionalFormatting>
  <conditionalFormatting sqref="C36 C78">
    <cfRule type="cellIs" priority="11" dxfId="3" operator="lessThan" stopIfTrue="1">
      <formula>0</formula>
    </cfRule>
  </conditionalFormatting>
  <conditionalFormatting sqref="C75">
    <cfRule type="cellIs" priority="12" dxfId="3" operator="greaterThan" stopIfTrue="1">
      <formula>$C$77*0.1</formula>
    </cfRule>
  </conditionalFormatting>
  <conditionalFormatting sqref="D75">
    <cfRule type="cellIs" priority="13" dxfId="3" operator="greaterThan" stopIfTrue="1">
      <formula>$D$77*0.1</formula>
    </cfRule>
  </conditionalFormatting>
  <conditionalFormatting sqref="D77">
    <cfRule type="cellIs" priority="14" dxfId="3" operator="greaterThan" stopIfTrue="1">
      <formula>$D$79</formula>
    </cfRule>
  </conditionalFormatting>
  <conditionalFormatting sqref="C77">
    <cfRule type="cellIs" priority="15" dxfId="3" operator="greaterThan" stopIfTrue="1">
      <formula>$C$79</formula>
    </cfRule>
  </conditionalFormatting>
  <conditionalFormatting sqref="D21">
    <cfRule type="cellIs" priority="16" dxfId="3" operator="greaterThan" stopIfTrue="1">
      <formula>$D$23*0.1</formula>
    </cfRule>
  </conditionalFormatting>
  <conditionalFormatting sqref="C21">
    <cfRule type="cellIs" priority="17" dxfId="3" operator="greaterThan" stopIfTrue="1">
      <formula>$C$23*0.1</formula>
    </cfRule>
  </conditionalFormatting>
  <conditionalFormatting sqref="D63">
    <cfRule type="cellIs" priority="18" dxfId="3" operator="greaterThan" stopIfTrue="1">
      <formula>$D$65*0.1</formula>
    </cfRule>
  </conditionalFormatting>
  <conditionalFormatting sqref="C63">
    <cfRule type="cellIs" priority="19" dxfId="3" operator="greaterThan" stopIfTrue="1">
      <formula>$C$65*0.1</formula>
    </cfRule>
  </conditionalFormatting>
  <conditionalFormatting sqref="E63">
    <cfRule type="cellIs" priority="20" dxfId="328" operator="greaterThan" stopIfTrue="1">
      <formula>$E$65*0.1+E84</formula>
    </cfRule>
  </conditionalFormatting>
  <conditionalFormatting sqref="E21">
    <cfRule type="cellIs" priority="21" dxfId="328"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C112" sqref="C112"/>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59765625" style="30" customWidth="1"/>
    <col min="10" max="10" width="10" style="30" customWidth="1"/>
    <col min="11" max="16384" width="8.8984375" style="30" customWidth="1"/>
  </cols>
  <sheetData>
    <row r="1" spans="2:5" ht="15.75">
      <c r="B1" s="140">
        <f>(inputPrYr!D3)</f>
        <v>0</v>
      </c>
      <c r="C1" s="32"/>
      <c r="D1" s="32"/>
      <c r="E1" s="190">
        <f>inputPrYr!C6</f>
        <v>0</v>
      </c>
    </row>
    <row r="2" spans="2:5" ht="15.75">
      <c r="B2" s="32"/>
      <c r="C2" s="32"/>
      <c r="D2" s="32"/>
      <c r="E2" s="126"/>
    </row>
    <row r="3" spans="2:5" ht="15.75">
      <c r="B3" s="191" t="s">
        <v>169</v>
      </c>
      <c r="C3" s="145"/>
      <c r="D3" s="145"/>
      <c r="E3" s="231"/>
    </row>
    <row r="4" spans="2:5" ht="15.75">
      <c r="B4" s="33" t="s">
        <v>101</v>
      </c>
      <c r="C4" s="365" t="s">
        <v>801</v>
      </c>
      <c r="D4" s="364" t="s">
        <v>802</v>
      </c>
      <c r="E4" s="343" t="s">
        <v>803</v>
      </c>
    </row>
    <row r="5" spans="2:5" ht="15.75">
      <c r="B5" s="488">
        <f>inputPrYr!B30</f>
        <v>0</v>
      </c>
      <c r="C5" s="366" t="str">
        <f>CONCATENATE("Actual for ",E1-2,"")</f>
        <v>Actual for -2</v>
      </c>
      <c r="D5" s="366" t="str">
        <f>CONCATENATE("Estimate for ",E1-1,"")</f>
        <v>Estimate for -1</v>
      </c>
      <c r="E5" s="351" t="str">
        <f>CONCATENATE("Year for ",E1,"")</f>
        <v>Year for 0</v>
      </c>
    </row>
    <row r="6" spans="2:5" ht="15.75">
      <c r="B6" s="196" t="s">
        <v>211</v>
      </c>
      <c r="C6" s="201"/>
      <c r="D6" s="199">
        <f>C33</f>
        <v>0</v>
      </c>
      <c r="E6" s="170">
        <f>D33</f>
        <v>0</v>
      </c>
    </row>
    <row r="7" spans="2:5" ht="15.75">
      <c r="B7" s="200" t="s">
        <v>213</v>
      </c>
      <c r="C7" s="117"/>
      <c r="D7" s="117"/>
      <c r="E7" s="58"/>
    </row>
    <row r="8" spans="2:5" ht="15.75">
      <c r="B8" s="108" t="s">
        <v>102</v>
      </c>
      <c r="C8" s="201"/>
      <c r="D8" s="199">
        <f>IF(inputPrYr!H21&gt;0,inputPrYr!G30,inputPrYr!E30)</f>
        <v>0</v>
      </c>
      <c r="E8" s="229" t="s">
        <v>91</v>
      </c>
    </row>
    <row r="9" spans="2:5" ht="15.75">
      <c r="B9" s="108" t="s">
        <v>103</v>
      </c>
      <c r="C9" s="201"/>
      <c r="D9" s="201"/>
      <c r="E9" s="43"/>
    </row>
    <row r="10" spans="2:5" ht="15.75">
      <c r="B10" s="108" t="s">
        <v>104</v>
      </c>
      <c r="C10" s="201"/>
      <c r="D10" s="201"/>
      <c r="E10" s="170" t="str">
        <f>mvalloc!D14</f>
        <v>  </v>
      </c>
    </row>
    <row r="11" spans="2:5" ht="15.75">
      <c r="B11" s="108" t="s">
        <v>105</v>
      </c>
      <c r="C11" s="201"/>
      <c r="D11" s="201"/>
      <c r="E11" s="170" t="str">
        <f>mvalloc!E14</f>
        <v> </v>
      </c>
    </row>
    <row r="12" spans="2:5" ht="15.75">
      <c r="B12" s="117" t="s">
        <v>200</v>
      </c>
      <c r="C12" s="201"/>
      <c r="D12" s="201"/>
      <c r="E12" s="170" t="str">
        <f>mvalloc!F14</f>
        <v> </v>
      </c>
    </row>
    <row r="13" spans="2:5" ht="15.75">
      <c r="B13" s="913" t="s">
        <v>1012</v>
      </c>
      <c r="C13" s="201"/>
      <c r="D13" s="201"/>
      <c r="E13" s="170" t="str">
        <f>mvalloc!G14</f>
        <v> </v>
      </c>
    </row>
    <row r="14" spans="2:5" ht="15.75">
      <c r="B14" s="913" t="s">
        <v>1013</v>
      </c>
      <c r="C14" s="201"/>
      <c r="D14" s="201"/>
      <c r="E14" s="170" t="str">
        <f>mvalloc!H14</f>
        <v> </v>
      </c>
    </row>
    <row r="15" spans="2:5" ht="15.75">
      <c r="B15" s="217"/>
      <c r="C15" s="201"/>
      <c r="D15" s="201"/>
      <c r="E15" s="43"/>
    </row>
    <row r="16" spans="2:10" ht="15.75">
      <c r="B16" s="217"/>
      <c r="C16" s="201"/>
      <c r="D16" s="201"/>
      <c r="E16" s="43"/>
      <c r="G16" s="1166" t="str">
        <f>CONCATENATE("Desired Carryover Into ",E1+1,"")</f>
        <v>Desired Carryover Into 1</v>
      </c>
      <c r="H16" s="1151"/>
      <c r="I16" s="1151"/>
      <c r="J16" s="1152"/>
    </row>
    <row r="17" spans="2:10" ht="15.75">
      <c r="B17" s="205" t="s">
        <v>109</v>
      </c>
      <c r="C17" s="201"/>
      <c r="D17" s="201"/>
      <c r="E17" s="43"/>
      <c r="G17" s="736"/>
      <c r="H17" s="737"/>
      <c r="I17" s="738"/>
      <c r="J17" s="739"/>
    </row>
    <row r="18" spans="2:10" ht="15.75">
      <c r="B18" s="218" t="s">
        <v>12</v>
      </c>
      <c r="C18" s="201"/>
      <c r="D18" s="201"/>
      <c r="E18" s="937">
        <f>nhood!E13*-1</f>
        <v>0</v>
      </c>
      <c r="G18" s="740" t="s">
        <v>768</v>
      </c>
      <c r="H18" s="738"/>
      <c r="I18" s="738"/>
      <c r="J18" s="741">
        <v>0</v>
      </c>
    </row>
    <row r="19" spans="2:10" ht="15.75">
      <c r="B19" s="117" t="s">
        <v>13</v>
      </c>
      <c r="C19" s="201"/>
      <c r="D19" s="201"/>
      <c r="E19" s="43"/>
      <c r="G19" s="736" t="s">
        <v>769</v>
      </c>
      <c r="H19" s="737"/>
      <c r="I19" s="737"/>
      <c r="J19" s="742">
        <f>IF(J18=0,"",ROUND((J18+E39-G31)/inputOth!E9*1000,3)-G36)</f>
      </c>
    </row>
    <row r="20" spans="2:10" ht="15.75">
      <c r="B20" s="196" t="s">
        <v>780</v>
      </c>
      <c r="C20" s="206">
        <f>IF(C21*0.1&lt;C19,"Exceed 10% Rule","")</f>
      </c>
      <c r="D20" s="206">
        <f>IF(D21*0.1&lt;D19,"Exceed 10% Rule","")</f>
      </c>
      <c r="E20" s="243">
        <f>IF(E21*0.1+E39&lt;E19,"Exceed 10% Rule","")</f>
      </c>
      <c r="G20" s="743" t="str">
        <f>CONCATENATE("",E1," Tot Exp/Non-Appr Must Be:")</f>
        <v>0 Tot Exp/Non-Appr Must Be:</v>
      </c>
      <c r="H20" s="744"/>
      <c r="I20" s="745"/>
      <c r="J20" s="746">
        <f>IF(J18&gt;0,IF(E36&lt;E22,IF(J18=G31,E36,((J18-G31)*(1-D38))+E22),E36+(J18-G31)),0)</f>
        <v>0</v>
      </c>
    </row>
    <row r="21" spans="2:10" ht="15.75">
      <c r="B21" s="208" t="s">
        <v>110</v>
      </c>
      <c r="C21" s="210">
        <f>SUM(C8:C19)</f>
        <v>0</v>
      </c>
      <c r="D21" s="210">
        <f>SUM(D8:D19)</f>
        <v>0</v>
      </c>
      <c r="E21" s="211">
        <f>SUM(E8:E19)</f>
        <v>0</v>
      </c>
      <c r="G21" s="747" t="s">
        <v>804</v>
      </c>
      <c r="H21" s="748"/>
      <c r="I21" s="748"/>
      <c r="J21" s="715">
        <f>IF(J18&gt;0,J20-E36,0)</f>
        <v>0</v>
      </c>
    </row>
    <row r="22" spans="2:10" ht="15.75">
      <c r="B22" s="208" t="s">
        <v>111</v>
      </c>
      <c r="C22" s="210">
        <f>C6+C21</f>
        <v>0</v>
      </c>
      <c r="D22" s="210">
        <f>D6+D21</f>
        <v>0</v>
      </c>
      <c r="E22" s="211">
        <f>E6+E21</f>
        <v>0</v>
      </c>
      <c r="J22" s="2"/>
    </row>
    <row r="23" spans="2:10" ht="15.75">
      <c r="B23" s="108" t="s">
        <v>113</v>
      </c>
      <c r="C23" s="218"/>
      <c r="D23" s="218"/>
      <c r="E23" s="42"/>
      <c r="G23" s="1166" t="str">
        <f>CONCATENATE("Projected Carryover Into ",E1+1,"")</f>
        <v>Projected Carryover Into 1</v>
      </c>
      <c r="H23" s="1170"/>
      <c r="I23" s="1170"/>
      <c r="J23" s="1169"/>
    </row>
    <row r="24" spans="2:10" ht="15.75">
      <c r="B24" s="217"/>
      <c r="C24" s="201"/>
      <c r="D24" s="201"/>
      <c r="E24" s="43"/>
      <c r="G24" s="736"/>
      <c r="H24" s="738"/>
      <c r="I24" s="738"/>
      <c r="J24" s="762"/>
    </row>
    <row r="25" spans="2:10" ht="15.75">
      <c r="B25" s="217"/>
      <c r="C25" s="201"/>
      <c r="D25" s="201"/>
      <c r="E25" s="43"/>
      <c r="G25" s="763">
        <f>D33</f>
        <v>0</v>
      </c>
      <c r="H25" s="727" t="str">
        <f>CONCATENATE("",E1-1," Ending Cash Balance (est.)")</f>
        <v>-1 Ending Cash Balance (est.)</v>
      </c>
      <c r="I25" s="764"/>
      <c r="J25" s="762"/>
    </row>
    <row r="26" spans="2:10" ht="15.75">
      <c r="B26" s="217"/>
      <c r="C26" s="201"/>
      <c r="D26" s="201"/>
      <c r="E26" s="43"/>
      <c r="G26" s="763">
        <f>E21</f>
        <v>0</v>
      </c>
      <c r="H26" s="738" t="str">
        <f>CONCATENATE("",E1," Non-AV Receipts (est.)")</f>
        <v>0 Non-AV Receipts (est.)</v>
      </c>
      <c r="I26" s="764"/>
      <c r="J26" s="762"/>
    </row>
    <row r="27" spans="2:11" ht="15.75">
      <c r="B27" s="217"/>
      <c r="C27" s="201"/>
      <c r="D27" s="201"/>
      <c r="E27" s="43"/>
      <c r="G27" s="765">
        <f>IF(E38&gt;0,E37,E39)</f>
        <v>0</v>
      </c>
      <c r="H27" s="738" t="str">
        <f>CONCATENATE("",E1," Ad Valorem Tax (est.)")</f>
        <v>0 Ad Valorem Tax (est.)</v>
      </c>
      <c r="I27" s="764"/>
      <c r="J27" s="750"/>
      <c r="K27" s="720">
        <f>IF(G27=E39,"","Note: Does not include Delinquent Taxes")</f>
      </c>
    </row>
    <row r="28" spans="2:10" ht="15.75">
      <c r="B28" s="217"/>
      <c r="C28" s="201"/>
      <c r="D28" s="201"/>
      <c r="E28" s="43"/>
      <c r="G28" s="763">
        <f>SUM(G25:G27)</f>
        <v>0</v>
      </c>
      <c r="H28" s="738" t="str">
        <f>CONCATENATE("Total ",E1," Resources Available")</f>
        <v>Total 0 Resources Available</v>
      </c>
      <c r="I28" s="764"/>
      <c r="J28" s="762"/>
    </row>
    <row r="29" spans="2:10" ht="15.75">
      <c r="B29" s="218" t="str">
        <f>CONCATENATE("Cash Forward (",E1," column)")</f>
        <v>Cash Forward (0 column)</v>
      </c>
      <c r="C29" s="201"/>
      <c r="D29" s="201"/>
      <c r="E29" s="43"/>
      <c r="G29" s="782"/>
      <c r="H29" s="738"/>
      <c r="I29" s="738"/>
      <c r="J29" s="762"/>
    </row>
    <row r="30" spans="2:10" ht="15.75">
      <c r="B30" s="218" t="s">
        <v>13</v>
      </c>
      <c r="C30" s="201"/>
      <c r="D30" s="201"/>
      <c r="E30" s="43"/>
      <c r="G30" s="765">
        <f>ROUND(C32*0.05+C32,0)</f>
        <v>0</v>
      </c>
      <c r="H30" s="738" t="str">
        <f>CONCATENATE("Less ",E1-2," Expenditures + 5%")</f>
        <v>Less -2 Expenditures + 5%</v>
      </c>
      <c r="I30" s="764"/>
      <c r="J30" s="762"/>
    </row>
    <row r="31" spans="2:10" ht="15.75">
      <c r="B31" s="218" t="s">
        <v>781</v>
      </c>
      <c r="C31" s="206">
        <f>IF(C32*0.1&lt;C30,"Exceed 10% Rule","")</f>
      </c>
      <c r="D31" s="206">
        <f>IF(D32*0.1&lt;D30,"Exceed 10% Rule","")</f>
      </c>
      <c r="E31" s="243">
        <f>IF(E32*0.1&lt;E30,"Exceed 10% Rule","")</f>
      </c>
      <c r="G31" s="783">
        <f>G28-G30</f>
        <v>0</v>
      </c>
      <c r="H31" s="784" t="str">
        <f>CONCATENATE("Projected ",E1+1," carryover (est.)")</f>
        <v>Projected 1 carryover (est.)</v>
      </c>
      <c r="I31" s="785"/>
      <c r="J31" s="775"/>
    </row>
    <row r="32" spans="2:10" ht="15.75">
      <c r="B32" s="208" t="s">
        <v>117</v>
      </c>
      <c r="C32" s="210">
        <f>SUM(C24:C30)</f>
        <v>0</v>
      </c>
      <c r="D32" s="210">
        <f>SUM(D24:D30)</f>
        <v>0</v>
      </c>
      <c r="E32" s="211">
        <f>SUM(E24:E30)</f>
        <v>0</v>
      </c>
      <c r="G32" s="2"/>
      <c r="H32" s="2"/>
      <c r="I32" s="2"/>
      <c r="J32" s="2"/>
    </row>
    <row r="33" spans="2:10" ht="15.75">
      <c r="B33" s="108" t="s">
        <v>212</v>
      </c>
      <c r="C33" s="214">
        <f>C22-C32</f>
        <v>0</v>
      </c>
      <c r="D33" s="214">
        <f>D22-D32</f>
        <v>0</v>
      </c>
      <c r="E33" s="229" t="s">
        <v>91</v>
      </c>
      <c r="G33" s="1153" t="s">
        <v>805</v>
      </c>
      <c r="H33" s="1154"/>
      <c r="I33" s="1154"/>
      <c r="J33" s="1155"/>
    </row>
    <row r="34" spans="2:10" ht="15.75">
      <c r="B34" s="128" t="str">
        <f>CONCATENATE("",E1-2,"/",E1-1,"/",E1," Budget Authority Amount:")</f>
        <v>-2/-1/0 Budget Authority Amount:</v>
      </c>
      <c r="C34" s="787">
        <f>inputOth!B73</f>
        <v>0</v>
      </c>
      <c r="D34" s="787">
        <f>inputPrYr!D30</f>
        <v>0</v>
      </c>
      <c r="E34" s="170">
        <f>E32</f>
        <v>0</v>
      </c>
      <c r="G34" s="726"/>
      <c r="H34" s="727"/>
      <c r="I34" s="728"/>
      <c r="J34" s="729"/>
    </row>
    <row r="35" spans="2:10" ht="15.75">
      <c r="B35" s="94"/>
      <c r="C35" s="1142" t="s">
        <v>626</v>
      </c>
      <c r="D35" s="1143"/>
      <c r="E35" s="43"/>
      <c r="F35" s="219"/>
      <c r="G35" s="730" t="str">
        <f>summ!H22</f>
        <v>  </v>
      </c>
      <c r="H35" s="727" t="str">
        <f>CONCATENATE("",E1," Fund Mill Rate")</f>
        <v>0 Fund Mill Rate</v>
      </c>
      <c r="I35" s="728"/>
      <c r="J35" s="729"/>
    </row>
    <row r="36" spans="2:10" ht="15.75">
      <c r="B36" s="484" t="str">
        <f>CONCATENATE(C94,"     ",D94)</f>
        <v>     </v>
      </c>
      <c r="C36" s="1144" t="s">
        <v>627</v>
      </c>
      <c r="D36" s="1145"/>
      <c r="E36" s="170">
        <f>E32+E35</f>
        <v>0</v>
      </c>
      <c r="F36" s="822">
        <f>IF(E32/0.95-E32&lt;E35,"Exceeds 5%","")</f>
      </c>
      <c r="G36" s="731" t="str">
        <f>summ!E22</f>
        <v>  </v>
      </c>
      <c r="H36" s="727" t="str">
        <f>CONCATENATE("",E1-1," Fund Mill Rate")</f>
        <v>-1 Fund Mill Rate</v>
      </c>
      <c r="I36" s="728"/>
      <c r="J36" s="729"/>
    </row>
    <row r="37" spans="2:10" ht="15.75">
      <c r="B37" s="484" t="str">
        <f>CONCATENATE(C95,"     ",D95)</f>
        <v>     </v>
      </c>
      <c r="C37" s="220"/>
      <c r="D37" s="126" t="s">
        <v>118</v>
      </c>
      <c r="E37" s="56">
        <f>IF(E36-E22&gt;0,E36-E22,0)</f>
        <v>0</v>
      </c>
      <c r="G37" s="732">
        <f>summ!H52</f>
        <v>0</v>
      </c>
      <c r="H37" s="727" t="str">
        <f>CONCATENATE("Total ",E1," Mill Rate")</f>
        <v>Total 0 Mill Rate</v>
      </c>
      <c r="I37" s="728"/>
      <c r="J37" s="729"/>
    </row>
    <row r="38" spans="2:10" ht="15.75">
      <c r="B38" s="126"/>
      <c r="C38" s="330" t="s">
        <v>625</v>
      </c>
      <c r="D38" s="331">
        <f>inputOth!$E$53</f>
        <v>0</v>
      </c>
      <c r="E38" s="170">
        <f>ROUND(IF(D38&gt;0,(E37*D38),0),0)</f>
        <v>0</v>
      </c>
      <c r="G38" s="731">
        <f>summ!E52</f>
        <v>0</v>
      </c>
      <c r="H38" s="733" t="str">
        <f>CONCATENATE("Total ",E1-1," Mill Rate")</f>
        <v>Total -1 Mill Rate</v>
      </c>
      <c r="I38" s="734"/>
      <c r="J38" s="735"/>
    </row>
    <row r="39" spans="2:5" ht="15.75">
      <c r="B39" s="63"/>
      <c r="C39" s="1146" t="str">
        <f>CONCATENATE("Amount of  ",$E$1-1," Ad Valorem Tax")</f>
        <v>Amount of  -1 Ad Valorem Tax</v>
      </c>
      <c r="D39" s="1147"/>
      <c r="E39" s="233">
        <f>E37+E38</f>
        <v>0</v>
      </c>
    </row>
    <row r="40" spans="2:10" ht="15.75">
      <c r="B40" s="32"/>
      <c r="C40" s="63"/>
      <c r="D40" s="63"/>
      <c r="E40" s="32"/>
      <c r="G40" s="914"/>
      <c r="H40" s="915"/>
      <c r="I40" s="917"/>
      <c r="J40" s="916"/>
    </row>
    <row r="41" spans="2:10" ht="15.75">
      <c r="B41" s="33"/>
      <c r="C41" s="232"/>
      <c r="D41" s="232"/>
      <c r="E41" s="232"/>
      <c r="G41" s="929" t="str">
        <f>CONCATENATE("Computed ",E1," tax levy limit amount")</f>
        <v>Computed 0 tax levy limit amount</v>
      </c>
      <c r="H41" s="919"/>
      <c r="I41" s="919"/>
      <c r="J41" s="920">
        <f>Comp1!J47</f>
        <v>0</v>
      </c>
    </row>
    <row r="42" spans="2:10" ht="15.75">
      <c r="B42" s="33" t="s">
        <v>101</v>
      </c>
      <c r="C42" s="365" t="s">
        <v>801</v>
      </c>
      <c r="D42" s="364" t="s">
        <v>802</v>
      </c>
      <c r="E42" s="343" t="s">
        <v>803</v>
      </c>
      <c r="G42" s="930" t="str">
        <f>CONCATENATE("Total ",E1," tax levy amount")</f>
        <v>Total 0 tax levy amount</v>
      </c>
      <c r="H42" s="713"/>
      <c r="I42" s="713"/>
      <c r="J42" s="921">
        <f>summ!G52</f>
        <v>0</v>
      </c>
    </row>
    <row r="43" spans="2:5" ht="15.75">
      <c r="B43" s="488">
        <f>inputPrYr!B31</f>
        <v>0</v>
      </c>
      <c r="C43" s="366" t="str">
        <f>CONCATENATE("Actual for ",E1-2,"")</f>
        <v>Actual for -2</v>
      </c>
      <c r="D43" s="366" t="str">
        <f>CONCATENATE("Estimate for ",E1-1,"")</f>
        <v>Estimate for -1</v>
      </c>
      <c r="E43" s="351" t="str">
        <f>CONCATENATE("Year for ",E1,"")</f>
        <v>Year for 0</v>
      </c>
    </row>
    <row r="44" spans="2:5" ht="15.75">
      <c r="B44" s="196" t="s">
        <v>211</v>
      </c>
      <c r="C44" s="201"/>
      <c r="D44" s="199">
        <f>C71</f>
        <v>0</v>
      </c>
      <c r="E44" s="170">
        <f>D71</f>
        <v>0</v>
      </c>
    </row>
    <row r="45" spans="2:5" ht="15.75">
      <c r="B45" s="200" t="s">
        <v>213</v>
      </c>
      <c r="C45" s="117"/>
      <c r="D45" s="117"/>
      <c r="E45" s="58"/>
    </row>
    <row r="46" spans="2:5" ht="15.75">
      <c r="B46" s="108" t="s">
        <v>102</v>
      </c>
      <c r="C46" s="201"/>
      <c r="D46" s="199">
        <f>IF(inputPrYr!H21&gt;0,inputPrYr!G31,inputPrYr!E31)</f>
        <v>0</v>
      </c>
      <c r="E46" s="229" t="s">
        <v>91</v>
      </c>
    </row>
    <row r="47" spans="2:5" ht="15.75">
      <c r="B47" s="108" t="s">
        <v>103</v>
      </c>
      <c r="C47" s="201"/>
      <c r="D47" s="201"/>
      <c r="E47" s="43"/>
    </row>
    <row r="48" spans="2:5" ht="15.75">
      <c r="B48" s="108" t="s">
        <v>104</v>
      </c>
      <c r="C48" s="201"/>
      <c r="D48" s="201"/>
      <c r="E48" s="170" t="str">
        <f>mvalloc!D15</f>
        <v>  </v>
      </c>
    </row>
    <row r="49" spans="2:5" ht="15.75">
      <c r="B49" s="108" t="s">
        <v>105</v>
      </c>
      <c r="C49" s="201"/>
      <c r="D49" s="201"/>
      <c r="E49" s="170" t="str">
        <f>mvalloc!E15</f>
        <v> </v>
      </c>
    </row>
    <row r="50" spans="2:5" ht="15.75">
      <c r="B50" s="117" t="s">
        <v>200</v>
      </c>
      <c r="C50" s="201"/>
      <c r="D50" s="201"/>
      <c r="E50" s="170" t="str">
        <f>mvalloc!F15</f>
        <v> </v>
      </c>
    </row>
    <row r="51" spans="2:5" ht="15.75">
      <c r="B51" s="913" t="s">
        <v>1012</v>
      </c>
      <c r="C51" s="201"/>
      <c r="D51" s="201"/>
      <c r="E51" s="170" t="str">
        <f>mvalloc!G15</f>
        <v> </v>
      </c>
    </row>
    <row r="52" spans="2:5" ht="15.75">
      <c r="B52" s="913" t="s">
        <v>1013</v>
      </c>
      <c r="C52" s="201"/>
      <c r="D52" s="201"/>
      <c r="E52" s="170" t="str">
        <f>mvalloc!H15</f>
        <v> </v>
      </c>
    </row>
    <row r="53" spans="2:5" ht="15.75">
      <c r="B53" s="217"/>
      <c r="C53" s="201"/>
      <c r="D53" s="201"/>
      <c r="E53" s="43"/>
    </row>
    <row r="54" spans="2:5" ht="15.75">
      <c r="B54" s="217"/>
      <c r="C54" s="201"/>
      <c r="D54" s="201"/>
      <c r="E54" s="43"/>
    </row>
    <row r="55" spans="2:10" ht="15.75">
      <c r="B55" s="205" t="s">
        <v>109</v>
      </c>
      <c r="C55" s="201"/>
      <c r="D55" s="201"/>
      <c r="E55" s="43"/>
      <c r="G55" s="1166" t="str">
        <f>CONCATENATE("Desired Carryover Into ",E1+1,"")</f>
        <v>Desired Carryover Into 1</v>
      </c>
      <c r="H55" s="1151"/>
      <c r="I55" s="1151"/>
      <c r="J55" s="1152"/>
    </row>
    <row r="56" spans="2:10" ht="15.75">
      <c r="B56" s="218" t="s">
        <v>12</v>
      </c>
      <c r="C56" s="201"/>
      <c r="D56" s="201"/>
      <c r="E56" s="937">
        <f>nhood!E14*-1</f>
        <v>0</v>
      </c>
      <c r="G56" s="736"/>
      <c r="H56" s="737"/>
      <c r="I56" s="738"/>
      <c r="J56" s="739"/>
    </row>
    <row r="57" spans="2:10" ht="15.75">
      <c r="B57" s="117" t="s">
        <v>13</v>
      </c>
      <c r="C57" s="201"/>
      <c r="D57" s="201"/>
      <c r="E57" s="43"/>
      <c r="G57" s="740" t="s">
        <v>768</v>
      </c>
      <c r="H57" s="738"/>
      <c r="I57" s="738"/>
      <c r="J57" s="741">
        <v>0</v>
      </c>
    </row>
    <row r="58" spans="2:10" ht="15.75">
      <c r="B58" s="196" t="s">
        <v>780</v>
      </c>
      <c r="C58" s="206">
        <f>IF(C59*0.1&lt;C57,"Exceed 10% Rule","")</f>
      </c>
      <c r="D58" s="206">
        <f>IF(D59*0.1&lt;D57,"Exceed 10% Rule","")</f>
      </c>
      <c r="E58" s="243">
        <f>IF(E59*0.1+E77&lt;E57,"Exceed 10% Rule","")</f>
      </c>
      <c r="G58" s="736" t="s">
        <v>769</v>
      </c>
      <c r="H58" s="737"/>
      <c r="I58" s="737"/>
      <c r="J58" s="742">
        <f>IF(J57=0,"",ROUND((J57+E77-G70)/inputOth!E9*1000,3)-G75)</f>
      </c>
    </row>
    <row r="59" spans="2:10" ht="15.75">
      <c r="B59" s="208" t="s">
        <v>110</v>
      </c>
      <c r="C59" s="210">
        <f>SUM(C46:C57)</f>
        <v>0</v>
      </c>
      <c r="D59" s="210">
        <f>SUM(D46:D57)</f>
        <v>0</v>
      </c>
      <c r="E59" s="211">
        <f>SUM(E46:E57)</f>
        <v>0</v>
      </c>
      <c r="G59" s="743" t="str">
        <f>CONCATENATE("",E1," Tot Exp/Non-Appr Must Be:")</f>
        <v>0 Tot Exp/Non-Appr Must Be:</v>
      </c>
      <c r="H59" s="744"/>
      <c r="I59" s="745"/>
      <c r="J59" s="746">
        <f>IF(J57&gt;0,IF(E74&lt;E60,IF(J57=G70,E74,((J57-G70)*(1-D76))+E60),E74+(J57-G70)),0)</f>
        <v>0</v>
      </c>
    </row>
    <row r="60" spans="2:10" ht="15.75">
      <c r="B60" s="208" t="s">
        <v>111</v>
      </c>
      <c r="C60" s="210">
        <f>C44+C59</f>
        <v>0</v>
      </c>
      <c r="D60" s="210">
        <f>D44+D59</f>
        <v>0</v>
      </c>
      <c r="E60" s="211">
        <f>E44+E59</f>
        <v>0</v>
      </c>
      <c r="G60" s="747" t="s">
        <v>804</v>
      </c>
      <c r="H60" s="748"/>
      <c r="I60" s="748"/>
      <c r="J60" s="715">
        <f>IF(J57&gt;0,J59-E74,0)</f>
        <v>0</v>
      </c>
    </row>
    <row r="61" spans="2:10" ht="15.75">
      <c r="B61" s="108" t="s">
        <v>113</v>
      </c>
      <c r="C61" s="218"/>
      <c r="D61" s="218"/>
      <c r="E61" s="42"/>
      <c r="J61" s="2"/>
    </row>
    <row r="62" spans="2:10" ht="15.75">
      <c r="B62" s="217"/>
      <c r="C62" s="201"/>
      <c r="D62" s="201"/>
      <c r="E62" s="43"/>
      <c r="G62" s="1166" t="str">
        <f>CONCATENATE("Projected Carryover Into ",E1+1,"")</f>
        <v>Projected Carryover Into 1</v>
      </c>
      <c r="H62" s="1168"/>
      <c r="I62" s="1168"/>
      <c r="J62" s="1169"/>
    </row>
    <row r="63" spans="2:10" ht="15.75">
      <c r="B63" s="217"/>
      <c r="C63" s="201"/>
      <c r="D63" s="201"/>
      <c r="E63" s="43"/>
      <c r="G63" s="761"/>
      <c r="H63" s="737"/>
      <c r="I63" s="737"/>
      <c r="J63" s="768"/>
    </row>
    <row r="64" spans="2:10" ht="15.75">
      <c r="B64" s="217"/>
      <c r="C64" s="201"/>
      <c r="D64" s="201"/>
      <c r="E64" s="43"/>
      <c r="G64" s="763">
        <f>D71</f>
        <v>0</v>
      </c>
      <c r="H64" s="727" t="str">
        <f>CONCATENATE("",E1-1," Ending Cash Balance (est.)")</f>
        <v>-1 Ending Cash Balance (est.)</v>
      </c>
      <c r="I64" s="764"/>
      <c r="J64" s="768"/>
    </row>
    <row r="65" spans="2:10" ht="15.75">
      <c r="B65" s="217"/>
      <c r="C65" s="201"/>
      <c r="D65" s="201"/>
      <c r="E65" s="43"/>
      <c r="G65" s="763">
        <f>E59</f>
        <v>0</v>
      </c>
      <c r="H65" s="738" t="str">
        <f>CONCATENATE("",E1," Non-AV Receipts (est.)")</f>
        <v>0 Non-AV Receipts (est.)</v>
      </c>
      <c r="I65" s="764"/>
      <c r="J65" s="768"/>
    </row>
    <row r="66" spans="2:11" ht="15.75">
      <c r="B66" s="217"/>
      <c r="C66" s="201"/>
      <c r="D66" s="201"/>
      <c r="E66" s="43"/>
      <c r="G66" s="765">
        <f>IF(D76&gt;0,E75,E77)</f>
        <v>0</v>
      </c>
      <c r="H66" s="738" t="str">
        <f>CONCATENATE("",E1," Ad Valorem Tax (est.)")</f>
        <v>0 Ad Valorem Tax (est.)</v>
      </c>
      <c r="I66" s="764"/>
      <c r="J66" s="768"/>
      <c r="K66" s="720">
        <f>IF(G66=E77,"","Note: Does not include Delinquent Taxes")</f>
      </c>
    </row>
    <row r="67" spans="2:10" ht="15.75">
      <c r="B67" s="218" t="str">
        <f>CONCATENATE("Cash Forward (",E1," column)")</f>
        <v>Cash Forward (0 column)</v>
      </c>
      <c r="C67" s="201"/>
      <c r="D67" s="201"/>
      <c r="E67" s="328"/>
      <c r="G67" s="767">
        <f>SUM(G64:G66)</f>
        <v>0</v>
      </c>
      <c r="H67" s="738" t="str">
        <f>CONCATENATE("Total ",E1," Resources Available")</f>
        <v>Total 0 Resources Available</v>
      </c>
      <c r="I67" s="768"/>
      <c r="J67" s="768"/>
    </row>
    <row r="68" spans="2:10" ht="15.75">
      <c r="B68" s="218" t="s">
        <v>13</v>
      </c>
      <c r="C68" s="201"/>
      <c r="D68" s="201"/>
      <c r="E68" s="43"/>
      <c r="G68" s="769"/>
      <c r="H68" s="770"/>
      <c r="I68" s="737"/>
      <c r="J68" s="768"/>
    </row>
    <row r="69" spans="2:10" ht="15.75">
      <c r="B69" s="218" t="s">
        <v>781</v>
      </c>
      <c r="C69" s="206">
        <f>IF(C70*0.1&lt;C68,"Exceed 10% Rule","")</f>
      </c>
      <c r="D69" s="206">
        <f>IF(D70*0.1&lt;D68,"Exceed 10% Rule","")</f>
      </c>
      <c r="E69" s="243">
        <f>IF(E70*0.1&lt;E68,"Exceed 10% Rule","")</f>
      </c>
      <c r="G69" s="771">
        <f>ROUND(C70*0.05+C70,0)</f>
        <v>0</v>
      </c>
      <c r="H69" s="770" t="str">
        <f>CONCATENATE("Less ",E1-2," Expenditures + 5%")</f>
        <v>Less -2 Expenditures + 5%</v>
      </c>
      <c r="I69" s="768"/>
      <c r="J69" s="768"/>
    </row>
    <row r="70" spans="2:10" ht="15.75">
      <c r="B70" s="208" t="s">
        <v>117</v>
      </c>
      <c r="C70" s="210">
        <f>SUM(C62:C68)</f>
        <v>0</v>
      </c>
      <c r="D70" s="210">
        <f>SUM(D62:D68)</f>
        <v>0</v>
      </c>
      <c r="E70" s="211">
        <f>SUM(E62:E68)</f>
        <v>0</v>
      </c>
      <c r="G70" s="772">
        <f>G67-G69</f>
        <v>0</v>
      </c>
      <c r="H70" s="773" t="str">
        <f>CONCATENATE("Projected ",E1+1," carryover (est.)")</f>
        <v>Projected 1 carryover (est.)</v>
      </c>
      <c r="I70" s="774"/>
      <c r="J70" s="775"/>
    </row>
    <row r="71" spans="2:9" ht="15.75">
      <c r="B71" s="108" t="s">
        <v>212</v>
      </c>
      <c r="C71" s="214">
        <f>C60-C70</f>
        <v>0</v>
      </c>
      <c r="D71" s="214">
        <f>D60-D70</f>
        <v>0</v>
      </c>
      <c r="E71" s="229" t="s">
        <v>91</v>
      </c>
      <c r="G71" s="2"/>
      <c r="H71" s="2"/>
      <c r="I71" s="2"/>
    </row>
    <row r="72" spans="2:10" ht="15.75">
      <c r="B72" s="128" t="str">
        <f>CONCATENATE("",E1-2,"/",E1-1,"/",E1," Budget Authority Amount:")</f>
        <v>-2/-1/0 Budget Authority Amount:</v>
      </c>
      <c r="C72" s="833">
        <f>inputOth!B74</f>
        <v>0</v>
      </c>
      <c r="D72" s="787">
        <f>inputPrYr!D31</f>
        <v>0</v>
      </c>
      <c r="E72" s="170">
        <f>E70</f>
        <v>0</v>
      </c>
      <c r="G72" s="1153" t="s">
        <v>805</v>
      </c>
      <c r="H72" s="1154"/>
      <c r="I72" s="1154"/>
      <c r="J72" s="1155"/>
    </row>
    <row r="73" spans="2:10" ht="15.75">
      <c r="B73" s="94"/>
      <c r="C73" s="1142" t="s">
        <v>626</v>
      </c>
      <c r="D73" s="1143"/>
      <c r="E73" s="43"/>
      <c r="G73" s="726"/>
      <c r="H73" s="727"/>
      <c r="I73" s="728"/>
      <c r="J73" s="729"/>
    </row>
    <row r="74" spans="2:10" ht="15.75">
      <c r="B74" s="484" t="str">
        <f>CONCATENATE(C96,"     ",D96)</f>
        <v>     </v>
      </c>
      <c r="C74" s="1144" t="s">
        <v>627</v>
      </c>
      <c r="D74" s="1145"/>
      <c r="E74" s="170">
        <f>E70+E73</f>
        <v>0</v>
      </c>
      <c r="F74" s="219"/>
      <c r="G74" s="730" t="str">
        <f>summ!H23</f>
        <v>  </v>
      </c>
      <c r="H74" s="727" t="str">
        <f>CONCATENATE("",E1," Fund Mill Rate")</f>
        <v>0 Fund Mill Rate</v>
      </c>
      <c r="I74" s="728"/>
      <c r="J74" s="729"/>
    </row>
    <row r="75" spans="2:10" ht="15.75">
      <c r="B75" s="484" t="str">
        <f>CONCATENATE(C97,"     ",D97)</f>
        <v>     </v>
      </c>
      <c r="C75" s="220"/>
      <c r="D75" s="126" t="s">
        <v>118</v>
      </c>
      <c r="E75" s="56">
        <f>IF(E74-E60&gt;0,E74-E60,0)</f>
        <v>0</v>
      </c>
      <c r="F75" s="822">
        <f>IF(E70/0.95-E70&lt;E73,"Exceeds 5%","")</f>
      </c>
      <c r="G75" s="731" t="str">
        <f>summ!E23</f>
        <v>  </v>
      </c>
      <c r="H75" s="727" t="str">
        <f>CONCATENATE("",E1-1," Fund Mill Rate")</f>
        <v>-1 Fund Mill Rate</v>
      </c>
      <c r="I75" s="728"/>
      <c r="J75" s="729"/>
    </row>
    <row r="76" spans="2:10" ht="15.75">
      <c r="B76" s="94"/>
      <c r="C76" s="330" t="s">
        <v>625</v>
      </c>
      <c r="D76" s="685">
        <f>inputOth!$E$53</f>
        <v>0</v>
      </c>
      <c r="E76" s="170">
        <f>ROUND(IF(D76&gt;0,(E75*D76),0),0)</f>
        <v>0</v>
      </c>
      <c r="G76" s="732">
        <f>summ!H52</f>
        <v>0</v>
      </c>
      <c r="H76" s="727" t="str">
        <f>CONCATENATE("Total ",E1," Mill Rate")</f>
        <v>Total 0 Mill Rate</v>
      </c>
      <c r="I76" s="728"/>
      <c r="J76" s="729"/>
    </row>
    <row r="77" spans="2:10" ht="16.5" thickBot="1">
      <c r="B77" s="126"/>
      <c r="C77" s="1146" t="str">
        <f>CONCATENATE("Amount of  ",$E$1-1," Ad Valorem Tax")</f>
        <v>Amount of  -1 Ad Valorem Tax</v>
      </c>
      <c r="D77" s="1147"/>
      <c r="E77" s="688">
        <f>E75+E76</f>
        <v>0</v>
      </c>
      <c r="G77" s="731">
        <f>summ!E52</f>
        <v>0</v>
      </c>
      <c r="H77" s="733" t="str">
        <f>CONCATENATE("Total ",E1-1," Mill Rate")</f>
        <v>Total -1 Mill Rate</v>
      </c>
      <c r="I77" s="734"/>
      <c r="J77" s="735"/>
    </row>
    <row r="78" spans="2:5" ht="16.5" thickTop="1">
      <c r="B78" s="32"/>
      <c r="C78" s="32"/>
      <c r="D78" s="32"/>
      <c r="E78" s="32"/>
    </row>
    <row r="79" spans="2:10" ht="15.75">
      <c r="B79" s="976" t="s">
        <v>1034</v>
      </c>
      <c r="C79" s="75"/>
      <c r="D79" s="75"/>
      <c r="E79" s="951"/>
      <c r="G79" s="914"/>
      <c r="H79" s="915"/>
      <c r="I79" s="917"/>
      <c r="J79" s="916"/>
    </row>
    <row r="80" spans="2:10" ht="15.75">
      <c r="B80" s="761"/>
      <c r="C80" s="52"/>
      <c r="D80" s="52"/>
      <c r="E80" s="768"/>
      <c r="G80" s="929" t="str">
        <f>CONCATENATE("Computed ",E1," tax levy limit amount")</f>
        <v>Computed 0 tax levy limit amount</v>
      </c>
      <c r="H80" s="919"/>
      <c r="I80" s="919"/>
      <c r="J80" s="920">
        <f>Comp1!J47</f>
        <v>0</v>
      </c>
    </row>
    <row r="81" spans="2:10" ht="15.75">
      <c r="B81" s="695"/>
      <c r="C81" s="47"/>
      <c r="D81" s="47"/>
      <c r="E81" s="55"/>
      <c r="G81" s="930" t="str">
        <f>CONCATENATE("Total ",E1," tax levy amount")</f>
        <v>Total 0 tax levy amount</v>
      </c>
      <c r="H81" s="713"/>
      <c r="I81" s="713"/>
      <c r="J81" s="921">
        <f>summ!G52</f>
        <v>0</v>
      </c>
    </row>
    <row r="82" spans="2:5" ht="15.75">
      <c r="B82" s="94" t="s">
        <v>120</v>
      </c>
      <c r="C82" s="225"/>
      <c r="D82" s="32"/>
      <c r="E82" s="32"/>
    </row>
    <row r="92" ht="15.75" hidden="1"/>
    <row r="93" ht="15.75" hidden="1"/>
    <row r="94" spans="3:4" ht="15.75" hidden="1">
      <c r="C94" s="483">
        <f>IF(C32&gt;C34,"See Tab A","")</f>
      </c>
      <c r="D94" s="483">
        <f>IF(D30&gt;D34,"See Tab C","")</f>
      </c>
    </row>
    <row r="95" spans="3:4" ht="15.75" hidden="1">
      <c r="C95" s="483">
        <f>IF(C33&lt;0,"See Tab B","")</f>
      </c>
      <c r="D95" s="483">
        <f>IF(D33&lt;0,"See Tab D","")</f>
      </c>
    </row>
    <row r="96" spans="3:4" ht="15.75">
      <c r="C96" s="483">
        <f>IF(C68&gt;C72,"See Tab A","")</f>
      </c>
      <c r="D96" s="483">
        <f>IF(D68&gt;D72,"See Tab C","")</f>
      </c>
    </row>
    <row r="97" spans="3:4" ht="15.75">
      <c r="C97" s="483">
        <f>IF(C71&lt;0,"See Tab B","")</f>
      </c>
      <c r="D97" s="483">
        <f>IF(D71&lt;0,"See Tab D","")</f>
      </c>
    </row>
  </sheetData>
  <sheetProtection/>
  <mergeCells count="12">
    <mergeCell ref="C35:D35"/>
    <mergeCell ref="C36:D36"/>
    <mergeCell ref="C73:D73"/>
    <mergeCell ref="C74:D74"/>
    <mergeCell ref="C77:D77"/>
    <mergeCell ref="C39:D39"/>
    <mergeCell ref="G16:J16"/>
    <mergeCell ref="G23:J23"/>
    <mergeCell ref="G33:J33"/>
    <mergeCell ref="G55:J55"/>
    <mergeCell ref="G62:J62"/>
    <mergeCell ref="G72:J72"/>
  </mergeCells>
  <conditionalFormatting sqref="E30">
    <cfRule type="cellIs" priority="4" dxfId="328" operator="greaterThan" stopIfTrue="1">
      <formula>$E$32*0.1</formula>
    </cfRule>
  </conditionalFormatting>
  <conditionalFormatting sqref="E35">
    <cfRule type="cellIs" priority="5" dxfId="328" operator="greaterThan" stopIfTrue="1">
      <formula>$E$32/0.95-$E$32</formula>
    </cfRule>
  </conditionalFormatting>
  <conditionalFormatting sqref="E68">
    <cfRule type="cellIs" priority="6" dxfId="328" operator="greaterThan" stopIfTrue="1">
      <formula>$E$70*0.1</formula>
    </cfRule>
  </conditionalFormatting>
  <conditionalFormatting sqref="E73">
    <cfRule type="cellIs" priority="7" dxfId="328" operator="greaterThan" stopIfTrue="1">
      <formula>$E$70/0.95-$E$70</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1">
    <cfRule type="cellIs" priority="12" dxfId="3" operator="lessThan" stopIfTrue="1">
      <formula>0</formula>
    </cfRule>
  </conditionalFormatting>
  <conditionalFormatting sqref="C68">
    <cfRule type="cellIs" priority="13" dxfId="3" operator="greaterThan" stopIfTrue="1">
      <formula>$C$70*0.1</formula>
    </cfRule>
  </conditionalFormatting>
  <conditionalFormatting sqref="D68">
    <cfRule type="cellIs" priority="14" dxfId="3" operator="greaterThan" stopIfTrue="1">
      <formula>$D$70*0.1</formula>
    </cfRule>
  </conditionalFormatting>
  <conditionalFormatting sqref="D70">
    <cfRule type="cellIs" priority="15" dxfId="3" operator="greaterThan" stopIfTrue="1">
      <formula>$D$72</formula>
    </cfRule>
  </conditionalFormatting>
  <conditionalFormatting sqref="C70">
    <cfRule type="cellIs" priority="16" dxfId="3" operator="greaterThan" stopIfTrue="1">
      <formula>$C$72</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7">
    <cfRule type="cellIs" priority="19" dxfId="3" operator="greaterThan" stopIfTrue="1">
      <formula>$D$59*0.1</formula>
    </cfRule>
  </conditionalFormatting>
  <conditionalFormatting sqref="C57">
    <cfRule type="cellIs" priority="20" dxfId="3" operator="greaterThan" stopIfTrue="1">
      <formula>$C$59*0.1</formula>
    </cfRule>
  </conditionalFormatting>
  <conditionalFormatting sqref="E19">
    <cfRule type="cellIs" priority="21" dxfId="328" operator="greaterThan" stopIfTrue="1">
      <formula>$E$21*0.1+E39</formula>
    </cfRule>
  </conditionalFormatting>
  <conditionalFormatting sqref="D71 D33">
    <cfRule type="cellIs" priority="3" dxfId="0" operator="lessThan" stopIfTrue="1">
      <formula>0</formula>
    </cfRule>
  </conditionalFormatting>
  <conditionalFormatting sqref="E57">
    <cfRule type="cellIs" priority="24" dxfId="0" operator="greaterThan" stopIfTrue="1">
      <formula>$E$59*0.1+$E$77</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C107" sqref="C107"/>
    </sheetView>
  </sheetViews>
  <sheetFormatPr defaultColWidth="8.796875" defaultRowHeight="15"/>
  <cols>
    <col min="1" max="1" width="2.3984375" style="30" customWidth="1"/>
    <col min="2" max="2" width="31.09765625" style="30" customWidth="1"/>
    <col min="3" max="4" width="15.796875" style="30" customWidth="1"/>
    <col min="5" max="5" width="16.09765625" style="30" customWidth="1"/>
    <col min="6" max="6" width="8.09765625" style="30" customWidth="1"/>
    <col min="7" max="7" width="10.19921875" style="30" customWidth="1"/>
    <col min="8" max="8" width="8.8984375" style="30" customWidth="1"/>
    <col min="9" max="9" width="5.59765625" style="30" customWidth="1"/>
    <col min="10" max="10" width="10" style="30" customWidth="1"/>
    <col min="11" max="16384" width="8.8984375" style="30" customWidth="1"/>
  </cols>
  <sheetData>
    <row r="1" spans="2:5" ht="15.75">
      <c r="B1" s="140">
        <f>(inputPrYr!D3)</f>
        <v>0</v>
      </c>
      <c r="C1" s="32"/>
      <c r="D1" s="32"/>
      <c r="E1" s="190">
        <f>inputPrYr!C6</f>
        <v>0</v>
      </c>
    </row>
    <row r="2" spans="2:5" ht="15.75">
      <c r="B2" s="32"/>
      <c r="C2" s="32"/>
      <c r="D2" s="32"/>
      <c r="E2" s="126"/>
    </row>
    <row r="3" spans="2:5" ht="15.75">
      <c r="B3" s="191" t="s">
        <v>169</v>
      </c>
      <c r="C3" s="145"/>
      <c r="D3" s="145"/>
      <c r="E3" s="231"/>
    </row>
    <row r="4" spans="2:5" ht="15.75">
      <c r="B4" s="33" t="s">
        <v>101</v>
      </c>
      <c r="C4" s="365" t="s">
        <v>801</v>
      </c>
      <c r="D4" s="364" t="s">
        <v>802</v>
      </c>
      <c r="E4" s="343" t="s">
        <v>803</v>
      </c>
    </row>
    <row r="5" spans="2:5" ht="15.75">
      <c r="B5" s="488">
        <f>inputPrYr!B32</f>
        <v>0</v>
      </c>
      <c r="C5" s="366" t="str">
        <f>CONCATENATE("Actual for ",E1-2,"")</f>
        <v>Actual for -2</v>
      </c>
      <c r="D5" s="366" t="str">
        <f>CONCATENATE("Estimate for ",E1-1,"")</f>
        <v>Estimate for -1</v>
      </c>
      <c r="E5" s="351" t="str">
        <f>CONCATENATE("Year for ",E1,"")</f>
        <v>Year for 0</v>
      </c>
    </row>
    <row r="6" spans="2:5" ht="15.75">
      <c r="B6" s="196" t="s">
        <v>211</v>
      </c>
      <c r="C6" s="201"/>
      <c r="D6" s="199">
        <f>C33</f>
        <v>0</v>
      </c>
      <c r="E6" s="170">
        <f>D33</f>
        <v>0</v>
      </c>
    </row>
    <row r="7" spans="2:5" ht="15.75">
      <c r="B7" s="200" t="s">
        <v>213</v>
      </c>
      <c r="C7" s="117"/>
      <c r="D7" s="117"/>
      <c r="E7" s="58"/>
    </row>
    <row r="8" spans="2:5" ht="15.75">
      <c r="B8" s="108" t="s">
        <v>102</v>
      </c>
      <c r="C8" s="201"/>
      <c r="D8" s="199">
        <f>IF(inputPrYr!H21&gt;0,inputPrYr!G32,inputPrYr!E32)</f>
        <v>0</v>
      </c>
      <c r="E8" s="229" t="s">
        <v>91</v>
      </c>
    </row>
    <row r="9" spans="2:5" ht="15.75">
      <c r="B9" s="108" t="s">
        <v>103</v>
      </c>
      <c r="C9" s="201"/>
      <c r="D9" s="201"/>
      <c r="E9" s="43"/>
    </row>
    <row r="10" spans="2:5" ht="15.75">
      <c r="B10" s="108" t="s">
        <v>104</v>
      </c>
      <c r="C10" s="201"/>
      <c r="D10" s="201"/>
      <c r="E10" s="170" t="str">
        <f>mvalloc!D16</f>
        <v>  </v>
      </c>
    </row>
    <row r="11" spans="2:5" ht="15.75">
      <c r="B11" s="108" t="s">
        <v>105</v>
      </c>
      <c r="C11" s="201"/>
      <c r="D11" s="201"/>
      <c r="E11" s="170" t="str">
        <f>mvalloc!E16</f>
        <v> </v>
      </c>
    </row>
    <row r="12" spans="2:5" ht="15.75">
      <c r="B12" s="117" t="s">
        <v>200</v>
      </c>
      <c r="C12" s="201"/>
      <c r="D12" s="201"/>
      <c r="E12" s="170" t="str">
        <f>mvalloc!F16</f>
        <v> </v>
      </c>
    </row>
    <row r="13" spans="2:5" ht="15.75">
      <c r="B13" s="913" t="s">
        <v>1012</v>
      </c>
      <c r="C13" s="201"/>
      <c r="D13" s="201"/>
      <c r="E13" s="170" t="str">
        <f>mvalloc!G16</f>
        <v> </v>
      </c>
    </row>
    <row r="14" spans="2:5" ht="15.75">
      <c r="B14" s="913" t="s">
        <v>1013</v>
      </c>
      <c r="C14" s="201"/>
      <c r="D14" s="201"/>
      <c r="E14" s="170" t="str">
        <f>mvalloc!H16</f>
        <v> </v>
      </c>
    </row>
    <row r="15" spans="2:5" ht="15.75">
      <c r="B15" s="217"/>
      <c r="C15" s="201"/>
      <c r="D15" s="201"/>
      <c r="E15" s="43"/>
    </row>
    <row r="16" spans="2:10" ht="15.75">
      <c r="B16" s="217"/>
      <c r="C16" s="201"/>
      <c r="D16" s="201"/>
      <c r="E16" s="43"/>
      <c r="G16" s="1166" t="str">
        <f>CONCATENATE("Desired Carryover Into ",E1+1,"")</f>
        <v>Desired Carryover Into 1</v>
      </c>
      <c r="H16" s="1151"/>
      <c r="I16" s="1151"/>
      <c r="J16" s="1152"/>
    </row>
    <row r="17" spans="2:10" ht="15.75">
      <c r="B17" s="205" t="s">
        <v>109</v>
      </c>
      <c r="C17" s="201"/>
      <c r="D17" s="201"/>
      <c r="E17" s="43"/>
      <c r="G17" s="736"/>
      <c r="H17" s="737"/>
      <c r="I17" s="738"/>
      <c r="J17" s="739"/>
    </row>
    <row r="18" spans="2:10" ht="15.75">
      <c r="B18" s="218" t="s">
        <v>12</v>
      </c>
      <c r="C18" s="201"/>
      <c r="D18" s="201"/>
      <c r="E18" s="937">
        <f>nhood!E15*-1</f>
        <v>0</v>
      </c>
      <c r="G18" s="740" t="s">
        <v>768</v>
      </c>
      <c r="H18" s="738"/>
      <c r="I18" s="738"/>
      <c r="J18" s="741">
        <v>0</v>
      </c>
    </row>
    <row r="19" spans="2:10" ht="15.75">
      <c r="B19" s="117" t="s">
        <v>13</v>
      </c>
      <c r="C19" s="201"/>
      <c r="D19" s="201"/>
      <c r="E19" s="43"/>
      <c r="G19" s="736" t="s">
        <v>769</v>
      </c>
      <c r="H19" s="737"/>
      <c r="I19" s="737"/>
      <c r="J19" s="742">
        <f>IF(J18=0,"",ROUND((J18+E39-G31)/inputOth!E9*1000,3)-G36)</f>
      </c>
    </row>
    <row r="20" spans="2:10" ht="15.75">
      <c r="B20" s="196" t="s">
        <v>780</v>
      </c>
      <c r="C20" s="206">
        <f>IF(C21*0.1&lt;C19,"Exceed 10% Rule","")</f>
      </c>
      <c r="D20" s="206">
        <f>IF(D21*0.1&lt;D19,"Exceed 10% Rule","")</f>
      </c>
      <c r="E20" s="243">
        <f>IF(E21*0.1+E39&lt;E19,"Exceed 10% Rule","")</f>
      </c>
      <c r="G20" s="743" t="str">
        <f>CONCATENATE("",E1," Tot Exp/Non-Appr Must Be:")</f>
        <v>0 Tot Exp/Non-Appr Must Be:</v>
      </c>
      <c r="H20" s="744"/>
      <c r="I20" s="745"/>
      <c r="J20" s="746">
        <f>IF(J18&gt;0,IF(E36&lt;E22,IF(J18=G31,E36,((J18-G31)*(1-D38))+E22),E36+(J18-G31)),0)</f>
        <v>0</v>
      </c>
    </row>
    <row r="21" spans="2:10" ht="15.75">
      <c r="B21" s="208" t="s">
        <v>110</v>
      </c>
      <c r="C21" s="210">
        <f>SUM(C8:C19)</f>
        <v>0</v>
      </c>
      <c r="D21" s="210">
        <f>SUM(D8:D19)</f>
        <v>0</v>
      </c>
      <c r="E21" s="211">
        <f>SUM(E8:E19)</f>
        <v>0</v>
      </c>
      <c r="G21" s="747" t="s">
        <v>804</v>
      </c>
      <c r="H21" s="748"/>
      <c r="I21" s="748"/>
      <c r="J21" s="715">
        <f>IF(J18&gt;0,J20-E36,0)</f>
        <v>0</v>
      </c>
    </row>
    <row r="22" spans="2:10" ht="15.75">
      <c r="B22" s="208" t="s">
        <v>111</v>
      </c>
      <c r="C22" s="210">
        <f>C6+C21</f>
        <v>0</v>
      </c>
      <c r="D22" s="210">
        <f>D6+D21</f>
        <v>0</v>
      </c>
      <c r="E22" s="211">
        <f>E6+E21</f>
        <v>0</v>
      </c>
      <c r="J22" s="2"/>
    </row>
    <row r="23" spans="2:10" ht="15.75">
      <c r="B23" s="108" t="s">
        <v>113</v>
      </c>
      <c r="C23" s="218"/>
      <c r="D23" s="218"/>
      <c r="E23" s="42"/>
      <c r="G23" s="1166" t="str">
        <f>CONCATENATE("Projected Carryover Into ",E1+1,"")</f>
        <v>Projected Carryover Into 1</v>
      </c>
      <c r="H23" s="1170"/>
      <c r="I23" s="1170"/>
      <c r="J23" s="1169"/>
    </row>
    <row r="24" spans="2:10" ht="15.75">
      <c r="B24" s="217"/>
      <c r="C24" s="201"/>
      <c r="D24" s="201"/>
      <c r="E24" s="43"/>
      <c r="G24" s="736"/>
      <c r="H24" s="738"/>
      <c r="I24" s="738"/>
      <c r="J24" s="762"/>
    </row>
    <row r="25" spans="2:10" ht="15.75">
      <c r="B25" s="217"/>
      <c r="C25" s="201"/>
      <c r="D25" s="201"/>
      <c r="E25" s="43"/>
      <c r="G25" s="763">
        <f>D33</f>
        <v>0</v>
      </c>
      <c r="H25" s="727" t="str">
        <f>CONCATENATE("",E1-1," Ending Cash Balance (est.)")</f>
        <v>-1 Ending Cash Balance (est.)</v>
      </c>
      <c r="I25" s="764"/>
      <c r="J25" s="762"/>
    </row>
    <row r="26" spans="2:10" ht="15.75">
      <c r="B26" s="217"/>
      <c r="C26" s="201"/>
      <c r="D26" s="201"/>
      <c r="E26" s="43"/>
      <c r="G26" s="763">
        <f>E21</f>
        <v>0</v>
      </c>
      <c r="H26" s="738" t="str">
        <f>CONCATENATE("",E1," Non-AV Receipts (est.)")</f>
        <v>0 Non-AV Receipts (est.)</v>
      </c>
      <c r="I26" s="764"/>
      <c r="J26" s="762"/>
    </row>
    <row r="27" spans="2:11" ht="15.75">
      <c r="B27" s="217"/>
      <c r="C27" s="201"/>
      <c r="D27" s="201"/>
      <c r="E27" s="43"/>
      <c r="G27" s="765">
        <f>IF(E38&gt;0,E37,E39)</f>
        <v>0</v>
      </c>
      <c r="H27" s="738" t="str">
        <f>CONCATENATE("",E1," Ad Valorem Tax (est.)")</f>
        <v>0 Ad Valorem Tax (est.)</v>
      </c>
      <c r="I27" s="764"/>
      <c r="J27" s="750"/>
      <c r="K27" s="720">
        <f>IF(G27=E39,"","Note: Does not include Delinquent Taxes")</f>
      </c>
    </row>
    <row r="28" spans="2:10" ht="15.75">
      <c r="B28" s="217"/>
      <c r="C28" s="201"/>
      <c r="D28" s="201"/>
      <c r="E28" s="43"/>
      <c r="G28" s="763">
        <f>SUM(G25:G27)</f>
        <v>0</v>
      </c>
      <c r="H28" s="738" t="str">
        <f>CONCATENATE("Total ",E1," Resources Available")</f>
        <v>Total 0 Resources Available</v>
      </c>
      <c r="I28" s="764"/>
      <c r="J28" s="762"/>
    </row>
    <row r="29" spans="2:10" ht="15.75">
      <c r="B29" s="218" t="str">
        <f>CONCATENATE("Cash Forward (",E1," column)")</f>
        <v>Cash Forward (0 column)</v>
      </c>
      <c r="C29" s="201"/>
      <c r="D29" s="201"/>
      <c r="E29" s="43"/>
      <c r="G29" s="782"/>
      <c r="H29" s="738"/>
      <c r="I29" s="738"/>
      <c r="J29" s="762"/>
    </row>
    <row r="30" spans="2:10" ht="15.75">
      <c r="B30" s="218" t="s">
        <v>13</v>
      </c>
      <c r="C30" s="201"/>
      <c r="D30" s="201"/>
      <c r="E30" s="43"/>
      <c r="G30" s="765">
        <f>ROUND(C32*0.05+C32,0)</f>
        <v>0</v>
      </c>
      <c r="H30" s="738" t="str">
        <f>CONCATENATE("Less ",E1-2," Expenditures + 5%")</f>
        <v>Less -2 Expenditures + 5%</v>
      </c>
      <c r="I30" s="764"/>
      <c r="J30" s="762"/>
    </row>
    <row r="31" spans="2:10" ht="15.75">
      <c r="B31" s="218" t="s">
        <v>781</v>
      </c>
      <c r="C31" s="206">
        <f>IF(C32*0.1&lt;C30,"Exceed 10% Rule","")</f>
      </c>
      <c r="D31" s="206">
        <f>IF(D32*0.1&lt;D30,"Exceed 10% Rule","")</f>
      </c>
      <c r="E31" s="243">
        <f>IF(E32*0.1&lt;E30,"Exceed 10% Rule","")</f>
      </c>
      <c r="G31" s="783">
        <f>G28-G30</f>
        <v>0</v>
      </c>
      <c r="H31" s="784" t="str">
        <f>CONCATENATE("Projected ",E1+1," carryover (est.)")</f>
        <v>Projected 1 carryover (est.)</v>
      </c>
      <c r="I31" s="785"/>
      <c r="J31" s="775"/>
    </row>
    <row r="32" spans="2:10" ht="15.75">
      <c r="B32" s="208" t="s">
        <v>117</v>
      </c>
      <c r="C32" s="210">
        <f>SUM(C24:C30)</f>
        <v>0</v>
      </c>
      <c r="D32" s="210">
        <f>SUM(D24:D30)</f>
        <v>0</v>
      </c>
      <c r="E32" s="211">
        <f>SUM(E24:E30)</f>
        <v>0</v>
      </c>
      <c r="G32" s="2"/>
      <c r="H32" s="2"/>
      <c r="I32" s="2"/>
      <c r="J32" s="2"/>
    </row>
    <row r="33" spans="2:10" ht="15.75">
      <c r="B33" s="108" t="s">
        <v>212</v>
      </c>
      <c r="C33" s="214">
        <f>C22-C32</f>
        <v>0</v>
      </c>
      <c r="D33" s="214">
        <f>D22-D32</f>
        <v>0</v>
      </c>
      <c r="E33" s="229" t="s">
        <v>91</v>
      </c>
      <c r="G33" s="1153" t="s">
        <v>805</v>
      </c>
      <c r="H33" s="1154"/>
      <c r="I33" s="1154"/>
      <c r="J33" s="1155"/>
    </row>
    <row r="34" spans="2:10" ht="15.75">
      <c r="B34" s="128" t="str">
        <f>CONCATENATE("",E1-2,"/",E1-1,"/",E1," Budget Authority Amount:")</f>
        <v>-2/-1/0 Budget Authority Amount:</v>
      </c>
      <c r="C34" s="833">
        <f>inputOth!B75</f>
        <v>0</v>
      </c>
      <c r="D34" s="787">
        <f>inputPrYr!D32</f>
        <v>0</v>
      </c>
      <c r="E34" s="170">
        <f>E32</f>
        <v>0</v>
      </c>
      <c r="G34" s="726"/>
      <c r="H34" s="727"/>
      <c r="I34" s="728"/>
      <c r="J34" s="729"/>
    </row>
    <row r="35" spans="2:10" ht="15.75">
      <c r="B35" s="94"/>
      <c r="C35" s="1142" t="s">
        <v>626</v>
      </c>
      <c r="D35" s="1143"/>
      <c r="E35" s="43"/>
      <c r="F35" s="219"/>
      <c r="G35" s="730" t="str">
        <f>summ!H24</f>
        <v>  </v>
      </c>
      <c r="H35" s="727" t="str">
        <f>CONCATENATE("",E1," Fund Mill Rate")</f>
        <v>0 Fund Mill Rate</v>
      </c>
      <c r="I35" s="728"/>
      <c r="J35" s="729"/>
    </row>
    <row r="36" spans="2:10" ht="15.75">
      <c r="B36" s="484" t="str">
        <f>CONCATENATE(C96,"     ",D96)</f>
        <v>     </v>
      </c>
      <c r="C36" s="1144" t="s">
        <v>627</v>
      </c>
      <c r="D36" s="1145"/>
      <c r="E36" s="170">
        <f>E32+E35</f>
        <v>0</v>
      </c>
      <c r="F36" s="822">
        <f>IF(E32/0.95-E32&lt;E35,"Exceeds 5%","")</f>
      </c>
      <c r="G36" s="731" t="str">
        <f>summ!E24</f>
        <v>  </v>
      </c>
      <c r="H36" s="727" t="str">
        <f>CONCATENATE("",E1-1," Fund Mill Rate")</f>
        <v>-1 Fund Mill Rate</v>
      </c>
      <c r="I36" s="728"/>
      <c r="J36" s="729"/>
    </row>
    <row r="37" spans="2:10" ht="15.75">
      <c r="B37" s="484" t="str">
        <f>CONCATENATE(C97,"     ",D97)</f>
        <v>     </v>
      </c>
      <c r="C37" s="220"/>
      <c r="D37" s="126" t="s">
        <v>118</v>
      </c>
      <c r="E37" s="56">
        <f>IF(E36-E22&gt;0,E36-E22,0)</f>
        <v>0</v>
      </c>
      <c r="G37" s="732">
        <f>summ!H52</f>
        <v>0</v>
      </c>
      <c r="H37" s="727" t="str">
        <f>CONCATENATE("Total ",E1," Mill Rate")</f>
        <v>Total 0 Mill Rate</v>
      </c>
      <c r="I37" s="728"/>
      <c r="J37" s="729"/>
    </row>
    <row r="38" spans="2:10" ht="15.75">
      <c r="B38" s="126"/>
      <c r="C38" s="330" t="s">
        <v>625</v>
      </c>
      <c r="D38" s="685">
        <f>inputOth!$E$53</f>
        <v>0</v>
      </c>
      <c r="E38" s="170">
        <f>ROUND(IF(D38&gt;0,(E37*D38),0),0)</f>
        <v>0</v>
      </c>
      <c r="G38" s="731">
        <f>summ!E52</f>
        <v>0</v>
      </c>
      <c r="H38" s="733" t="str">
        <f>CONCATENATE("Total ",E1-1," Mill Rate")</f>
        <v>Total -1 Mill Rate</v>
      </c>
      <c r="I38" s="734"/>
      <c r="J38" s="735"/>
    </row>
    <row r="39" spans="2:5" ht="16.5" thickBot="1">
      <c r="B39" s="32"/>
      <c r="C39" s="1146" t="str">
        <f>CONCATENATE("Amount of  ",$E$1-1," Ad Valorem Tax")</f>
        <v>Amount of  -1 Ad Valorem Tax</v>
      </c>
      <c r="D39" s="1147"/>
      <c r="E39" s="688">
        <f>E37+E38</f>
        <v>0</v>
      </c>
    </row>
    <row r="40" spans="2:10" ht="16.5" thickTop="1">
      <c r="B40" s="32"/>
      <c r="C40" s="32"/>
      <c r="D40" s="32"/>
      <c r="E40" s="32"/>
      <c r="G40" s="914"/>
      <c r="H40" s="915"/>
      <c r="I40" s="917"/>
      <c r="J40" s="916"/>
    </row>
    <row r="41" spans="2:10" ht="15.75">
      <c r="B41" s="33"/>
      <c r="C41" s="100"/>
      <c r="D41" s="100"/>
      <c r="E41" s="100"/>
      <c r="G41" s="929" t="str">
        <f>CONCATENATE("Computed ",E1," tax levy limit amount")</f>
        <v>Computed 0 tax levy limit amount</v>
      </c>
      <c r="H41" s="919"/>
      <c r="I41" s="919"/>
      <c r="J41" s="920">
        <f>Comp1!J47</f>
        <v>0</v>
      </c>
    </row>
    <row r="42" spans="2:10" ht="15.75">
      <c r="B42" s="33" t="s">
        <v>101</v>
      </c>
      <c r="C42" s="365" t="s">
        <v>801</v>
      </c>
      <c r="D42" s="364" t="s">
        <v>802</v>
      </c>
      <c r="E42" s="343" t="s">
        <v>803</v>
      </c>
      <c r="G42" s="930" t="str">
        <f>CONCATENATE("Total ",E1," tax levy amount")</f>
        <v>Total 0 tax levy amount</v>
      </c>
      <c r="H42" s="713"/>
      <c r="I42" s="713"/>
      <c r="J42" s="921">
        <f>summ!G52</f>
        <v>0</v>
      </c>
    </row>
    <row r="43" spans="2:5" ht="15.75">
      <c r="B43" s="488">
        <f>inputPrYr!B33</f>
        <v>0</v>
      </c>
      <c r="C43" s="366" t="str">
        <f>CONCATENATE("Actual for ",E1-2,"")</f>
        <v>Actual for -2</v>
      </c>
      <c r="D43" s="366" t="str">
        <f>CONCATENATE("Estimate for ",E1-1,"")</f>
        <v>Estimate for -1</v>
      </c>
      <c r="E43" s="351" t="str">
        <f>CONCATENATE("Year for ",E1,"")</f>
        <v>Year for 0</v>
      </c>
    </row>
    <row r="44" spans="2:5" ht="15.75">
      <c r="B44" s="196" t="s">
        <v>211</v>
      </c>
      <c r="C44" s="201"/>
      <c r="D44" s="199">
        <f>C72</f>
        <v>0</v>
      </c>
      <c r="E44" s="170">
        <f>D72</f>
        <v>0</v>
      </c>
    </row>
    <row r="45" spans="2:5" ht="15.75">
      <c r="B45" s="200" t="s">
        <v>213</v>
      </c>
      <c r="C45" s="117"/>
      <c r="D45" s="117"/>
      <c r="E45" s="58"/>
    </row>
    <row r="46" spans="2:5" ht="15.75">
      <c r="B46" s="108" t="s">
        <v>102</v>
      </c>
      <c r="C46" s="201"/>
      <c r="D46" s="199">
        <f>IF(inputPrYr!H21&gt;0,inputPrYr!G33,inputPrYr!E33)</f>
        <v>0</v>
      </c>
      <c r="E46" s="229" t="s">
        <v>91</v>
      </c>
    </row>
    <row r="47" spans="2:5" ht="15.75">
      <c r="B47" s="108" t="s">
        <v>103</v>
      </c>
      <c r="C47" s="201"/>
      <c r="D47" s="201"/>
      <c r="E47" s="43"/>
    </row>
    <row r="48" spans="2:5" ht="15.75">
      <c r="B48" s="108" t="s">
        <v>104</v>
      </c>
      <c r="C48" s="201"/>
      <c r="D48" s="201"/>
      <c r="E48" s="170" t="str">
        <f>mvalloc!D17</f>
        <v>  </v>
      </c>
    </row>
    <row r="49" spans="2:5" ht="15.75">
      <c r="B49" s="108" t="s">
        <v>105</v>
      </c>
      <c r="C49" s="201"/>
      <c r="D49" s="201"/>
      <c r="E49" s="170" t="str">
        <f>mvalloc!E17</f>
        <v> </v>
      </c>
    </row>
    <row r="50" spans="2:5" ht="15.75">
      <c r="B50" s="117" t="s">
        <v>200</v>
      </c>
      <c r="C50" s="201"/>
      <c r="D50" s="201"/>
      <c r="E50" s="170" t="str">
        <f>mvalloc!F17</f>
        <v> </v>
      </c>
    </row>
    <row r="51" spans="2:5" ht="15.75">
      <c r="B51" s="913" t="s">
        <v>1012</v>
      </c>
      <c r="C51" s="201"/>
      <c r="D51" s="201"/>
      <c r="E51" s="170" t="str">
        <f>mvalloc!G17</f>
        <v> </v>
      </c>
    </row>
    <row r="52" spans="2:5" ht="15.75">
      <c r="B52" s="913" t="s">
        <v>1013</v>
      </c>
      <c r="C52" s="201"/>
      <c r="D52" s="201"/>
      <c r="E52" s="170" t="str">
        <f>mvalloc!H17</f>
        <v> </v>
      </c>
    </row>
    <row r="53" spans="2:5" ht="15.75">
      <c r="B53" s="217"/>
      <c r="C53" s="201"/>
      <c r="D53" s="201"/>
      <c r="E53" s="43"/>
    </row>
    <row r="54" spans="2:5" ht="15.75">
      <c r="B54" s="217"/>
      <c r="C54" s="201"/>
      <c r="D54" s="201"/>
      <c r="E54" s="43"/>
    </row>
    <row r="55" spans="2:5" ht="15.75">
      <c r="B55" s="217"/>
      <c r="C55" s="201"/>
      <c r="D55" s="201"/>
      <c r="E55" s="43"/>
    </row>
    <row r="56" spans="2:10" ht="15.75">
      <c r="B56" s="205" t="s">
        <v>109</v>
      </c>
      <c r="C56" s="201"/>
      <c r="D56" s="201"/>
      <c r="E56" s="43"/>
      <c r="G56" s="1166" t="str">
        <f>CONCATENATE("Desired Carryover Into ",E1+1,"")</f>
        <v>Desired Carryover Into 1</v>
      </c>
      <c r="H56" s="1151"/>
      <c r="I56" s="1151"/>
      <c r="J56" s="1152"/>
    </row>
    <row r="57" spans="2:10" ht="15.75">
      <c r="B57" s="218" t="s">
        <v>12</v>
      </c>
      <c r="C57" s="201"/>
      <c r="D57" s="201"/>
      <c r="E57" s="937">
        <f>nhood!E16*-1</f>
        <v>0</v>
      </c>
      <c r="G57" s="736"/>
      <c r="H57" s="737"/>
      <c r="I57" s="738"/>
      <c r="J57" s="739"/>
    </row>
    <row r="58" spans="2:10" ht="15.75">
      <c r="B58" s="117" t="s">
        <v>13</v>
      </c>
      <c r="C58" s="201"/>
      <c r="D58" s="201"/>
      <c r="E58" s="43"/>
      <c r="G58" s="740" t="s">
        <v>768</v>
      </c>
      <c r="H58" s="738"/>
      <c r="I58" s="738"/>
      <c r="J58" s="741">
        <v>0</v>
      </c>
    </row>
    <row r="59" spans="2:10" ht="15.75">
      <c r="B59" s="196" t="s">
        <v>780</v>
      </c>
      <c r="C59" s="206">
        <f>IF(C60*0.1&lt;C58,"Exceed 10% Rule","")</f>
      </c>
      <c r="D59" s="206">
        <f>IF(D60*0.1&lt;D58,"Exceed 10% Rule","")</f>
      </c>
      <c r="E59" s="243">
        <f>IF(E60*0.1+E78&lt;E58,"Exceed 10% Rule","")</f>
      </c>
      <c r="G59" s="736" t="s">
        <v>769</v>
      </c>
      <c r="H59" s="737"/>
      <c r="I59" s="737"/>
      <c r="J59" s="742">
        <f>IF(J58=0,"",ROUND((J58+E78-G71)/inputOth!E9*1000,3)-G76)</f>
      </c>
    </row>
    <row r="60" spans="2:10" ht="15.75">
      <c r="B60" s="208" t="s">
        <v>110</v>
      </c>
      <c r="C60" s="210">
        <f>SUM(C46:C58)</f>
        <v>0</v>
      </c>
      <c r="D60" s="210">
        <f>SUM(D46:D58)</f>
        <v>0</v>
      </c>
      <c r="E60" s="211">
        <f>SUM(E46:E58)</f>
        <v>0</v>
      </c>
      <c r="G60" s="743" t="str">
        <f>CONCATENATE("",E1," Tot Exp/Non-Appr Must Be:")</f>
        <v>0 Tot Exp/Non-Appr Must Be:</v>
      </c>
      <c r="H60" s="744"/>
      <c r="I60" s="745"/>
      <c r="J60" s="746">
        <f>IF(J58&gt;0,IF(E75&lt;E61,IF(J58=G71,E75,((J58-G71)*(1-D77))+E61),E75+(J58-G71)),0)</f>
        <v>0</v>
      </c>
    </row>
    <row r="61" spans="2:10" ht="15.75">
      <c r="B61" s="208" t="s">
        <v>111</v>
      </c>
      <c r="C61" s="210">
        <f>C44+C60</f>
        <v>0</v>
      </c>
      <c r="D61" s="210">
        <f>D44+D60</f>
        <v>0</v>
      </c>
      <c r="E61" s="211">
        <f>E44+E60</f>
        <v>0</v>
      </c>
      <c r="G61" s="747" t="s">
        <v>804</v>
      </c>
      <c r="H61" s="748"/>
      <c r="I61" s="748"/>
      <c r="J61" s="715">
        <f>IF(J58&gt;0,J60-E75,0)</f>
        <v>0</v>
      </c>
    </row>
    <row r="62" spans="2:10" ht="15.75">
      <c r="B62" s="108" t="s">
        <v>113</v>
      </c>
      <c r="C62" s="218"/>
      <c r="D62" s="218"/>
      <c r="E62" s="42"/>
      <c r="J62" s="2"/>
    </row>
    <row r="63" spans="2:10" ht="15.75">
      <c r="B63" s="217"/>
      <c r="C63" s="201"/>
      <c r="D63" s="201"/>
      <c r="E63" s="43"/>
      <c r="G63" s="1166" t="str">
        <f>CONCATENATE("Projected Carryover Into ",E1+1,"")</f>
        <v>Projected Carryover Into 1</v>
      </c>
      <c r="H63" s="1168"/>
      <c r="I63" s="1168"/>
      <c r="J63" s="1169"/>
    </row>
    <row r="64" spans="2:10" ht="15.75">
      <c r="B64" s="217"/>
      <c r="C64" s="201"/>
      <c r="D64" s="201"/>
      <c r="E64" s="43"/>
      <c r="G64" s="761"/>
      <c r="H64" s="737"/>
      <c r="I64" s="737"/>
      <c r="J64" s="768"/>
    </row>
    <row r="65" spans="2:10" ht="15.75">
      <c r="B65" s="217"/>
      <c r="C65" s="201"/>
      <c r="D65" s="201"/>
      <c r="E65" s="43"/>
      <c r="G65" s="763">
        <f>D72</f>
        <v>0</v>
      </c>
      <c r="H65" s="727" t="str">
        <f>CONCATENATE("",E1-1," Ending Cash Balance (est.)")</f>
        <v>-1 Ending Cash Balance (est.)</v>
      </c>
      <c r="I65" s="764"/>
      <c r="J65" s="768"/>
    </row>
    <row r="66" spans="2:10" ht="15.75">
      <c r="B66" s="217"/>
      <c r="C66" s="201"/>
      <c r="D66" s="201"/>
      <c r="E66" s="43"/>
      <c r="G66" s="763">
        <f>E60</f>
        <v>0</v>
      </c>
      <c r="H66" s="738" t="str">
        <f>CONCATENATE("",E1," Non-AV Receipts (est.)")</f>
        <v>0 Non-AV Receipts (est.)</v>
      </c>
      <c r="I66" s="764"/>
      <c r="J66" s="768"/>
    </row>
    <row r="67" spans="2:11" ht="15.75">
      <c r="B67" s="217"/>
      <c r="C67" s="201"/>
      <c r="D67" s="201"/>
      <c r="E67" s="43"/>
      <c r="G67" s="765">
        <f>IF(D77&gt;0,E76,E78)</f>
        <v>0</v>
      </c>
      <c r="H67" s="738" t="str">
        <f>CONCATENATE("",E1," Ad Valorem Tax (est.)")</f>
        <v>0 Ad Valorem Tax (est.)</v>
      </c>
      <c r="I67" s="764"/>
      <c r="J67" s="768"/>
      <c r="K67" s="720">
        <f>IF(G67=E78,"","Note: Does not include Delinquent Taxes")</f>
      </c>
    </row>
    <row r="68" spans="2:10" ht="15.75">
      <c r="B68" s="218" t="str">
        <f>CONCATENATE("Cash Forward (",E1," column)")</f>
        <v>Cash Forward (0 column)</v>
      </c>
      <c r="C68" s="201"/>
      <c r="D68" s="201"/>
      <c r="E68" s="43"/>
      <c r="G68" s="767">
        <f>SUM(G65:G67)</f>
        <v>0</v>
      </c>
      <c r="H68" s="738" t="str">
        <f>CONCATENATE("Total ",E1," Resources Available")</f>
        <v>Total 0 Resources Available</v>
      </c>
      <c r="I68" s="768"/>
      <c r="J68" s="768"/>
    </row>
    <row r="69" spans="2:10" ht="15.75">
      <c r="B69" s="218" t="s">
        <v>13</v>
      </c>
      <c r="C69" s="201"/>
      <c r="D69" s="201"/>
      <c r="E69" s="43"/>
      <c r="G69" s="769"/>
      <c r="H69" s="770"/>
      <c r="I69" s="737"/>
      <c r="J69" s="768"/>
    </row>
    <row r="70" spans="2:10" ht="15.75">
      <c r="B70" s="218" t="s">
        <v>781</v>
      </c>
      <c r="C70" s="206">
        <f>IF(C71*0.1&lt;C69,"Exceed 10% Rule","")</f>
      </c>
      <c r="D70" s="206">
        <f>IF(D71*0.1&lt;D69,"Exceed 10% Rule","")</f>
      </c>
      <c r="E70" s="243">
        <f>IF(E71*0.1&lt;E69,"Exceed 10% Rule","")</f>
      </c>
      <c r="G70" s="771">
        <f>ROUND(C71*0.05+C71,0)</f>
        <v>0</v>
      </c>
      <c r="H70" s="770" t="str">
        <f>CONCATENATE("Less ",E1-2," Expenditures + 5%")</f>
        <v>Less -2 Expenditures + 5%</v>
      </c>
      <c r="I70" s="768"/>
      <c r="J70" s="768"/>
    </row>
    <row r="71" spans="2:10" ht="15.75">
      <c r="B71" s="208" t="s">
        <v>117</v>
      </c>
      <c r="C71" s="210">
        <f>SUM(C63:C69)</f>
        <v>0</v>
      </c>
      <c r="D71" s="210">
        <f>SUM(D63:D69)</f>
        <v>0</v>
      </c>
      <c r="E71" s="211">
        <f>SUM(E63:E69)</f>
        <v>0</v>
      </c>
      <c r="G71" s="772">
        <f>G68-G70</f>
        <v>0</v>
      </c>
      <c r="H71" s="773" t="str">
        <f>CONCATENATE("Projected ",E1+1," carryover (est.)")</f>
        <v>Projected 1 carryover (est.)</v>
      </c>
      <c r="I71" s="774"/>
      <c r="J71" s="775"/>
    </row>
    <row r="72" spans="2:9" ht="15.75">
      <c r="B72" s="108" t="s">
        <v>212</v>
      </c>
      <c r="C72" s="214">
        <f>C61-C71</f>
        <v>0</v>
      </c>
      <c r="D72" s="214">
        <f>D61-D71</f>
        <v>0</v>
      </c>
      <c r="E72" s="229" t="s">
        <v>91</v>
      </c>
      <c r="G72" s="2"/>
      <c r="H72" s="2"/>
      <c r="I72" s="2"/>
    </row>
    <row r="73" spans="2:10" ht="15.75">
      <c r="B73" s="128" t="str">
        <f>CONCATENATE("",E1-2,"/",E1-1,"/",E1," Budget Authority Amount:")</f>
        <v>-2/-1/0 Budget Authority Amount:</v>
      </c>
      <c r="C73" s="833">
        <f>inputOth!B76</f>
        <v>0</v>
      </c>
      <c r="D73" s="787">
        <f>inputPrYr!D33</f>
        <v>0</v>
      </c>
      <c r="E73" s="170">
        <f>E71</f>
        <v>0</v>
      </c>
      <c r="G73" s="1153" t="s">
        <v>805</v>
      </c>
      <c r="H73" s="1154"/>
      <c r="I73" s="1154"/>
      <c r="J73" s="1155"/>
    </row>
    <row r="74" spans="2:10" ht="15.75">
      <c r="B74" s="94"/>
      <c r="C74" s="1142" t="s">
        <v>626</v>
      </c>
      <c r="D74" s="1143"/>
      <c r="E74" s="67"/>
      <c r="G74" s="726"/>
      <c r="H74" s="727"/>
      <c r="I74" s="728"/>
      <c r="J74" s="729"/>
    </row>
    <row r="75" spans="2:10" ht="15.75">
      <c r="B75" s="484" t="str">
        <f>CONCATENATE(C98,"     ",D98)</f>
        <v>     </v>
      </c>
      <c r="C75" s="1144" t="s">
        <v>627</v>
      </c>
      <c r="D75" s="1145"/>
      <c r="E75" s="170">
        <f>E71+E74</f>
        <v>0</v>
      </c>
      <c r="F75" s="219"/>
      <c r="G75" s="730" t="str">
        <f>summ!H25</f>
        <v>  </v>
      </c>
      <c r="H75" s="727" t="str">
        <f>CONCATENATE("",E1," Fund Mill Rate")</f>
        <v>0 Fund Mill Rate</v>
      </c>
      <c r="I75" s="728"/>
      <c r="J75" s="729"/>
    </row>
    <row r="76" spans="2:10" ht="15.75">
      <c r="B76" s="484" t="str">
        <f>CONCATENATE(C99,"     ",D99)</f>
        <v>     </v>
      </c>
      <c r="C76" s="220"/>
      <c r="D76" s="126" t="s">
        <v>118</v>
      </c>
      <c r="E76" s="56">
        <f>IF(E75-E61&gt;0,E75-E61,0)</f>
        <v>0</v>
      </c>
      <c r="F76" s="822">
        <f>IF(E71/0.95-E71&lt;E74,"Exceeds 5%","")</f>
      </c>
      <c r="G76" s="731" t="str">
        <f>summ!E25</f>
        <v>  </v>
      </c>
      <c r="H76" s="727" t="str">
        <f>CONCATENATE("",E1-1," Fund Mill Rate")</f>
        <v>-1 Fund Mill Rate</v>
      </c>
      <c r="I76" s="728"/>
      <c r="J76" s="729"/>
    </row>
    <row r="77" spans="2:10" ht="15.75">
      <c r="B77" s="94"/>
      <c r="C77" s="330" t="s">
        <v>625</v>
      </c>
      <c r="D77" s="685">
        <f>inputOth!$E$53</f>
        <v>0</v>
      </c>
      <c r="E77" s="170">
        <f>ROUND(IF(D77&gt;0,(E76*D77),0),0)</f>
        <v>0</v>
      </c>
      <c r="G77" s="732">
        <f>summ!H52</f>
        <v>0</v>
      </c>
      <c r="H77" s="727" t="str">
        <f>CONCATENATE("Total ",E1," Mill Rate")</f>
        <v>Total 0 Mill Rate</v>
      </c>
      <c r="I77" s="728"/>
      <c r="J77" s="729"/>
    </row>
    <row r="78" spans="2:10" ht="16.5" thickBot="1">
      <c r="B78" s="126"/>
      <c r="C78" s="1146" t="str">
        <f>CONCATENATE("Amount of  ",$E$1-1," Ad Valorem Tax")</f>
        <v>Amount of  -1 Ad Valorem Tax</v>
      </c>
      <c r="D78" s="1147"/>
      <c r="E78" s="688">
        <f>E76+E77</f>
        <v>0</v>
      </c>
      <c r="G78" s="731">
        <f>summ!E52</f>
        <v>0</v>
      </c>
      <c r="H78" s="733" t="str">
        <f>CONCATENATE("Total ",E1-1," Mill Rate")</f>
        <v>Total -1 Mill Rate</v>
      </c>
      <c r="I78" s="734"/>
      <c r="J78" s="735"/>
    </row>
    <row r="79" spans="2:5" ht="16.5" thickTop="1">
      <c r="B79" s="32"/>
      <c r="C79" s="32"/>
      <c r="D79" s="32"/>
      <c r="E79" s="32"/>
    </row>
    <row r="80" spans="2:10" ht="15.75">
      <c r="B80" s="976" t="s">
        <v>1034</v>
      </c>
      <c r="C80" s="75"/>
      <c r="D80" s="75"/>
      <c r="E80" s="951"/>
      <c r="G80" s="914"/>
      <c r="H80" s="915"/>
      <c r="I80" s="917"/>
      <c r="J80" s="916"/>
    </row>
    <row r="81" spans="2:10" ht="15.75">
      <c r="B81" s="761"/>
      <c r="C81" s="52"/>
      <c r="D81" s="52"/>
      <c r="E81" s="768"/>
      <c r="G81" s="929" t="str">
        <f>CONCATENATE("Computed ",E1," tax levy limit amount")</f>
        <v>Computed 0 tax levy limit amount</v>
      </c>
      <c r="H81" s="919"/>
      <c r="I81" s="919"/>
      <c r="J81" s="920">
        <f>Comp1!J47</f>
        <v>0</v>
      </c>
    </row>
    <row r="82" spans="2:10" ht="15.75">
      <c r="B82" s="695"/>
      <c r="C82" s="47"/>
      <c r="D82" s="47"/>
      <c r="E82" s="55"/>
      <c r="G82" s="930" t="str">
        <f>CONCATENATE("Total ",E1," tax levy amount")</f>
        <v>Total 0 tax levy amount</v>
      </c>
      <c r="H82" s="713"/>
      <c r="I82" s="713"/>
      <c r="J82" s="921">
        <f>summ!G52</f>
        <v>0</v>
      </c>
    </row>
    <row r="83" spans="2:5" ht="15.75">
      <c r="B83" s="32"/>
      <c r="C83" s="32"/>
      <c r="D83" s="32"/>
      <c r="E83" s="32"/>
    </row>
    <row r="84" spans="2:5" ht="15.75">
      <c r="B84" s="94" t="s">
        <v>120</v>
      </c>
      <c r="C84" s="225"/>
      <c r="D84" s="32"/>
      <c r="E84" s="32"/>
    </row>
    <row r="94" ht="15.75" hidden="1"/>
    <row r="95" ht="15.75" hidden="1"/>
    <row r="96" spans="3:4" ht="15.75" hidden="1">
      <c r="C96" s="483">
        <f>IF(C32&gt;C34,"See Tab A","")</f>
      </c>
      <c r="D96" s="483">
        <f>IF(D30&gt;D34,"See Tab C","")</f>
      </c>
    </row>
    <row r="97" spans="3:4" ht="15.75" hidden="1">
      <c r="C97" s="483">
        <f>IF(C33&lt;0,"See Tab B","")</f>
      </c>
      <c r="D97" s="483">
        <f>IF(D33&lt;0,"See Tab D","")</f>
      </c>
    </row>
    <row r="98" spans="3:4" ht="15.75">
      <c r="C98" s="483">
        <f>IF(C69&gt;C73,"See Tab A","")</f>
      </c>
      <c r="D98" s="483">
        <f>IF(D69&gt;D73,"See Tab C","")</f>
      </c>
    </row>
    <row r="99" spans="3:4" ht="15.75">
      <c r="C99" s="483">
        <f>IF(C72&lt;0,"See Tab B","")</f>
      </c>
      <c r="D99" s="483">
        <f>IF(D72&lt;0,"See Tab D","")</f>
      </c>
    </row>
  </sheetData>
  <sheetProtection/>
  <mergeCells count="12">
    <mergeCell ref="C74:D74"/>
    <mergeCell ref="C75:D75"/>
    <mergeCell ref="C35:D35"/>
    <mergeCell ref="C36:D36"/>
    <mergeCell ref="C78:D78"/>
    <mergeCell ref="C39:D39"/>
    <mergeCell ref="G16:J16"/>
    <mergeCell ref="G23:J23"/>
    <mergeCell ref="G33:J33"/>
    <mergeCell ref="G56:J56"/>
    <mergeCell ref="G63:J63"/>
    <mergeCell ref="G73:J73"/>
  </mergeCells>
  <conditionalFormatting sqref="E30">
    <cfRule type="cellIs" priority="3" dxfId="328" operator="greaterThan" stopIfTrue="1">
      <formula>$E$32*0.1</formula>
    </cfRule>
  </conditionalFormatting>
  <conditionalFormatting sqref="E35">
    <cfRule type="cellIs" priority="4" dxfId="328" operator="greaterThan" stopIfTrue="1">
      <formula>$E$32/0.95-$E$32</formula>
    </cfRule>
  </conditionalFormatting>
  <conditionalFormatting sqref="E69">
    <cfRule type="cellIs" priority="5" dxfId="328" operator="greaterThan" stopIfTrue="1">
      <formula>$E$71*0.1</formula>
    </cfRule>
  </conditionalFormatting>
  <conditionalFormatting sqref="E74">
    <cfRule type="cellIs" priority="6" dxfId="328" operator="greaterThan" stopIfTrue="1">
      <formula>$E$71/0.95-$E$71</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2">
    <cfRule type="cellIs" priority="11" dxfId="3" operator="lessThan" stopIfTrue="1">
      <formula>0</formula>
    </cfRule>
  </conditionalFormatting>
  <conditionalFormatting sqref="C69">
    <cfRule type="cellIs" priority="12" dxfId="3" operator="greaterThan" stopIfTrue="1">
      <formula>$C$71*0.1</formula>
    </cfRule>
  </conditionalFormatting>
  <conditionalFormatting sqref="D71">
    <cfRule type="cellIs" priority="13" dxfId="3" operator="greaterThan" stopIfTrue="1">
      <formula>$D$73</formula>
    </cfRule>
  </conditionalFormatting>
  <conditionalFormatting sqref="C71">
    <cfRule type="cellIs" priority="14" dxfId="3" operator="greaterThan" stopIfTrue="1">
      <formula>$C$73</formula>
    </cfRule>
  </conditionalFormatting>
  <conditionalFormatting sqref="D69">
    <cfRule type="cellIs" priority="15" dxfId="3" operator="greaterThan" stopIfTrue="1">
      <formula>$D$71*0.1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28" operator="greaterThan" stopIfTrue="1">
      <formula>$E$60*0.1+E78</formula>
    </cfRule>
  </conditionalFormatting>
  <conditionalFormatting sqref="E19">
    <cfRule type="cellIs" priority="21" dxfId="328" operator="greaterThan" stopIfTrue="1">
      <formula>$E$21*0.1+E39</formula>
    </cfRule>
  </conditionalFormatting>
  <conditionalFormatting sqref="D72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C89" sqref="C89"/>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59765625" style="30" customWidth="1"/>
    <col min="10" max="10" width="10" style="30" customWidth="1"/>
    <col min="11" max="16384" width="8.8984375" style="30" customWidth="1"/>
  </cols>
  <sheetData>
    <row r="1" spans="2:5" ht="15.75">
      <c r="B1" s="140">
        <f>(inputPrYr!D3)</f>
        <v>0</v>
      </c>
      <c r="C1" s="32"/>
      <c r="D1" s="32"/>
      <c r="E1" s="190">
        <f>inputPrYr!C6</f>
        <v>0</v>
      </c>
    </row>
    <row r="2" spans="2:5" ht="15.75">
      <c r="B2" s="32"/>
      <c r="C2" s="32"/>
      <c r="D2" s="32"/>
      <c r="E2" s="126"/>
    </row>
    <row r="3" spans="2:5" ht="15.75">
      <c r="B3" s="191" t="s">
        <v>169</v>
      </c>
      <c r="C3" s="145"/>
      <c r="D3" s="145"/>
      <c r="E3" s="231"/>
    </row>
    <row r="4" spans="2:5" ht="15.75">
      <c r="B4" s="33" t="s">
        <v>101</v>
      </c>
      <c r="C4" s="365" t="s">
        <v>801</v>
      </c>
      <c r="D4" s="364" t="s">
        <v>802</v>
      </c>
      <c r="E4" s="343" t="s">
        <v>803</v>
      </c>
    </row>
    <row r="5" spans="2:5" ht="15.75">
      <c r="B5" s="488">
        <f>inputPrYr!B34</f>
        <v>0</v>
      </c>
      <c r="C5" s="366" t="str">
        <f>CONCATENATE("Actual for ",E1-2,"")</f>
        <v>Actual for -2</v>
      </c>
      <c r="D5" s="366" t="str">
        <f>CONCATENATE("Estimate for ",E1-1,"")</f>
        <v>Estimate for -1</v>
      </c>
      <c r="E5" s="351" t="str">
        <f>CONCATENATE("Year for ",E1,"")</f>
        <v>Year for 0</v>
      </c>
    </row>
    <row r="6" spans="2:5" ht="15.75">
      <c r="B6" s="196" t="s">
        <v>211</v>
      </c>
      <c r="C6" s="201"/>
      <c r="D6" s="199">
        <f>C34</f>
        <v>0</v>
      </c>
      <c r="E6" s="170">
        <f>D34</f>
        <v>0</v>
      </c>
    </row>
    <row r="7" spans="2:5" ht="15.75">
      <c r="B7" s="200" t="s">
        <v>213</v>
      </c>
      <c r="C7" s="117"/>
      <c r="D7" s="117"/>
      <c r="E7" s="58"/>
    </row>
    <row r="8" spans="2:5" ht="15.75">
      <c r="B8" s="108" t="s">
        <v>102</v>
      </c>
      <c r="C8" s="201"/>
      <c r="D8" s="199">
        <f>IF(inputPrYr!H21&gt;0,inputPrYr!G34,inputPrYr!E34)</f>
        <v>0</v>
      </c>
      <c r="E8" s="229" t="s">
        <v>91</v>
      </c>
    </row>
    <row r="9" spans="2:5" ht="15.75">
      <c r="B9" s="108" t="s">
        <v>103</v>
      </c>
      <c r="C9" s="201"/>
      <c r="D9" s="201"/>
      <c r="E9" s="43"/>
    </row>
    <row r="10" spans="2:5" ht="15.75">
      <c r="B10" s="108" t="s">
        <v>104</v>
      </c>
      <c r="C10" s="201"/>
      <c r="D10" s="201"/>
      <c r="E10" s="170" t="str">
        <f>mvalloc!D18</f>
        <v>  </v>
      </c>
    </row>
    <row r="11" spans="2:5" ht="15.75">
      <c r="B11" s="108" t="s">
        <v>105</v>
      </c>
      <c r="C11" s="201"/>
      <c r="D11" s="201"/>
      <c r="E11" s="170" t="str">
        <f>mvalloc!E18</f>
        <v> </v>
      </c>
    </row>
    <row r="12" spans="2:5" ht="15.75">
      <c r="B12" s="117" t="s">
        <v>200</v>
      </c>
      <c r="C12" s="201"/>
      <c r="D12" s="201"/>
      <c r="E12" s="170" t="str">
        <f>mvalloc!F18</f>
        <v> </v>
      </c>
    </row>
    <row r="13" spans="2:5" ht="15.75">
      <c r="B13" s="913" t="s">
        <v>1012</v>
      </c>
      <c r="C13" s="201"/>
      <c r="D13" s="201"/>
      <c r="E13" s="170" t="str">
        <f>mvalloc!G18</f>
        <v> </v>
      </c>
    </row>
    <row r="14" spans="2:5" ht="15.75">
      <c r="B14" s="913" t="s">
        <v>1013</v>
      </c>
      <c r="C14" s="201"/>
      <c r="D14" s="201"/>
      <c r="E14" s="170" t="str">
        <f>mvalloc!H18</f>
        <v> </v>
      </c>
    </row>
    <row r="15" spans="2:5" ht="15.75">
      <c r="B15" s="217"/>
      <c r="C15" s="201"/>
      <c r="D15" s="201"/>
      <c r="E15" s="43"/>
    </row>
    <row r="16" spans="2:5" ht="15.75">
      <c r="B16" s="217"/>
      <c r="C16" s="201"/>
      <c r="D16" s="201"/>
      <c r="E16" s="43"/>
    </row>
    <row r="17" spans="2:5" ht="15.75">
      <c r="B17" s="205" t="s">
        <v>109</v>
      </c>
      <c r="C17" s="201"/>
      <c r="D17" s="201"/>
      <c r="E17" s="43"/>
    </row>
    <row r="18" spans="2:10" ht="15.75">
      <c r="B18" s="218" t="s">
        <v>12</v>
      </c>
      <c r="C18" s="201"/>
      <c r="D18" s="201"/>
      <c r="E18" s="937">
        <f>nhood!E17*-1</f>
        <v>0</v>
      </c>
      <c r="G18" s="1166" t="str">
        <f>CONCATENATE("Desired Carryover Into ",E1+1,"")</f>
        <v>Desired Carryover Into 1</v>
      </c>
      <c r="H18" s="1151"/>
      <c r="I18" s="1151"/>
      <c r="J18" s="1152"/>
    </row>
    <row r="19" spans="2:10" ht="15.75">
      <c r="B19" s="117" t="s">
        <v>13</v>
      </c>
      <c r="C19" s="201"/>
      <c r="D19" s="201"/>
      <c r="E19" s="43"/>
      <c r="G19" s="736"/>
      <c r="H19" s="737"/>
      <c r="I19" s="738"/>
      <c r="J19" s="739"/>
    </row>
    <row r="20" spans="2:10" ht="15.75">
      <c r="B20" s="196" t="s">
        <v>780</v>
      </c>
      <c r="C20" s="206">
        <f>IF(C21*0.1&lt;C19,"Exceed 10% Rule","")</f>
      </c>
      <c r="D20" s="206">
        <f>IF(D21*0.1&lt;D19,"Exceed 10% Rule","")</f>
      </c>
      <c r="E20" s="243">
        <f>IF(E21*0.1+E40&lt;E19,"Exceed 10% Rule","")</f>
      </c>
      <c r="G20" s="740" t="s">
        <v>768</v>
      </c>
      <c r="H20" s="738"/>
      <c r="I20" s="738"/>
      <c r="J20" s="741">
        <v>0</v>
      </c>
    </row>
    <row r="21" spans="2:10" ht="15.75">
      <c r="B21" s="208" t="s">
        <v>110</v>
      </c>
      <c r="C21" s="210">
        <f>SUM(C8:C19)</f>
        <v>0</v>
      </c>
      <c r="D21" s="210">
        <f>SUM(D8:D19)</f>
        <v>0</v>
      </c>
      <c r="E21" s="211">
        <f>SUM(E8:E19)</f>
        <v>0</v>
      </c>
      <c r="G21" s="736" t="s">
        <v>769</v>
      </c>
      <c r="H21" s="737"/>
      <c r="I21" s="737"/>
      <c r="J21" s="742">
        <f>IF(J20=0,"",ROUND((J20+E40-G33)/inputOth!E9*1000,3)-G38)</f>
      </c>
    </row>
    <row r="22" spans="2:10" ht="15.75">
      <c r="B22" s="208" t="s">
        <v>111</v>
      </c>
      <c r="C22" s="210">
        <f>C6+C21</f>
        <v>0</v>
      </c>
      <c r="D22" s="210">
        <f>D6+D21</f>
        <v>0</v>
      </c>
      <c r="E22" s="211">
        <f>E6+E21</f>
        <v>0</v>
      </c>
      <c r="G22" s="743" t="str">
        <f>CONCATENATE("",E1," Tot Exp/Non-Appr Must Be:")</f>
        <v>0 Tot Exp/Non-Appr Must Be:</v>
      </c>
      <c r="H22" s="744"/>
      <c r="I22" s="745"/>
      <c r="J22" s="746">
        <f>IF(J20&gt;0,IF(E37&lt;E22,IF(J20=G33,E37,((J20-G33)*(1-D39))+E22),E37+(J20-G33)),0)</f>
        <v>0</v>
      </c>
    </row>
    <row r="23" spans="2:10" ht="15.75">
      <c r="B23" s="108" t="s">
        <v>113</v>
      </c>
      <c r="C23" s="218"/>
      <c r="D23" s="218"/>
      <c r="E23" s="42"/>
      <c r="G23" s="747" t="s">
        <v>804</v>
      </c>
      <c r="H23" s="748"/>
      <c r="I23" s="748"/>
      <c r="J23" s="715">
        <f>IF(J20&gt;0,J22-E37,0)</f>
        <v>0</v>
      </c>
    </row>
    <row r="24" spans="2:10" ht="15.75">
      <c r="B24" s="217"/>
      <c r="C24" s="201"/>
      <c r="D24" s="201"/>
      <c r="E24" s="43"/>
      <c r="J24" s="2"/>
    </row>
    <row r="25" spans="2:10" ht="15.75">
      <c r="B25" s="217"/>
      <c r="C25" s="201"/>
      <c r="D25" s="201"/>
      <c r="E25" s="43"/>
      <c r="G25" s="1166" t="str">
        <f>CONCATENATE("Projected Carryover Into ",E1+1,"")</f>
        <v>Projected Carryover Into 1</v>
      </c>
      <c r="H25" s="1170"/>
      <c r="I25" s="1170"/>
      <c r="J25" s="1169"/>
    </row>
    <row r="26" spans="2:10" ht="15.75">
      <c r="B26" s="217"/>
      <c r="C26" s="201"/>
      <c r="D26" s="201"/>
      <c r="E26" s="43"/>
      <c r="G26" s="736"/>
      <c r="H26" s="738"/>
      <c r="I26" s="738"/>
      <c r="J26" s="762"/>
    </row>
    <row r="27" spans="2:10" ht="15.75">
      <c r="B27" s="217"/>
      <c r="C27" s="201"/>
      <c r="D27" s="201"/>
      <c r="E27" s="43"/>
      <c r="G27" s="763">
        <f>D34</f>
        <v>0</v>
      </c>
      <c r="H27" s="727" t="str">
        <f>CONCATENATE("",E1-1," Ending Cash Balance (est.)")</f>
        <v>-1 Ending Cash Balance (est.)</v>
      </c>
      <c r="I27" s="764"/>
      <c r="J27" s="762"/>
    </row>
    <row r="28" spans="2:10" ht="15.75">
      <c r="B28" s="217"/>
      <c r="C28" s="201"/>
      <c r="D28" s="201"/>
      <c r="E28" s="43"/>
      <c r="G28" s="763">
        <f>E21</f>
        <v>0</v>
      </c>
      <c r="H28" s="738" t="str">
        <f>CONCATENATE("",E1," Non-AV Receipts (est.)")</f>
        <v>0 Non-AV Receipts (est.)</v>
      </c>
      <c r="I28" s="764"/>
      <c r="J28" s="762"/>
    </row>
    <row r="29" spans="2:11" ht="15.75">
      <c r="B29" s="217"/>
      <c r="C29" s="201"/>
      <c r="D29" s="201"/>
      <c r="E29" s="43"/>
      <c r="G29" s="765">
        <f>IF(E39&gt;0,E38,E40)</f>
        <v>0</v>
      </c>
      <c r="H29" s="738" t="str">
        <f>CONCATENATE("",E1," Ad Valorem Tax (est.)")</f>
        <v>0 Ad Valorem Tax (est.)</v>
      </c>
      <c r="I29" s="764"/>
      <c r="J29" s="750"/>
      <c r="K29" s="720">
        <f>IF(G29=E40,"","Note: Does not include Delinquent Taxes")</f>
      </c>
    </row>
    <row r="30" spans="2:10" ht="15.75">
      <c r="B30" s="218" t="str">
        <f>CONCATENATE("Cash Forward (",E1," column)")</f>
        <v>Cash Forward (0 column)</v>
      </c>
      <c r="C30" s="201"/>
      <c r="D30" s="201"/>
      <c r="E30" s="43"/>
      <c r="G30" s="763">
        <f>SUM(G27:G29)</f>
        <v>0</v>
      </c>
      <c r="H30" s="738" t="str">
        <f>CONCATENATE("Total ",E1," Resources Available")</f>
        <v>Total 0 Resources Available</v>
      </c>
      <c r="I30" s="764"/>
      <c r="J30" s="762"/>
    </row>
    <row r="31" spans="2:10" ht="15.75">
      <c r="B31" s="218" t="s">
        <v>13</v>
      </c>
      <c r="C31" s="201"/>
      <c r="D31" s="201"/>
      <c r="E31" s="43"/>
      <c r="G31" s="782"/>
      <c r="H31" s="738"/>
      <c r="I31" s="738"/>
      <c r="J31" s="762"/>
    </row>
    <row r="32" spans="2:10" ht="15.75">
      <c r="B32" s="218" t="s">
        <v>781</v>
      </c>
      <c r="C32" s="206">
        <f>IF(C33*0.1&lt;C31,"Exceed 10% Rule","")</f>
      </c>
      <c r="D32" s="206">
        <f>IF(D33*0.1&lt;D31,"Exceed 10% Rule","")</f>
      </c>
      <c r="E32" s="243">
        <f>IF(E33*0.1&lt;E31,"Exceed 10% Rule","")</f>
      </c>
      <c r="G32" s="765">
        <f>ROUND(C33*0.05+C33,0)</f>
        <v>0</v>
      </c>
      <c r="H32" s="738" t="str">
        <f>CONCATENATE("Less ",E1-2," Expenditures + 5%")</f>
        <v>Less -2 Expenditures + 5%</v>
      </c>
      <c r="I32" s="764"/>
      <c r="J32" s="762"/>
    </row>
    <row r="33" spans="2:10" ht="15.75">
      <c r="B33" s="208" t="s">
        <v>117</v>
      </c>
      <c r="C33" s="210">
        <f>SUM(C24:C31)</f>
        <v>0</v>
      </c>
      <c r="D33" s="210">
        <f>SUM(D24:D31)</f>
        <v>0</v>
      </c>
      <c r="E33" s="211">
        <f>SUM(E24:E31)</f>
        <v>0</v>
      </c>
      <c r="G33" s="783">
        <f>G30-G32</f>
        <v>0</v>
      </c>
      <c r="H33" s="784" t="str">
        <f>CONCATENATE("Projected ",E1+1," carryover (est.)")</f>
        <v>Projected 1 carryover (est.)</v>
      </c>
      <c r="I33" s="785"/>
      <c r="J33" s="775"/>
    </row>
    <row r="34" spans="2:10" ht="15.75">
      <c r="B34" s="108" t="s">
        <v>212</v>
      </c>
      <c r="C34" s="214">
        <f>C22-C33</f>
        <v>0</v>
      </c>
      <c r="D34" s="214">
        <f>D22-D33</f>
        <v>0</v>
      </c>
      <c r="E34" s="229" t="s">
        <v>91</v>
      </c>
      <c r="G34" s="2"/>
      <c r="H34" s="2"/>
      <c r="I34" s="2"/>
      <c r="J34" s="2"/>
    </row>
    <row r="35" spans="2:10" ht="15.75">
      <c r="B35" s="128" t="str">
        <f>CONCATENATE("",E1-2,"/",E1-1,"/",E1," Budget Authority Amount:")</f>
        <v>-2/-1/0 Budget Authority Amount:</v>
      </c>
      <c r="C35" s="787">
        <f>inputOth!B77</f>
        <v>0</v>
      </c>
      <c r="D35" s="787">
        <f>inputPrYr!D34</f>
        <v>0</v>
      </c>
      <c r="E35" s="170">
        <f>E33</f>
        <v>0</v>
      </c>
      <c r="G35" s="1153" t="s">
        <v>805</v>
      </c>
      <c r="H35" s="1154"/>
      <c r="I35" s="1154"/>
      <c r="J35" s="1155"/>
    </row>
    <row r="36" spans="2:10" ht="15.75">
      <c r="B36" s="94"/>
      <c r="C36" s="1142" t="s">
        <v>626</v>
      </c>
      <c r="D36" s="1143"/>
      <c r="E36" s="43"/>
      <c r="G36" s="726"/>
      <c r="H36" s="727"/>
      <c r="I36" s="728"/>
      <c r="J36" s="729"/>
    </row>
    <row r="37" spans="2:10" ht="15.75">
      <c r="B37" s="484" t="str">
        <f>CONCATENATE(C97,"     ",D97)</f>
        <v>     </v>
      </c>
      <c r="C37" s="1144" t="s">
        <v>627</v>
      </c>
      <c r="D37" s="1145"/>
      <c r="E37" s="170">
        <f>E33+E36</f>
        <v>0</v>
      </c>
      <c r="F37" s="219"/>
      <c r="G37" s="730" t="str">
        <f>summ!H26</f>
        <v>  </v>
      </c>
      <c r="H37" s="727" t="str">
        <f>CONCATENATE("",E1," Fund Mill Rate")</f>
        <v>0 Fund Mill Rate</v>
      </c>
      <c r="I37" s="728"/>
      <c r="J37" s="729"/>
    </row>
    <row r="38" spans="2:10" ht="15.75">
      <c r="B38" s="484" t="str">
        <f>CONCATENATE(C98,"     ",D98)</f>
        <v>     </v>
      </c>
      <c r="C38" s="220"/>
      <c r="D38" s="126" t="s">
        <v>118</v>
      </c>
      <c r="E38" s="56">
        <f>IF(E37-E22&gt;0,E37-E22,0)</f>
        <v>0</v>
      </c>
      <c r="F38" s="822">
        <f>IF(E33/0.95-E33&lt;E36,"Exceeds 5%","")</f>
      </c>
      <c r="G38" s="731" t="str">
        <f>summ!E26</f>
        <v>  </v>
      </c>
      <c r="H38" s="727" t="str">
        <f>CONCATENATE("",E1-1," Fund Mill Rate")</f>
        <v>-1 Fund Mill Rate</v>
      </c>
      <c r="I38" s="728"/>
      <c r="J38" s="729"/>
    </row>
    <row r="39" spans="2:10" ht="15.75">
      <c r="B39" s="126"/>
      <c r="C39" s="330" t="s">
        <v>625</v>
      </c>
      <c r="D39" s="685">
        <f>inputOth!$E$53</f>
        <v>0</v>
      </c>
      <c r="E39" s="170">
        <f>ROUND(IF(D39&gt;0,(E38*D39),0),0)</f>
        <v>0</v>
      </c>
      <c r="G39" s="732">
        <f>summ!H52</f>
        <v>0</v>
      </c>
      <c r="H39" s="727" t="str">
        <f>CONCATENATE("Total ",E1," Mill Rate")</f>
        <v>Total 0 Mill Rate</v>
      </c>
      <c r="I39" s="728"/>
      <c r="J39" s="729"/>
    </row>
    <row r="40" spans="2:10" ht="16.5" thickBot="1">
      <c r="B40" s="32"/>
      <c r="C40" s="1146" t="str">
        <f>CONCATENATE("Amount of  ",$E$1-1," Ad Valorem Tax")</f>
        <v>Amount of  -1 Ad Valorem Tax</v>
      </c>
      <c r="D40" s="1147"/>
      <c r="E40" s="688">
        <f>E38+E39</f>
        <v>0</v>
      </c>
      <c r="G40" s="731">
        <f>summ!E52</f>
        <v>0</v>
      </c>
      <c r="H40" s="733" t="str">
        <f>CONCATENATE("Total ",E1-1," Mill Rate")</f>
        <v>Total -1 Mill Rate</v>
      </c>
      <c r="I40" s="734"/>
      <c r="J40" s="735"/>
    </row>
    <row r="41" spans="2:5" ht="16.5" thickTop="1">
      <c r="B41" s="32"/>
      <c r="C41" s="32"/>
      <c r="D41" s="32"/>
      <c r="E41" s="32"/>
    </row>
    <row r="42" spans="2:10" ht="15.75">
      <c r="B42" s="33"/>
      <c r="C42" s="100"/>
      <c r="D42" s="100"/>
      <c r="E42" s="100"/>
      <c r="G42" s="914"/>
      <c r="H42" s="915"/>
      <c r="I42" s="917"/>
      <c r="J42" s="916"/>
    </row>
    <row r="43" spans="2:10" ht="15.75">
      <c r="B43" s="33" t="s">
        <v>101</v>
      </c>
      <c r="C43" s="365" t="s">
        <v>801</v>
      </c>
      <c r="D43" s="364" t="s">
        <v>802</v>
      </c>
      <c r="E43" s="343" t="s">
        <v>803</v>
      </c>
      <c r="G43" s="929" t="str">
        <f>CONCATENATE("Computed ",E1," tax levy limit amount")</f>
        <v>Computed 0 tax levy limit amount</v>
      </c>
      <c r="H43" s="919"/>
      <c r="I43" s="919"/>
      <c r="J43" s="920">
        <f>Comp1!J47</f>
        <v>0</v>
      </c>
    </row>
    <row r="44" spans="2:10" ht="15.75">
      <c r="B44" s="488">
        <f>inputPrYr!B35</f>
        <v>0</v>
      </c>
      <c r="C44" s="366" t="str">
        <f>CONCATENATE("Actual for ",E1-2,"")</f>
        <v>Actual for -2</v>
      </c>
      <c r="D44" s="366" t="str">
        <f>CONCATENATE("Estimate for ",E1-1,"")</f>
        <v>Estimate for -1</v>
      </c>
      <c r="E44" s="351" t="str">
        <f>CONCATENATE("Year for ",E1,"")</f>
        <v>Year for 0</v>
      </c>
      <c r="G44" s="930" t="str">
        <f>CONCATENATE("Total ",E1," tax levy amount")</f>
        <v>Total 0 tax levy amount</v>
      </c>
      <c r="H44" s="713"/>
      <c r="I44" s="713"/>
      <c r="J44" s="921">
        <f>summ!G52</f>
        <v>0</v>
      </c>
    </row>
    <row r="45" spans="2:5" ht="15.75">
      <c r="B45" s="196" t="s">
        <v>211</v>
      </c>
      <c r="C45" s="201"/>
      <c r="D45" s="199">
        <f>C73</f>
        <v>0</v>
      </c>
      <c r="E45" s="170">
        <f>D73</f>
        <v>0</v>
      </c>
    </row>
    <row r="46" spans="2:5" ht="15.75">
      <c r="B46" s="200" t="s">
        <v>213</v>
      </c>
      <c r="C46" s="117"/>
      <c r="D46" s="117"/>
      <c r="E46" s="58"/>
    </row>
    <row r="47" spans="2:5" ht="15.75">
      <c r="B47" s="108" t="s">
        <v>102</v>
      </c>
      <c r="C47" s="201"/>
      <c r="D47" s="199">
        <f>IF(inputPrYr!H21&gt;0,inputPrYr!G35,inputPrYr!E35)</f>
        <v>0</v>
      </c>
      <c r="E47" s="229" t="s">
        <v>91</v>
      </c>
    </row>
    <row r="48" spans="2:5" ht="15.75">
      <c r="B48" s="108" t="s">
        <v>103</v>
      </c>
      <c r="C48" s="201"/>
      <c r="D48" s="201"/>
      <c r="E48" s="43"/>
    </row>
    <row r="49" spans="2:5" ht="15.75">
      <c r="B49" s="108" t="s">
        <v>104</v>
      </c>
      <c r="C49" s="201"/>
      <c r="D49" s="201"/>
      <c r="E49" s="170" t="str">
        <f>mvalloc!D19</f>
        <v>  </v>
      </c>
    </row>
    <row r="50" spans="2:5" ht="15.75">
      <c r="B50" s="108" t="s">
        <v>105</v>
      </c>
      <c r="C50" s="201"/>
      <c r="D50" s="201"/>
      <c r="E50" s="170" t="str">
        <f>mvalloc!E19</f>
        <v> </v>
      </c>
    </row>
    <row r="51" spans="2:5" ht="15.75">
      <c r="B51" s="117" t="s">
        <v>200</v>
      </c>
      <c r="C51" s="201"/>
      <c r="D51" s="201"/>
      <c r="E51" s="170" t="str">
        <f>mvalloc!F19</f>
        <v> </v>
      </c>
    </row>
    <row r="52" spans="2:5" ht="15.75">
      <c r="B52" s="913" t="s">
        <v>1012</v>
      </c>
      <c r="C52" s="201"/>
      <c r="D52" s="201"/>
      <c r="E52" s="170" t="str">
        <f>mvalloc!G19</f>
        <v> </v>
      </c>
    </row>
    <row r="53" spans="2:5" ht="15.75">
      <c r="B53" s="913" t="s">
        <v>1013</v>
      </c>
      <c r="C53" s="201"/>
      <c r="D53" s="201"/>
      <c r="E53" s="170" t="str">
        <f>mvalloc!H19</f>
        <v> </v>
      </c>
    </row>
    <row r="54" spans="2:5" ht="15.75">
      <c r="B54" s="217"/>
      <c r="C54" s="201"/>
      <c r="D54" s="201"/>
      <c r="E54" s="43"/>
    </row>
    <row r="55" spans="2:5" ht="15.75">
      <c r="B55" s="217"/>
      <c r="C55" s="201"/>
      <c r="D55" s="201"/>
      <c r="E55" s="43"/>
    </row>
    <row r="56" spans="2:5" ht="15.75">
      <c r="B56" s="205" t="s">
        <v>109</v>
      </c>
      <c r="C56" s="201"/>
      <c r="D56" s="201"/>
      <c r="E56" s="43"/>
    </row>
    <row r="57" spans="2:5" ht="15.75">
      <c r="B57" s="218" t="s">
        <v>12</v>
      </c>
      <c r="C57" s="201"/>
      <c r="D57" s="201"/>
      <c r="E57" s="937">
        <f>nhood!E18*-1</f>
        <v>0</v>
      </c>
    </row>
    <row r="58" spans="2:5" ht="15.75">
      <c r="B58" s="117" t="s">
        <v>13</v>
      </c>
      <c r="C58" s="201"/>
      <c r="D58" s="201"/>
      <c r="E58" s="43"/>
    </row>
    <row r="59" spans="2:5" ht="15.75">
      <c r="B59" s="196" t="s">
        <v>780</v>
      </c>
      <c r="C59" s="206">
        <f>IF(C60*0.1&lt;C58,"Exceed 10% Rule","")</f>
      </c>
      <c r="D59" s="206">
        <f>IF(D60*0.1&lt;D58,"Exceed 10% Rule","")</f>
      </c>
      <c r="E59" s="243">
        <f>IF(E60*0.1+E79&lt;E58,"Exceed 10% Rule","")</f>
      </c>
    </row>
    <row r="60" spans="2:10" ht="15.75">
      <c r="B60" s="208" t="s">
        <v>110</v>
      </c>
      <c r="C60" s="210">
        <f>SUM(C47:C58)</f>
        <v>0</v>
      </c>
      <c r="D60" s="210">
        <f>SUM(D47:D58)</f>
        <v>0</v>
      </c>
      <c r="E60" s="211">
        <f>SUM(E47:E58)</f>
        <v>0</v>
      </c>
      <c r="G60" s="1166" t="str">
        <f>CONCATENATE("Desired Carryover Into ",E1+1,"")</f>
        <v>Desired Carryover Into 1</v>
      </c>
      <c r="H60" s="1151"/>
      <c r="I60" s="1151"/>
      <c r="J60" s="1152"/>
    </row>
    <row r="61" spans="2:10" ht="15.75">
      <c r="B61" s="208" t="s">
        <v>111</v>
      </c>
      <c r="C61" s="210">
        <f>C45+C60</f>
        <v>0</v>
      </c>
      <c r="D61" s="210">
        <f>D45+D60</f>
        <v>0</v>
      </c>
      <c r="E61" s="211">
        <f>E45+E60</f>
        <v>0</v>
      </c>
      <c r="G61" s="736"/>
      <c r="H61" s="737"/>
      <c r="I61" s="738"/>
      <c r="J61" s="739"/>
    </row>
    <row r="62" spans="2:10" ht="15.75">
      <c r="B62" s="108" t="s">
        <v>113</v>
      </c>
      <c r="C62" s="218"/>
      <c r="D62" s="218"/>
      <c r="E62" s="42"/>
      <c r="G62" s="740" t="s">
        <v>768</v>
      </c>
      <c r="H62" s="738"/>
      <c r="I62" s="738"/>
      <c r="J62" s="741">
        <v>0</v>
      </c>
    </row>
    <row r="63" spans="2:10" ht="15.75">
      <c r="B63" s="217"/>
      <c r="C63" s="201"/>
      <c r="D63" s="201"/>
      <c r="E63" s="43"/>
      <c r="G63" s="736" t="s">
        <v>769</v>
      </c>
      <c r="H63" s="737"/>
      <c r="I63" s="737"/>
      <c r="J63" s="742">
        <f>IF(J62=0,"",ROUND((J62+E79-G75)/inputOth!E9*1000,3)-G80)</f>
      </c>
    </row>
    <row r="64" spans="2:10" ht="15.75">
      <c r="B64" s="217"/>
      <c r="C64" s="201"/>
      <c r="D64" s="201"/>
      <c r="E64" s="43"/>
      <c r="G64" s="743" t="str">
        <f>CONCATENATE("",E1," Tot Exp/Non-Appr Must Be:")</f>
        <v>0 Tot Exp/Non-Appr Must Be:</v>
      </c>
      <c r="H64" s="744"/>
      <c r="I64" s="745"/>
      <c r="J64" s="746">
        <f>IF(J62&gt;0,IF(E76&lt;E61,IF(J62=G75,E76,((J62-G75)*(1-D78))+E61),E76+(J62-G75)),0)</f>
        <v>0</v>
      </c>
    </row>
    <row r="65" spans="2:10" ht="15.75">
      <c r="B65" s="217"/>
      <c r="C65" s="201"/>
      <c r="D65" s="201"/>
      <c r="E65" s="43"/>
      <c r="G65" s="747" t="s">
        <v>804</v>
      </c>
      <c r="H65" s="748"/>
      <c r="I65" s="748"/>
      <c r="J65" s="715">
        <f>IF(J62&gt;0,J64-E77,0)</f>
        <v>0</v>
      </c>
    </row>
    <row r="66" spans="2:10" ht="15.75">
      <c r="B66" s="217"/>
      <c r="C66" s="201"/>
      <c r="D66" s="201"/>
      <c r="E66" s="43"/>
      <c r="J66" s="2"/>
    </row>
    <row r="67" spans="2:10" ht="15.75">
      <c r="B67" s="217"/>
      <c r="C67" s="201"/>
      <c r="D67" s="201"/>
      <c r="E67" s="43"/>
      <c r="G67" s="1166" t="str">
        <f>CONCATENATE("Projected Carryover Into ",E1+1,"")</f>
        <v>Projected Carryover Into 1</v>
      </c>
      <c r="H67" s="1168"/>
      <c r="I67" s="1168"/>
      <c r="J67" s="1169"/>
    </row>
    <row r="68" spans="2:10" ht="15.75">
      <c r="B68" s="217"/>
      <c r="C68" s="201"/>
      <c r="D68" s="201"/>
      <c r="E68" s="43"/>
      <c r="G68" s="761"/>
      <c r="H68" s="737"/>
      <c r="I68" s="737"/>
      <c r="J68" s="768"/>
    </row>
    <row r="69" spans="2:10" ht="15.75">
      <c r="B69" s="218" t="str">
        <f>CONCATENATE("Cash Forward (",E1," column)")</f>
        <v>Cash Forward (0 column)</v>
      </c>
      <c r="C69" s="201"/>
      <c r="D69" s="201"/>
      <c r="E69" s="43"/>
      <c r="G69" s="763">
        <f>D73</f>
        <v>0</v>
      </c>
      <c r="H69" s="727" t="str">
        <f>CONCATENATE("",E1-1," Ending Cash Balance (est.)")</f>
        <v>-1 Ending Cash Balance (est.)</v>
      </c>
      <c r="I69" s="764"/>
      <c r="J69" s="768"/>
    </row>
    <row r="70" spans="2:10" ht="15.75">
      <c r="B70" s="218" t="s">
        <v>13</v>
      </c>
      <c r="C70" s="201"/>
      <c r="D70" s="201"/>
      <c r="E70" s="43"/>
      <c r="G70" s="763">
        <f>E60</f>
        <v>0</v>
      </c>
      <c r="H70" s="738" t="str">
        <f>CONCATENATE("",E1," Non-AV Receipts (est.)")</f>
        <v>0 Non-AV Receipts (est.)</v>
      </c>
      <c r="I70" s="764"/>
      <c r="J70" s="768"/>
    </row>
    <row r="71" spans="2:11" ht="15.75">
      <c r="B71" s="218" t="s">
        <v>781</v>
      </c>
      <c r="C71" s="206">
        <f>IF(C72*0.1&lt;C70,"Exceed 10% Rule","")</f>
      </c>
      <c r="D71" s="206">
        <f>IF(D72*0.1&lt;D70,"Exceed 10% Rule","")</f>
      </c>
      <c r="E71" s="243">
        <f>IF(E72*0.1&lt;E70,"Exceed 10% Rule","")</f>
      </c>
      <c r="G71" s="765">
        <f>IF(D78&gt;0,E77,E79)</f>
        <v>0</v>
      </c>
      <c r="H71" s="738" t="str">
        <f>CONCATENATE("",E1," Ad Valorem Tax (est.)")</f>
        <v>0 Ad Valorem Tax (est.)</v>
      </c>
      <c r="I71" s="764"/>
      <c r="J71" s="768"/>
      <c r="K71" s="720">
        <f>IF(G71=E79,"","Note: Does not include Delinquent Taxes")</f>
      </c>
    </row>
    <row r="72" spans="2:10" ht="15.75">
      <c r="B72" s="208" t="s">
        <v>117</v>
      </c>
      <c r="C72" s="210">
        <f>SUM(C63:C70)</f>
        <v>0</v>
      </c>
      <c r="D72" s="210">
        <f>SUM(D63:D70)</f>
        <v>0</v>
      </c>
      <c r="E72" s="211">
        <f>SUM(E63:E70)</f>
        <v>0</v>
      </c>
      <c r="G72" s="767">
        <f>SUM(G69:G71)</f>
        <v>0</v>
      </c>
      <c r="H72" s="738" t="str">
        <f>CONCATENATE("Total ",E1," Resources Available")</f>
        <v>Total 0 Resources Available</v>
      </c>
      <c r="I72" s="768"/>
      <c r="J72" s="768"/>
    </row>
    <row r="73" spans="2:10" ht="15.75">
      <c r="B73" s="108" t="s">
        <v>212</v>
      </c>
      <c r="C73" s="214">
        <f>C61-C72</f>
        <v>0</v>
      </c>
      <c r="D73" s="214">
        <f>D61-D72</f>
        <v>0</v>
      </c>
      <c r="E73" s="229" t="s">
        <v>91</v>
      </c>
      <c r="G73" s="769"/>
      <c r="H73" s="770"/>
      <c r="I73" s="737"/>
      <c r="J73" s="768"/>
    </row>
    <row r="74" spans="2:10" ht="15.75">
      <c r="B74" s="128" t="str">
        <f>CONCATENATE("",E1-2,"/",E1-1,"/",E1," Budget Authority Amount:")</f>
        <v>-2/-1/0 Budget Authority Amount:</v>
      </c>
      <c r="C74" s="787">
        <f>inputOth!B78</f>
        <v>0</v>
      </c>
      <c r="D74" s="787">
        <f>inputPrYr!D35</f>
        <v>0</v>
      </c>
      <c r="E74" s="170">
        <f>E72</f>
        <v>0</v>
      </c>
      <c r="G74" s="771">
        <f>ROUND(C72*0.05+C72,0)</f>
        <v>0</v>
      </c>
      <c r="H74" s="770" t="str">
        <f>CONCATENATE("Less ",E1-2," Expenditures + 5%")</f>
        <v>Less -2 Expenditures + 5%</v>
      </c>
      <c r="I74" s="768"/>
      <c r="J74" s="768"/>
    </row>
    <row r="75" spans="2:10" ht="15.75">
      <c r="B75" s="94"/>
      <c r="C75" s="1142" t="s">
        <v>626</v>
      </c>
      <c r="D75" s="1143"/>
      <c r="E75" s="43"/>
      <c r="G75" s="772">
        <f>G72-G74</f>
        <v>0</v>
      </c>
      <c r="H75" s="773" t="str">
        <f>CONCATENATE("Projected ",E1+1," carryover (est.)")</f>
        <v>Projected 1 carryover (est.)</v>
      </c>
      <c r="I75" s="774"/>
      <c r="J75" s="775"/>
    </row>
    <row r="76" spans="2:9" ht="15.75">
      <c r="B76" s="484" t="str">
        <f>CONCATENATE(C99,"     ",D99)</f>
        <v>     </v>
      </c>
      <c r="C76" s="1144" t="s">
        <v>627</v>
      </c>
      <c r="D76" s="1145"/>
      <c r="E76" s="170">
        <f>E72+E75</f>
        <v>0</v>
      </c>
      <c r="G76" s="2"/>
      <c r="H76" s="2"/>
      <c r="I76" s="2"/>
    </row>
    <row r="77" spans="2:10" ht="15.75">
      <c r="B77" s="484" t="str">
        <f>CONCATENATE(C100,"     ",D100)</f>
        <v>     </v>
      </c>
      <c r="C77" s="220"/>
      <c r="D77" s="126" t="s">
        <v>118</v>
      </c>
      <c r="E77" s="56">
        <f>IF(E76-E61&gt;0,E76-E61,0)</f>
        <v>0</v>
      </c>
      <c r="G77" s="1153" t="s">
        <v>805</v>
      </c>
      <c r="H77" s="1154"/>
      <c r="I77" s="1154"/>
      <c r="J77" s="1155"/>
    </row>
    <row r="78" spans="2:10" ht="15.75">
      <c r="B78" s="94"/>
      <c r="C78" s="330" t="s">
        <v>625</v>
      </c>
      <c r="D78" s="685">
        <f>inputOth!$E$53</f>
        <v>0</v>
      </c>
      <c r="E78" s="170">
        <f>ROUND(IF(D78&gt;0,(E77*D78),0),0)</f>
        <v>0</v>
      </c>
      <c r="G78" s="726"/>
      <c r="H78" s="727"/>
      <c r="I78" s="728"/>
      <c r="J78" s="729"/>
    </row>
    <row r="79" spans="2:10" ht="16.5" thickBot="1">
      <c r="B79" s="126"/>
      <c r="C79" s="1146" t="str">
        <f>CONCATENATE("Amount of  ",$E$1-1," Ad Valorem Tax")</f>
        <v>Amount of  -1 Ad Valorem Tax</v>
      </c>
      <c r="D79" s="1147"/>
      <c r="E79" s="688">
        <f>E77+E78</f>
        <v>0</v>
      </c>
      <c r="F79" s="219"/>
      <c r="G79" s="730" t="str">
        <f>summ!H27</f>
        <v>  </v>
      </c>
      <c r="H79" s="727" t="str">
        <f>CONCATENATE("",E1," Fund Mill Rate")</f>
        <v>0 Fund Mill Rate</v>
      </c>
      <c r="I79" s="728"/>
      <c r="J79" s="729"/>
    </row>
    <row r="80" spans="2:10" ht="16.5" thickTop="1">
      <c r="B80" s="32"/>
      <c r="C80" s="32"/>
      <c r="D80" s="32"/>
      <c r="E80" s="32"/>
      <c r="F80" s="822">
        <f>IF(E72/0.95-E72&lt;E75,"Exceeds 5%","")</f>
      </c>
      <c r="G80" s="731" t="str">
        <f>summ!E27</f>
        <v>  </v>
      </c>
      <c r="H80" s="727" t="str">
        <f>CONCATENATE("",E1-1," Fund Mill Rate")</f>
        <v>-1 Fund Mill Rate</v>
      </c>
      <c r="I80" s="728"/>
      <c r="J80" s="729"/>
    </row>
    <row r="81" spans="2:10" ht="15.75">
      <c r="B81" s="976" t="s">
        <v>1034</v>
      </c>
      <c r="C81" s="75"/>
      <c r="D81" s="75"/>
      <c r="E81" s="951"/>
      <c r="G81" s="732">
        <f>summ!H52</f>
        <v>0</v>
      </c>
      <c r="H81" s="727" t="str">
        <f>CONCATENATE("Total ",E1," Mill Rate")</f>
        <v>Total 0 Mill Rate</v>
      </c>
      <c r="I81" s="728"/>
      <c r="J81" s="729"/>
    </row>
    <row r="82" spans="2:10" ht="15.75">
      <c r="B82" s="761"/>
      <c r="C82" s="52"/>
      <c r="D82" s="52"/>
      <c r="E82" s="768"/>
      <c r="G82" s="731">
        <f>summ!E52</f>
        <v>0</v>
      </c>
      <c r="H82" s="733" t="str">
        <f>CONCATENATE("Total ",E1-1," Mill Rate")</f>
        <v>Total -1 Mill Rate</v>
      </c>
      <c r="I82" s="734"/>
      <c r="J82" s="735"/>
    </row>
    <row r="83" spans="2:5" ht="15.75">
      <c r="B83" s="695"/>
      <c r="C83" s="47"/>
      <c r="D83" s="47"/>
      <c r="E83" s="55"/>
    </row>
    <row r="84" spans="2:10" ht="15.75">
      <c r="B84" s="32"/>
      <c r="C84" s="32"/>
      <c r="D84" s="32"/>
      <c r="E84" s="32"/>
      <c r="G84" s="914"/>
      <c r="H84" s="915"/>
      <c r="I84" s="917"/>
      <c r="J84" s="916"/>
    </row>
    <row r="85" spans="2:10" ht="15.75">
      <c r="B85" s="94" t="s">
        <v>120</v>
      </c>
      <c r="C85" s="225"/>
      <c r="D85" s="32"/>
      <c r="E85" s="32"/>
      <c r="G85" s="929" t="str">
        <f>CONCATENATE("Computed ",E1," tax levy limit amount")</f>
        <v>Computed 0 tax levy limit amount</v>
      </c>
      <c r="H85" s="919"/>
      <c r="I85" s="919"/>
      <c r="J85" s="920">
        <f>Comp1!J47</f>
        <v>0</v>
      </c>
    </row>
    <row r="86" spans="7:10" ht="15.75">
      <c r="G86" s="930" t="str">
        <f>CONCATENATE("Total ",E1," tax levy amount")</f>
        <v>Total 0 tax levy amount</v>
      </c>
      <c r="H86" s="713"/>
      <c r="I86" s="713"/>
      <c r="J86" s="921">
        <f>summ!G52</f>
        <v>0</v>
      </c>
    </row>
    <row r="97" spans="3:4" ht="15.75">
      <c r="C97" s="483">
        <f>IF(C33&gt;C35,"See Tab A","")</f>
      </c>
      <c r="D97" s="483">
        <f>IF(D31&gt;D35,"See Tab C","")</f>
      </c>
    </row>
    <row r="98" spans="3:4" ht="15.75" hidden="1">
      <c r="C98" s="483">
        <f>IF(C34&lt;0,"See Tab B","")</f>
      </c>
      <c r="D98" s="483">
        <f>IF(D34&lt;0,"See Tab D","")</f>
      </c>
    </row>
    <row r="99" spans="3:4" ht="15.75" hidden="1">
      <c r="C99" s="483">
        <f>IF(C70&gt;C74,"See Tab A","")</f>
      </c>
      <c r="D99" s="483">
        <f>IF(D70&gt;D74,"See Tab C","")</f>
      </c>
    </row>
    <row r="100" spans="3:4" ht="15.75" hidden="1">
      <c r="C100" s="483">
        <f>IF(C73&lt;0,"See Tab B","")</f>
      </c>
      <c r="D100" s="483">
        <f>IF(D73&lt;0,"See Tab D","")</f>
      </c>
    </row>
    <row r="101" ht="15.75" hidden="1"/>
  </sheetData>
  <sheetProtection/>
  <mergeCells count="12">
    <mergeCell ref="C36:D36"/>
    <mergeCell ref="C37:D37"/>
    <mergeCell ref="C79:D79"/>
    <mergeCell ref="C40:D40"/>
    <mergeCell ref="C75:D75"/>
    <mergeCell ref="C76:D76"/>
    <mergeCell ref="G18:J18"/>
    <mergeCell ref="G25:J25"/>
    <mergeCell ref="G35:J35"/>
    <mergeCell ref="G60:J60"/>
    <mergeCell ref="G67:J67"/>
    <mergeCell ref="G77:J77"/>
  </mergeCells>
  <conditionalFormatting sqref="E31">
    <cfRule type="cellIs" priority="3" dxfId="328" operator="greaterThan" stopIfTrue="1">
      <formula>$E$33*0.1</formula>
    </cfRule>
  </conditionalFormatting>
  <conditionalFormatting sqref="E36">
    <cfRule type="cellIs" priority="4" dxfId="328" operator="greaterThan" stopIfTrue="1">
      <formula>$E$33/0.95-$E$33</formula>
    </cfRule>
  </conditionalFormatting>
  <conditionalFormatting sqref="E70">
    <cfRule type="cellIs" priority="5" dxfId="328" operator="greaterThan" stopIfTrue="1">
      <formula>$E$72*0.1</formula>
    </cfRule>
  </conditionalFormatting>
  <conditionalFormatting sqref="E75">
    <cfRule type="cellIs" priority="6" dxfId="328" operator="greaterThan" stopIfTrue="1">
      <formula>$E$72/0.95-$E$72</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3">
    <cfRule type="cellIs" priority="11" dxfId="3" operator="lessThan" stopIfTrue="1">
      <formula>0</formula>
    </cfRule>
  </conditionalFormatting>
  <conditionalFormatting sqref="C70">
    <cfRule type="cellIs" priority="12" dxfId="3" operator="greaterThan" stopIfTrue="1">
      <formula>$C$72*0.1</formula>
    </cfRule>
  </conditionalFormatting>
  <conditionalFormatting sqref="D70">
    <cfRule type="cellIs" priority="13" dxfId="3" operator="greaterThan" stopIfTrue="1">
      <formula>$D$72*0.1</formula>
    </cfRule>
  </conditionalFormatting>
  <conditionalFormatting sqref="D72">
    <cfRule type="cellIs" priority="14" dxfId="3" operator="greaterThan" stopIfTrue="1">
      <formula>$D$74</formula>
    </cfRule>
  </conditionalFormatting>
  <conditionalFormatting sqref="C72">
    <cfRule type="cellIs" priority="15" dxfId="3" operator="greaterThan" stopIfTrue="1">
      <formula>$C$74</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28" operator="greaterThan" stopIfTrue="1">
      <formula>$E$60*0.1+E79</formula>
    </cfRule>
  </conditionalFormatting>
  <conditionalFormatting sqref="E19">
    <cfRule type="cellIs" priority="21" dxfId="328" operator="greaterThan" stopIfTrue="1">
      <formula>$E$21*0.1+E40</formula>
    </cfRule>
  </conditionalFormatting>
  <conditionalFormatting sqref="D73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82" sqref="C82"/>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16384" width="8.8984375" style="30" customWidth="1"/>
  </cols>
  <sheetData>
    <row r="1" spans="2:5" ht="15.75">
      <c r="B1" s="140">
        <f>(inputPrYr!D3)</f>
        <v>0</v>
      </c>
      <c r="C1" s="32"/>
      <c r="D1" s="32"/>
      <c r="E1" s="190">
        <f>inputPrYr!C6</f>
        <v>0</v>
      </c>
    </row>
    <row r="2" spans="2:5" ht="15.75">
      <c r="B2" s="32"/>
      <c r="C2" s="32"/>
      <c r="D2" s="32"/>
      <c r="E2" s="126"/>
    </row>
    <row r="3" spans="2:5" ht="15.75">
      <c r="B3" s="191" t="s">
        <v>170</v>
      </c>
      <c r="C3" s="232"/>
      <c r="D3" s="232"/>
      <c r="E3" s="232"/>
    </row>
    <row r="4" spans="2:5" ht="15.75">
      <c r="B4" s="33" t="s">
        <v>101</v>
      </c>
      <c r="C4" s="365" t="s">
        <v>801</v>
      </c>
      <c r="D4" s="364" t="s">
        <v>802</v>
      </c>
      <c r="E4" s="343" t="s">
        <v>803</v>
      </c>
    </row>
    <row r="5" spans="2:5" ht="15.75">
      <c r="B5" s="488" t="str">
        <f>(inputPrYr!B41)</f>
        <v>Special Highway</v>
      </c>
      <c r="C5" s="366" t="str">
        <f>CONCATENATE("Actual for ",E1-2,"")</f>
        <v>Actual for -2</v>
      </c>
      <c r="D5" s="366" t="str">
        <f>CONCATENATE("Estimate for ",E1-1,"")</f>
        <v>Estimate for -1</v>
      </c>
      <c r="E5" s="351" t="str">
        <f>CONCATENATE("Year for ",E1,"")</f>
        <v>Year for 0</v>
      </c>
    </row>
    <row r="6" spans="2:5" ht="15.75">
      <c r="B6" s="196" t="s">
        <v>211</v>
      </c>
      <c r="C6" s="43"/>
      <c r="D6" s="170">
        <f>C27</f>
        <v>0</v>
      </c>
      <c r="E6" s="170">
        <f>D27</f>
        <v>0</v>
      </c>
    </row>
    <row r="7" spans="2:5" ht="15.75">
      <c r="B7" s="200" t="s">
        <v>213</v>
      </c>
      <c r="C7" s="58"/>
      <c r="D7" s="58"/>
      <c r="E7" s="58"/>
    </row>
    <row r="8" spans="2:5" ht="15.75">
      <c r="B8" s="218" t="s">
        <v>203</v>
      </c>
      <c r="C8" s="43"/>
      <c r="D8" s="236">
        <f>inputOth!E58</f>
        <v>0</v>
      </c>
      <c r="E8" s="170">
        <f>inputOth!E56</f>
        <v>0</v>
      </c>
    </row>
    <row r="9" spans="2:5" ht="15.75">
      <c r="B9" s="237" t="s">
        <v>251</v>
      </c>
      <c r="C9" s="43"/>
      <c r="D9" s="236">
        <f>inputOth!E59</f>
        <v>0</v>
      </c>
      <c r="E9" s="236">
        <f>inputOth!E57</f>
        <v>0</v>
      </c>
    </row>
    <row r="10" spans="2:5" ht="15.75">
      <c r="B10" s="217"/>
      <c r="C10" s="43"/>
      <c r="D10" s="43"/>
      <c r="E10" s="43"/>
    </row>
    <row r="11" spans="2:5" ht="15.75">
      <c r="B11" s="217"/>
      <c r="C11" s="43"/>
      <c r="D11" s="43"/>
      <c r="E11" s="43"/>
    </row>
    <row r="12" spans="2:5" ht="15.75">
      <c r="B12" s="205" t="s">
        <v>109</v>
      </c>
      <c r="C12" s="43"/>
      <c r="D12" s="43"/>
      <c r="E12" s="43"/>
    </row>
    <row r="13" spans="2:5" ht="15.75">
      <c r="B13" s="117" t="s">
        <v>13</v>
      </c>
      <c r="C13" s="43"/>
      <c r="D13" s="202"/>
      <c r="E13" s="202"/>
    </row>
    <row r="14" spans="2:5" ht="15.75">
      <c r="B14" s="196" t="s">
        <v>780</v>
      </c>
      <c r="C14" s="243">
        <f>IF(C15*0.1&lt;C13,"Exceed 10% Rule","")</f>
      </c>
      <c r="D14" s="207">
        <f>IF(D15*0.1&lt;D13,"Exceed 10% Rule","")</f>
      </c>
      <c r="E14" s="207">
        <f>IF(E15*0.1&lt;E13,"Exceed 10% Rule","")</f>
      </c>
    </row>
    <row r="15" spans="2:5" ht="15.75">
      <c r="B15" s="208" t="s">
        <v>110</v>
      </c>
      <c r="C15" s="211">
        <f>SUM(C8:C13)</f>
        <v>0</v>
      </c>
      <c r="D15" s="211">
        <f>SUM(D8:D13)</f>
        <v>0</v>
      </c>
      <c r="E15" s="211">
        <f>SUM(E8:E13)</f>
        <v>0</v>
      </c>
    </row>
    <row r="16" spans="2:5" ht="15.75">
      <c r="B16" s="208" t="s">
        <v>111</v>
      </c>
      <c r="C16" s="211">
        <f>C6+C15</f>
        <v>0</v>
      </c>
      <c r="D16" s="211">
        <f>D6+D15</f>
        <v>0</v>
      </c>
      <c r="E16" s="211">
        <f>E6+E15</f>
        <v>0</v>
      </c>
    </row>
    <row r="17" spans="2:5" ht="15.75">
      <c r="B17" s="108" t="s">
        <v>113</v>
      </c>
      <c r="C17" s="170"/>
      <c r="D17" s="170"/>
      <c r="E17" s="170"/>
    </row>
    <row r="18" spans="2:5" ht="15.75">
      <c r="B18" s="217"/>
      <c r="C18" s="43"/>
      <c r="D18" s="43"/>
      <c r="E18" s="43"/>
    </row>
    <row r="19" spans="2:5" ht="15.75">
      <c r="B19" s="217"/>
      <c r="C19" s="43"/>
      <c r="D19" s="43"/>
      <c r="E19" s="43"/>
    </row>
    <row r="20" spans="2:5" ht="15.75">
      <c r="B20" s="217"/>
      <c r="C20" s="43"/>
      <c r="D20" s="43"/>
      <c r="E20" s="43"/>
    </row>
    <row r="21" spans="2:5" ht="15.75">
      <c r="B21" s="217"/>
      <c r="C21" s="43"/>
      <c r="D21" s="43"/>
      <c r="E21" s="43"/>
    </row>
    <row r="22" spans="2:5" ht="15.75">
      <c r="B22" s="217"/>
      <c r="C22" s="43"/>
      <c r="D22" s="43"/>
      <c r="E22" s="43"/>
    </row>
    <row r="23" spans="2:5" ht="15.75">
      <c r="B23" s="218" t="str">
        <f>CONCATENATE("Cash Forward (",E1," column)")</f>
        <v>Cash Forward (0 column)</v>
      </c>
      <c r="C23" s="43"/>
      <c r="D23" s="43"/>
      <c r="E23" s="43"/>
    </row>
    <row r="24" spans="2:5" ht="15.75">
      <c r="B24" s="218" t="s">
        <v>13</v>
      </c>
      <c r="C24" s="43"/>
      <c r="D24" s="202"/>
      <c r="E24" s="202"/>
    </row>
    <row r="25" spans="2:5" ht="15.75">
      <c r="B25" s="218" t="s">
        <v>781</v>
      </c>
      <c r="C25" s="243">
        <f>IF(C26*0.1&lt;C24,"Exceed 10% Rule","")</f>
      </c>
      <c r="D25" s="207">
        <f>IF(D26*0.1&lt;D24,"Exceed 10% Rule","")</f>
      </c>
      <c r="E25" s="207">
        <f>IF(E26*0.1&lt;E24,"Exceed 10% Rule","")</f>
      </c>
    </row>
    <row r="26" spans="2:5" ht="15.75">
      <c r="B26" s="208" t="s">
        <v>117</v>
      </c>
      <c r="C26" s="211">
        <f>SUM(C18:C24)</f>
        <v>0</v>
      </c>
      <c r="D26" s="211">
        <f>SUM(D18:D24)</f>
        <v>0</v>
      </c>
      <c r="E26" s="211">
        <f>SUM(E18:E24)</f>
        <v>0</v>
      </c>
    </row>
    <row r="27" spans="2:5" ht="15.75">
      <c r="B27" s="108" t="s">
        <v>212</v>
      </c>
      <c r="C27" s="56">
        <f>C16-C26</f>
        <v>0</v>
      </c>
      <c r="D27" s="56">
        <f>D16-D26</f>
        <v>0</v>
      </c>
      <c r="E27" s="56">
        <f>E16-E26</f>
        <v>0</v>
      </c>
    </row>
    <row r="28" spans="2:5" ht="15.75">
      <c r="B28" s="128" t="str">
        <f>CONCATENATE("",E1-2,"/",E1-1,"/",E1," Budget Authority Amount:")</f>
        <v>-2/-1/0 Budget Authority Amount:</v>
      </c>
      <c r="C28" s="787">
        <f>inputOth!B80</f>
        <v>0</v>
      </c>
      <c r="D28" s="787">
        <f>inputPrYr!D41</f>
        <v>0</v>
      </c>
      <c r="E28" s="834">
        <f>E26</f>
        <v>0</v>
      </c>
    </row>
    <row r="29" spans="2:5" ht="15.75">
      <c r="B29" s="94"/>
      <c r="C29" s="220">
        <f>IF(C26&gt;C28,"See Tab A","")</f>
      </c>
      <c r="D29" s="220">
        <f>IF(D26&gt;D28,"See Tab C","")</f>
      </c>
      <c r="E29" s="835">
        <f>IF(E27&lt;0,"See Tab E","")</f>
      </c>
    </row>
    <row r="30" spans="2:5" ht="15.75">
      <c r="B30" s="94"/>
      <c r="C30" s="220">
        <f>IF(C27&lt;0,"See Tab B","")</f>
      </c>
      <c r="D30" s="220">
        <f>IF(D27&lt;0,"See Tab D","")</f>
      </c>
      <c r="E30" s="62"/>
    </row>
    <row r="31" spans="2:5" ht="15.75">
      <c r="B31" s="32"/>
      <c r="C31" s="62"/>
      <c r="D31" s="62"/>
      <c r="E31" s="62"/>
    </row>
    <row r="32" spans="2:5" ht="15.75">
      <c r="B32" s="33"/>
      <c r="C32" s="238"/>
      <c r="D32" s="238"/>
      <c r="E32" s="238"/>
    </row>
    <row r="33" spans="2:5" ht="15.75">
      <c r="B33" s="33" t="s">
        <v>101</v>
      </c>
      <c r="C33" s="222" t="s">
        <v>801</v>
      </c>
      <c r="D33" s="102" t="s">
        <v>802</v>
      </c>
      <c r="E33" s="102" t="s">
        <v>803</v>
      </c>
    </row>
    <row r="34" spans="2:5" ht="15.75">
      <c r="B34" s="488">
        <f>(inputPrYr!B42)</f>
        <v>0</v>
      </c>
      <c r="C34" s="195" t="str">
        <f>C5</f>
        <v>Actual for -2</v>
      </c>
      <c r="D34" s="195" t="str">
        <f>D5</f>
        <v>Estimate for -1</v>
      </c>
      <c r="E34" s="195" t="str">
        <f>E5</f>
        <v>Year for 0</v>
      </c>
    </row>
    <row r="35" spans="2:5" ht="15.75">
      <c r="B35" s="196" t="s">
        <v>211</v>
      </c>
      <c r="C35" s="43"/>
      <c r="D35" s="170">
        <f>C58</f>
        <v>0</v>
      </c>
      <c r="E35" s="170">
        <f>D58</f>
        <v>0</v>
      </c>
    </row>
    <row r="36" spans="2:5" ht="15.75">
      <c r="B36" s="200" t="s">
        <v>213</v>
      </c>
      <c r="C36" s="58"/>
      <c r="D36" s="58"/>
      <c r="E36" s="58"/>
    </row>
    <row r="37" spans="2:5" ht="15.75">
      <c r="B37" s="217"/>
      <c r="C37" s="43"/>
      <c r="D37" s="43"/>
      <c r="E37" s="43"/>
    </row>
    <row r="38" spans="2:5" ht="15.75">
      <c r="B38" s="217"/>
      <c r="C38" s="43"/>
      <c r="D38" s="43"/>
      <c r="E38" s="43"/>
    </row>
    <row r="39" spans="2:5" ht="15.75">
      <c r="B39" s="217"/>
      <c r="C39" s="43"/>
      <c r="D39" s="43"/>
      <c r="E39" s="43"/>
    </row>
    <row r="40" spans="2:5" ht="15.75">
      <c r="B40" s="217"/>
      <c r="C40" s="43"/>
      <c r="D40" s="43"/>
      <c r="E40" s="43"/>
    </row>
    <row r="41" spans="2:5" ht="15.75">
      <c r="B41" s="205" t="s">
        <v>109</v>
      </c>
      <c r="C41" s="43"/>
      <c r="D41" s="43"/>
      <c r="E41" s="43"/>
    </row>
    <row r="42" spans="2:5" ht="15.75">
      <c r="B42" s="117" t="s">
        <v>13</v>
      </c>
      <c r="C42" s="43"/>
      <c r="D42" s="202"/>
      <c r="E42" s="202"/>
    </row>
    <row r="43" spans="2:5" ht="15.75">
      <c r="B43" s="196" t="s">
        <v>780</v>
      </c>
      <c r="C43" s="243">
        <f>IF(C44*0.1&lt;C42,"Exceed 10% Rule","")</f>
      </c>
      <c r="D43" s="207">
        <f>IF(D44*0.1&lt;D42,"Exceed 10% Rule","")</f>
      </c>
      <c r="E43" s="207">
        <f>IF(E44*0.1&lt;E42,"Exceed 10% Rule","")</f>
      </c>
    </row>
    <row r="44" spans="2:5" ht="15.75">
      <c r="B44" s="208" t="s">
        <v>110</v>
      </c>
      <c r="C44" s="211">
        <f>SUM(C37:C42)</f>
        <v>0</v>
      </c>
      <c r="D44" s="211">
        <f>SUM(D37:D42)</f>
        <v>0</v>
      </c>
      <c r="E44" s="211">
        <f>SUM(E37:E42)</f>
        <v>0</v>
      </c>
    </row>
    <row r="45" spans="2:5" ht="15.75">
      <c r="B45" s="208" t="s">
        <v>111</v>
      </c>
      <c r="C45" s="211">
        <f>C35+C44</f>
        <v>0</v>
      </c>
      <c r="D45" s="211">
        <f>D35+D44</f>
        <v>0</v>
      </c>
      <c r="E45" s="211">
        <f>E35+E44</f>
        <v>0</v>
      </c>
    </row>
    <row r="46" spans="2:5" ht="15.75">
      <c r="B46" s="108" t="s">
        <v>113</v>
      </c>
      <c r="C46" s="170"/>
      <c r="D46" s="170"/>
      <c r="E46" s="170"/>
    </row>
    <row r="47" spans="2:5" ht="15.75">
      <c r="B47" s="217"/>
      <c r="C47" s="43"/>
      <c r="D47" s="43"/>
      <c r="E47" s="43"/>
    </row>
    <row r="48" spans="2:5" ht="15.75">
      <c r="B48" s="217"/>
      <c r="C48" s="43"/>
      <c r="D48" s="43"/>
      <c r="E48" s="43"/>
    </row>
    <row r="49" spans="2:5" ht="15.75">
      <c r="B49" s="217"/>
      <c r="C49" s="43"/>
      <c r="D49" s="43"/>
      <c r="E49" s="43"/>
    </row>
    <row r="50" spans="2:5" ht="15.75">
      <c r="B50" s="217"/>
      <c r="C50" s="43"/>
      <c r="D50" s="43"/>
      <c r="E50" s="43"/>
    </row>
    <row r="51" spans="2:5" ht="15.75">
      <c r="B51" s="217"/>
      <c r="C51" s="43"/>
      <c r="D51" s="43"/>
      <c r="E51" s="43"/>
    </row>
    <row r="52" spans="2:5" ht="15.75">
      <c r="B52" s="217"/>
      <c r="C52" s="43"/>
      <c r="D52" s="43"/>
      <c r="E52" s="43"/>
    </row>
    <row r="53" spans="2:5" ht="15.75">
      <c r="B53" s="217"/>
      <c r="C53" s="43"/>
      <c r="D53" s="43"/>
      <c r="E53" s="43"/>
    </row>
    <row r="54" spans="2:5" ht="15.75">
      <c r="B54" s="218" t="str">
        <f>CONCATENATE("Cash Forward (",E1," column)")</f>
        <v>Cash Forward (0 column)</v>
      </c>
      <c r="C54" s="43"/>
      <c r="D54" s="43"/>
      <c r="E54" s="43"/>
    </row>
    <row r="55" spans="2:5" ht="15.75">
      <c r="B55" s="218" t="s">
        <v>13</v>
      </c>
      <c r="C55" s="43"/>
      <c r="D55" s="202"/>
      <c r="E55" s="202"/>
    </row>
    <row r="56" spans="2:5" ht="15.75">
      <c r="B56" s="218" t="s">
        <v>781</v>
      </c>
      <c r="C56" s="243">
        <f>IF(C57*0.1&lt;C55,"Exceed 10% Rule","")</f>
      </c>
      <c r="D56" s="207">
        <f>IF(D57*0.1&lt;D55,"Exceed 10% Rule","")</f>
      </c>
      <c r="E56" s="207">
        <f>IF(E57*0.1&lt;E55,"Exceed 10% Rule","")</f>
      </c>
    </row>
    <row r="57" spans="2:5" ht="15.75">
      <c r="B57" s="208" t="s">
        <v>117</v>
      </c>
      <c r="C57" s="211">
        <f>SUM(C47:C55)</f>
        <v>0</v>
      </c>
      <c r="D57" s="211">
        <f>SUM(D47:D55)</f>
        <v>0</v>
      </c>
      <c r="E57" s="211">
        <f>SUM(E47:E55)</f>
        <v>0</v>
      </c>
    </row>
    <row r="58" spans="2:5" ht="15.75">
      <c r="B58" s="108" t="s">
        <v>212</v>
      </c>
      <c r="C58" s="56">
        <f>C45-C57</f>
        <v>0</v>
      </c>
      <c r="D58" s="56">
        <f>D45-D57</f>
        <v>0</v>
      </c>
      <c r="E58" s="56">
        <f>E45-E57</f>
        <v>0</v>
      </c>
    </row>
    <row r="59" spans="2:5" ht="15.75">
      <c r="B59" s="128" t="str">
        <f>CONCATENATE("",E1-2,"/",E1-1,"/",E1," Budget Authority Amount:")</f>
        <v>-2/-1/0 Budget Authority Amount:</v>
      </c>
      <c r="C59" s="787">
        <f>inputOth!B81</f>
        <v>0</v>
      </c>
      <c r="D59" s="787">
        <f>inputPrYr!D42</f>
        <v>0</v>
      </c>
      <c r="E59" s="834">
        <f>E57</f>
        <v>0</v>
      </c>
    </row>
    <row r="60" spans="2:5" ht="15.75">
      <c r="B60" s="94"/>
      <c r="C60" s="220">
        <f>IF(C57&gt;C59,"See Tab A","")</f>
      </c>
      <c r="D60" s="220">
        <f>IF(D57&gt;D59,"See Tab C","")</f>
      </c>
      <c r="E60" s="835">
        <f>IF(E58&lt;0,"See Tab E","")</f>
      </c>
    </row>
    <row r="61" spans="2:5" ht="15.75">
      <c r="B61" s="982" t="s">
        <v>1034</v>
      </c>
      <c r="C61" s="966">
        <f>IF(C58&lt;0,"See Tab B","")</f>
      </c>
      <c r="D61" s="966">
        <f>IF(D58&lt;0,"See Tab D","")</f>
      </c>
      <c r="E61" s="951"/>
    </row>
    <row r="62" spans="2:5" ht="15.75">
      <c r="B62" s="761"/>
      <c r="C62" s="52"/>
      <c r="D62" s="52"/>
      <c r="E62" s="768"/>
    </row>
    <row r="63" spans="2:5" ht="15.75">
      <c r="B63" s="695"/>
      <c r="C63" s="47"/>
      <c r="D63" s="47"/>
      <c r="E63" s="55"/>
    </row>
    <row r="64" spans="2:5" ht="15.75">
      <c r="B64" s="32"/>
      <c r="C64" s="32"/>
      <c r="D64" s="32"/>
      <c r="E64" s="32"/>
    </row>
    <row r="65" spans="2:5" ht="15.75">
      <c r="B65" s="126" t="s">
        <v>120</v>
      </c>
      <c r="C65" s="225"/>
      <c r="D65" s="32"/>
      <c r="E65" s="32"/>
    </row>
  </sheetData>
  <sheetProtection/>
  <conditionalFormatting sqref="C13">
    <cfRule type="cellIs" priority="3" dxfId="328" operator="greaterThan" stopIfTrue="1">
      <formula>$C$15*0.1</formula>
    </cfRule>
  </conditionalFormatting>
  <conditionalFormatting sqref="D13">
    <cfRule type="cellIs" priority="4" dxfId="328" operator="greaterThan" stopIfTrue="1">
      <formula>$D$15*0.1</formula>
    </cfRule>
  </conditionalFormatting>
  <conditionalFormatting sqref="E13">
    <cfRule type="cellIs" priority="5" dxfId="328" operator="greaterThan" stopIfTrue="1">
      <formula>$E$15*0.1</formula>
    </cfRule>
  </conditionalFormatting>
  <conditionalFormatting sqref="C24">
    <cfRule type="cellIs" priority="6" dxfId="328" operator="greaterThan" stopIfTrue="1">
      <formula>$C$26*0.1</formula>
    </cfRule>
  </conditionalFormatting>
  <conditionalFormatting sqref="D24">
    <cfRule type="cellIs" priority="7" dxfId="328" operator="greaterThan" stopIfTrue="1">
      <formula>$D$26*0.1</formula>
    </cfRule>
  </conditionalFormatting>
  <conditionalFormatting sqref="E24">
    <cfRule type="cellIs" priority="8" dxfId="328" operator="greaterThan" stopIfTrue="1">
      <formula>$E$26*0.1</formula>
    </cfRule>
  </conditionalFormatting>
  <conditionalFormatting sqref="C42">
    <cfRule type="cellIs" priority="9" dxfId="328" operator="greaterThan" stopIfTrue="1">
      <formula>$C$44*0.1</formula>
    </cfRule>
  </conditionalFormatting>
  <conditionalFormatting sqref="D42">
    <cfRule type="cellIs" priority="10" dxfId="328" operator="greaterThan" stopIfTrue="1">
      <formula>$D$44*0.1</formula>
    </cfRule>
  </conditionalFormatting>
  <conditionalFormatting sqref="E42">
    <cfRule type="cellIs" priority="11" dxfId="328" operator="greaterThan" stopIfTrue="1">
      <formula>$E$44*0.1</formula>
    </cfRule>
  </conditionalFormatting>
  <conditionalFormatting sqref="C55">
    <cfRule type="cellIs" priority="12" dxfId="328" operator="greaterThan" stopIfTrue="1">
      <formula>$C$57*0.1</formula>
    </cfRule>
  </conditionalFormatting>
  <conditionalFormatting sqref="D55">
    <cfRule type="cellIs" priority="13" dxfId="328" operator="greaterThan" stopIfTrue="1">
      <formula>$D$57*0.1</formula>
    </cfRule>
  </conditionalFormatting>
  <conditionalFormatting sqref="E55">
    <cfRule type="cellIs" priority="14" dxfId="328" operator="greaterThan" stopIfTrue="1">
      <formula>$E$57*0.1</formula>
    </cfRule>
  </conditionalFormatting>
  <conditionalFormatting sqref="D57">
    <cfRule type="cellIs" priority="15" dxfId="3" operator="greaterThan" stopIfTrue="1">
      <formula>$D$59</formula>
    </cfRule>
  </conditionalFormatting>
  <conditionalFormatting sqref="C57">
    <cfRule type="cellIs" priority="16" dxfId="3" operator="greaterThan" stopIfTrue="1">
      <formula>$C$59</formula>
    </cfRule>
  </conditionalFormatting>
  <conditionalFormatting sqref="C58 E58 C27 E27">
    <cfRule type="cellIs" priority="17" dxfId="3" operator="lessThan" stopIfTrue="1">
      <formula>0</formula>
    </cfRule>
  </conditionalFormatting>
  <conditionalFormatting sqref="D26">
    <cfRule type="cellIs" priority="18" dxfId="3" operator="greaterThan" stopIfTrue="1">
      <formula>$D$28</formula>
    </cfRule>
  </conditionalFormatting>
  <conditionalFormatting sqref="C26">
    <cfRule type="cellIs" priority="19" dxfId="3" operator="greaterThan" stopIfTrue="1">
      <formula>$C$28</formula>
    </cfRule>
  </conditionalFormatting>
  <conditionalFormatting sqref="D27">
    <cfRule type="cellIs" priority="2" dxfId="0" operator="lessThan" stopIfTrue="1">
      <formula>0</formula>
    </cfRule>
  </conditionalFormatting>
  <conditionalFormatting sqref="D58">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C72" sqref="C72"/>
    </sheetView>
  </sheetViews>
  <sheetFormatPr defaultColWidth="8.796875" defaultRowHeight="15"/>
  <cols>
    <col min="1" max="1" width="2.3984375" style="30" customWidth="1"/>
    <col min="2" max="2" width="31.09765625" style="30" customWidth="1"/>
    <col min="3" max="4" width="15.796875" style="30" customWidth="1"/>
    <col min="5" max="5" width="16.296875" style="30" customWidth="1"/>
    <col min="6" max="16384" width="8.8984375" style="30" customWidth="1"/>
  </cols>
  <sheetData>
    <row r="1" spans="2:5" ht="15.75">
      <c r="B1" s="140">
        <f>(inputPrYr!D3)</f>
        <v>0</v>
      </c>
      <c r="C1" s="32"/>
      <c r="D1" s="32"/>
      <c r="E1" s="190">
        <f>inputPrYr!C6</f>
        <v>0</v>
      </c>
    </row>
    <row r="2" spans="2:5" ht="15.75">
      <c r="B2" s="32"/>
      <c r="C2" s="32"/>
      <c r="D2" s="32"/>
      <c r="E2" s="126"/>
    </row>
    <row r="3" spans="2:5" ht="15.75">
      <c r="B3" s="191" t="s">
        <v>170</v>
      </c>
      <c r="C3" s="232"/>
      <c r="D3" s="232"/>
      <c r="E3" s="232"/>
    </row>
    <row r="4" spans="2:5" ht="15.75">
      <c r="B4" s="33" t="s">
        <v>101</v>
      </c>
      <c r="C4" s="365" t="s">
        <v>801</v>
      </c>
      <c r="D4" s="364" t="s">
        <v>802</v>
      </c>
      <c r="E4" s="343" t="s">
        <v>803</v>
      </c>
    </row>
    <row r="5" spans="2:5" ht="15.75">
      <c r="B5" s="488">
        <f>(inputPrYr!B43)</f>
        <v>0</v>
      </c>
      <c r="C5" s="366" t="str">
        <f>CONCATENATE("Actual for ",E1-2,"")</f>
        <v>Actual for -2</v>
      </c>
      <c r="D5" s="366" t="str">
        <f>CONCATENATE("Estimate for ",E1-1,"")</f>
        <v>Estimate for -1</v>
      </c>
      <c r="E5" s="351" t="str">
        <f>CONCATENATE("Year for ",E1,"")</f>
        <v>Year for 0</v>
      </c>
    </row>
    <row r="6" spans="2:5" ht="15.75">
      <c r="B6" s="196" t="s">
        <v>211</v>
      </c>
      <c r="C6" s="43"/>
      <c r="D6" s="170">
        <f>C27</f>
        <v>0</v>
      </c>
      <c r="E6" s="170">
        <f>D27</f>
        <v>0</v>
      </c>
    </row>
    <row r="7" spans="2:5" ht="15.75">
      <c r="B7" s="200" t="s">
        <v>213</v>
      </c>
      <c r="C7" s="58"/>
      <c r="D7" s="58"/>
      <c r="E7" s="58"/>
    </row>
    <row r="8" spans="2:5" ht="15.75">
      <c r="B8" s="217"/>
      <c r="C8" s="43"/>
      <c r="D8" s="43"/>
      <c r="E8" s="43"/>
    </row>
    <row r="9" spans="2:5" ht="15.75">
      <c r="B9" s="217"/>
      <c r="C9" s="43"/>
      <c r="D9" s="43"/>
      <c r="E9" s="43"/>
    </row>
    <row r="10" spans="2:5" ht="15.75">
      <c r="B10" s="217"/>
      <c r="C10" s="43"/>
      <c r="D10" s="43"/>
      <c r="E10" s="43"/>
    </row>
    <row r="11" spans="2:5" ht="15.75">
      <c r="B11" s="217"/>
      <c r="C11" s="43"/>
      <c r="D11" s="43"/>
      <c r="E11" s="43"/>
    </row>
    <row r="12" spans="2:5" ht="15.75">
      <c r="B12" s="205" t="s">
        <v>109</v>
      </c>
      <c r="C12" s="43"/>
      <c r="D12" s="43"/>
      <c r="E12" s="43"/>
    </row>
    <row r="13" spans="2:5" ht="15.75">
      <c r="B13" s="117" t="s">
        <v>13</v>
      </c>
      <c r="C13" s="43"/>
      <c r="D13" s="202"/>
      <c r="E13" s="202"/>
    </row>
    <row r="14" spans="2:5" ht="15.75">
      <c r="B14" s="196" t="s">
        <v>780</v>
      </c>
      <c r="C14" s="243">
        <f>IF(C15*0.1&lt;C13,"Exceed 10% Rule","")</f>
      </c>
      <c r="D14" s="207">
        <f>IF(D15*0.1&lt;D13,"Exceed 10% Rule","")</f>
      </c>
      <c r="E14" s="207">
        <f>IF(E15*0.1&lt;E13,"Exceed 10% Rule","")</f>
      </c>
    </row>
    <row r="15" spans="2:5" ht="15.75">
      <c r="B15" s="208" t="s">
        <v>110</v>
      </c>
      <c r="C15" s="211">
        <f>SUM(C8:C13)</f>
        <v>0</v>
      </c>
      <c r="D15" s="211">
        <f>SUM(D8:D13)</f>
        <v>0</v>
      </c>
      <c r="E15" s="211">
        <f>SUM(E8:E13)</f>
        <v>0</v>
      </c>
    </row>
    <row r="16" spans="2:5" ht="15.75">
      <c r="B16" s="208" t="s">
        <v>111</v>
      </c>
      <c r="C16" s="211">
        <f>C6+C15</f>
        <v>0</v>
      </c>
      <c r="D16" s="211">
        <f>D6+D15</f>
        <v>0</v>
      </c>
      <c r="E16" s="211">
        <f>E6+E15</f>
        <v>0</v>
      </c>
    </row>
    <row r="17" spans="2:5" ht="15.75">
      <c r="B17" s="108" t="s">
        <v>113</v>
      </c>
      <c r="C17" s="170"/>
      <c r="D17" s="170"/>
      <c r="E17" s="170"/>
    </row>
    <row r="18" spans="2:5" ht="15.75">
      <c r="B18" s="217"/>
      <c r="C18" s="43"/>
      <c r="D18" s="43"/>
      <c r="E18" s="43"/>
    </row>
    <row r="19" spans="2:5" ht="15.75">
      <c r="B19" s="217"/>
      <c r="C19" s="43"/>
      <c r="D19" s="43"/>
      <c r="E19" s="43"/>
    </row>
    <row r="20" spans="2:5" ht="15.75">
      <c r="B20" s="217"/>
      <c r="C20" s="43"/>
      <c r="D20" s="43"/>
      <c r="E20" s="43"/>
    </row>
    <row r="21" spans="2:5" ht="15.75">
      <c r="B21" s="217"/>
      <c r="C21" s="43"/>
      <c r="D21" s="43"/>
      <c r="E21" s="43"/>
    </row>
    <row r="22" spans="2:5" ht="15.75">
      <c r="B22" s="217"/>
      <c r="C22" s="43"/>
      <c r="D22" s="43"/>
      <c r="E22" s="43"/>
    </row>
    <row r="23" spans="2:5" ht="15.75">
      <c r="B23" s="218" t="str">
        <f>CONCATENATE("Cash Forward (",E1," column)")</f>
        <v>Cash Forward (0 column)</v>
      </c>
      <c r="C23" s="43"/>
      <c r="D23" s="43"/>
      <c r="E23" s="43"/>
    </row>
    <row r="24" spans="2:5" ht="15.75">
      <c r="B24" s="218" t="s">
        <v>13</v>
      </c>
      <c r="C24" s="43"/>
      <c r="D24" s="202"/>
      <c r="E24" s="202"/>
    </row>
    <row r="25" spans="2:5" ht="15.75">
      <c r="B25" s="218" t="s">
        <v>781</v>
      </c>
      <c r="C25" s="243">
        <f>IF(C26*0.1&lt;C24,"Exceed 10% Rule","")</f>
      </c>
      <c r="D25" s="207">
        <f>IF(D26*0.1&lt;D24,"Exceed 10% Rule","")</f>
      </c>
      <c r="E25" s="207">
        <f>IF(E26*0.1&lt;E24,"Exceed 10% Rule","")</f>
      </c>
    </row>
    <row r="26" spans="2:5" ht="15.75">
      <c r="B26" s="208" t="s">
        <v>117</v>
      </c>
      <c r="C26" s="211">
        <f>SUM(C18:C24)</f>
        <v>0</v>
      </c>
      <c r="D26" s="211">
        <f>SUM(D18:D24)</f>
        <v>0</v>
      </c>
      <c r="E26" s="211">
        <f>SUM(E18:E24)</f>
        <v>0</v>
      </c>
    </row>
    <row r="27" spans="2:5" ht="15.75">
      <c r="B27" s="108" t="s">
        <v>212</v>
      </c>
      <c r="C27" s="56">
        <f>C16-C26</f>
        <v>0</v>
      </c>
      <c r="D27" s="56">
        <f>D16-D26</f>
        <v>0</v>
      </c>
      <c r="E27" s="56">
        <f>E16-E26</f>
        <v>0</v>
      </c>
    </row>
    <row r="28" spans="2:5" ht="15.75">
      <c r="B28" s="128" t="str">
        <f>CONCATENATE("",E1-2,"/",E1-1,"/",E1," Budget Authority Amount:")</f>
        <v>-2/-1/0 Budget Authority Amount:</v>
      </c>
      <c r="C28" s="787">
        <f>inputOth!B82</f>
        <v>0</v>
      </c>
      <c r="D28" s="787">
        <f>inputPrYr!D43</f>
        <v>0</v>
      </c>
      <c r="E28" s="834">
        <f>E26</f>
        <v>0</v>
      </c>
    </row>
    <row r="29" spans="2:5" ht="15.75">
      <c r="B29" s="94"/>
      <c r="C29" s="220">
        <f>IF(C26&gt;C28,"See Tab A","")</f>
      </c>
      <c r="D29" s="220">
        <f>IF(D26&gt;D28,"See Tab C","")</f>
      </c>
      <c r="E29" s="835">
        <f>IF(E27&lt;0,"See Tab E","")</f>
      </c>
    </row>
    <row r="30" spans="2:5" ht="15.75">
      <c r="B30" s="94"/>
      <c r="C30" s="220">
        <f>IF(C27&lt;0,"See Tab B","")</f>
      </c>
      <c r="D30" s="220">
        <f>IF(D27&lt;0,"See Tab D","")</f>
      </c>
      <c r="E30" s="62"/>
    </row>
    <row r="31" spans="2:5" ht="15.75">
      <c r="B31" s="32"/>
      <c r="C31" s="62"/>
      <c r="D31" s="62"/>
      <c r="E31" s="62"/>
    </row>
    <row r="32" spans="2:5" ht="15.75">
      <c r="B32" s="33"/>
      <c r="C32" s="238"/>
      <c r="D32" s="238"/>
      <c r="E32" s="238"/>
    </row>
    <row r="33" spans="2:5" ht="15.75">
      <c r="B33" s="33" t="s">
        <v>101</v>
      </c>
      <c r="C33" s="222" t="s">
        <v>801</v>
      </c>
      <c r="D33" s="102" t="s">
        <v>802</v>
      </c>
      <c r="E33" s="102" t="s">
        <v>803</v>
      </c>
    </row>
    <row r="34" spans="2:5" ht="15.75">
      <c r="B34" s="488">
        <f>(inputPrYr!B44)</f>
        <v>0</v>
      </c>
      <c r="C34" s="195" t="str">
        <f>C5</f>
        <v>Actual for -2</v>
      </c>
      <c r="D34" s="195" t="str">
        <f>D5</f>
        <v>Estimate for -1</v>
      </c>
      <c r="E34" s="195" t="str">
        <f>E5</f>
        <v>Year for 0</v>
      </c>
    </row>
    <row r="35" spans="2:5" ht="15.75">
      <c r="B35" s="196" t="s">
        <v>211</v>
      </c>
      <c r="C35" s="43"/>
      <c r="D35" s="170">
        <f>C57</f>
        <v>0</v>
      </c>
      <c r="E35" s="170">
        <f>D57</f>
        <v>0</v>
      </c>
    </row>
    <row r="36" spans="2:5" ht="15.75">
      <c r="B36" s="200" t="s">
        <v>213</v>
      </c>
      <c r="C36" s="58"/>
      <c r="D36" s="58"/>
      <c r="E36" s="58"/>
    </row>
    <row r="37" spans="2:5" ht="15.75">
      <c r="B37" s="217"/>
      <c r="C37" s="43"/>
      <c r="D37" s="43"/>
      <c r="E37" s="43"/>
    </row>
    <row r="38" spans="2:5" ht="15.75">
      <c r="B38" s="217"/>
      <c r="C38" s="43"/>
      <c r="D38" s="43"/>
      <c r="E38" s="43"/>
    </row>
    <row r="39" spans="2:5" ht="15.75">
      <c r="B39" s="217"/>
      <c r="C39" s="43"/>
      <c r="D39" s="43"/>
      <c r="E39" s="43"/>
    </row>
    <row r="40" spans="2:5" ht="15.75">
      <c r="B40" s="217"/>
      <c r="C40" s="43"/>
      <c r="D40" s="43"/>
      <c r="E40" s="43"/>
    </row>
    <row r="41" spans="2:5" ht="15.75">
      <c r="B41" s="205" t="s">
        <v>109</v>
      </c>
      <c r="C41" s="43"/>
      <c r="D41" s="43"/>
      <c r="E41" s="43"/>
    </row>
    <row r="42" spans="2:5" ht="15.75">
      <c r="B42" s="117" t="s">
        <v>13</v>
      </c>
      <c r="C42" s="43"/>
      <c r="D42" s="202"/>
      <c r="E42" s="202"/>
    </row>
    <row r="43" spans="2:5" ht="15.75">
      <c r="B43" s="196" t="s">
        <v>780</v>
      </c>
      <c r="C43" s="243">
        <f>IF(C44*0.1&lt;C42,"Exceed 10% Rule","")</f>
      </c>
      <c r="D43" s="207">
        <f>IF(D44*0.1&lt;D42,"Exceed 10% Rule","")</f>
      </c>
      <c r="E43" s="207">
        <f>IF(E44*0.1&lt;E42,"Exceed 10% Rule","")</f>
      </c>
    </row>
    <row r="44" spans="2:5" ht="15.75">
      <c r="B44" s="208" t="s">
        <v>110</v>
      </c>
      <c r="C44" s="211">
        <f>SUM(C37:C42)</f>
        <v>0</v>
      </c>
      <c r="D44" s="211">
        <f>SUM(D37:D42)</f>
        <v>0</v>
      </c>
      <c r="E44" s="211">
        <f>SUM(E37:E42)</f>
        <v>0</v>
      </c>
    </row>
    <row r="45" spans="2:5" ht="15.75">
      <c r="B45" s="208" t="s">
        <v>111</v>
      </c>
      <c r="C45" s="211">
        <f>C35+C44</f>
        <v>0</v>
      </c>
      <c r="D45" s="211">
        <f>D35+D44</f>
        <v>0</v>
      </c>
      <c r="E45" s="211">
        <f>E35+E44</f>
        <v>0</v>
      </c>
    </row>
    <row r="46" spans="2:5" ht="15.75">
      <c r="B46" s="108" t="s">
        <v>113</v>
      </c>
      <c r="C46" s="170"/>
      <c r="D46" s="170"/>
      <c r="E46" s="170"/>
    </row>
    <row r="47" spans="2:5" ht="15.75">
      <c r="B47" s="217"/>
      <c r="C47" s="43"/>
      <c r="D47" s="43"/>
      <c r="E47" s="43"/>
    </row>
    <row r="48" spans="2:5" ht="15.75">
      <c r="B48" s="217"/>
      <c r="C48" s="43"/>
      <c r="D48" s="43"/>
      <c r="E48" s="43"/>
    </row>
    <row r="49" spans="2:5" ht="15.75">
      <c r="B49" s="217"/>
      <c r="C49" s="43"/>
      <c r="D49" s="43"/>
      <c r="E49" s="43"/>
    </row>
    <row r="50" spans="2:5" ht="15.75">
      <c r="B50" s="217"/>
      <c r="C50" s="43"/>
      <c r="D50" s="43"/>
      <c r="E50" s="43"/>
    </row>
    <row r="51" spans="2:5" ht="15.75">
      <c r="B51" s="217"/>
      <c r="C51" s="43"/>
      <c r="D51" s="43"/>
      <c r="E51" s="43"/>
    </row>
    <row r="52" spans="2:5" ht="15.75">
      <c r="B52" s="217"/>
      <c r="C52" s="43"/>
      <c r="D52" s="43"/>
      <c r="E52" s="43"/>
    </row>
    <row r="53" spans="2:5" ht="15.75">
      <c r="B53" s="218" t="str">
        <f>CONCATENATE("Cash Forward (",E1," column)")</f>
        <v>Cash Forward (0 column)</v>
      </c>
      <c r="C53" s="43"/>
      <c r="D53" s="43"/>
      <c r="E53" s="43"/>
    </row>
    <row r="54" spans="2:5" ht="15.75">
      <c r="B54" s="218" t="s">
        <v>13</v>
      </c>
      <c r="C54" s="43"/>
      <c r="D54" s="202"/>
      <c r="E54" s="202"/>
    </row>
    <row r="55" spans="2:5" ht="15.75">
      <c r="B55" s="218" t="s">
        <v>781</v>
      </c>
      <c r="C55" s="243">
        <f>IF(C56*0.1&lt;C54,"Exceed 10% Rule","")</f>
      </c>
      <c r="D55" s="207">
        <f>IF(D56*0.1&lt;D54,"Exceed 10% Rule","")</f>
      </c>
      <c r="E55" s="207">
        <f>IF(E56*0.1&lt;E54,"Exceed 10% Rule","")</f>
      </c>
    </row>
    <row r="56" spans="2:5" ht="15.75">
      <c r="B56" s="208" t="s">
        <v>117</v>
      </c>
      <c r="C56" s="211">
        <f>SUM(C47:C54)</f>
        <v>0</v>
      </c>
      <c r="D56" s="211">
        <f>SUM(D47:D54)</f>
        <v>0</v>
      </c>
      <c r="E56" s="211">
        <f>SUM(E47:E54)</f>
        <v>0</v>
      </c>
    </row>
    <row r="57" spans="2:5" ht="15.75">
      <c r="B57" s="108" t="s">
        <v>212</v>
      </c>
      <c r="C57" s="56">
        <f>C45-C56</f>
        <v>0</v>
      </c>
      <c r="D57" s="56">
        <f>D45-D56</f>
        <v>0</v>
      </c>
      <c r="E57" s="56">
        <f>E45-E56</f>
        <v>0</v>
      </c>
    </row>
    <row r="58" spans="2:5" ht="15.75">
      <c r="B58" s="128" t="str">
        <f>CONCATENATE("",E1-2,"/",E1-1,"/",E1," Budget Authority Amount:")</f>
        <v>-2/-1/0 Budget Authority Amount:</v>
      </c>
      <c r="C58" s="787">
        <f>inputOth!B83</f>
        <v>0</v>
      </c>
      <c r="D58" s="787">
        <f>inputPrYr!D44</f>
        <v>0</v>
      </c>
      <c r="E58" s="834">
        <f>E56</f>
        <v>0</v>
      </c>
    </row>
    <row r="59" spans="2:5" ht="15.75">
      <c r="B59" s="94"/>
      <c r="C59" s="220">
        <f>IF(C56&gt;C58,"See Tab A","")</f>
      </c>
      <c r="D59" s="220">
        <f>IF(D56&gt;D58,"See Tab C","")</f>
      </c>
      <c r="E59" s="835">
        <f>IF(E57&lt;0,"See Tab E","")</f>
      </c>
    </row>
    <row r="60" spans="2:5" ht="15.75">
      <c r="B60" s="982" t="s">
        <v>1034</v>
      </c>
      <c r="C60" s="966">
        <f>IF(C57&lt;0,"See Tab B","")</f>
      </c>
      <c r="D60" s="966">
        <f>IF(D57&lt;0,"See Tab D","")</f>
      </c>
      <c r="E60" s="951"/>
    </row>
    <row r="61" spans="2:5" ht="15.75">
      <c r="B61" s="761"/>
      <c r="C61" s="52"/>
      <c r="D61" s="52"/>
      <c r="E61" s="768"/>
    </row>
    <row r="62" spans="2:5" ht="15.75">
      <c r="B62" s="695"/>
      <c r="C62" s="47"/>
      <c r="D62" s="47"/>
      <c r="E62" s="55"/>
    </row>
    <row r="63" spans="2:5" ht="15.75">
      <c r="B63" s="32"/>
      <c r="C63" s="32"/>
      <c r="D63" s="32"/>
      <c r="E63" s="32"/>
    </row>
    <row r="64" spans="2:5" ht="15.75">
      <c r="B64" s="126" t="s">
        <v>120</v>
      </c>
      <c r="C64" s="225"/>
      <c r="D64" s="32"/>
      <c r="E64" s="32"/>
    </row>
  </sheetData>
  <sheetProtection/>
  <conditionalFormatting sqref="C13">
    <cfRule type="cellIs" priority="3" dxfId="328" operator="greaterThan" stopIfTrue="1">
      <formula>$C$15*0.1</formula>
    </cfRule>
  </conditionalFormatting>
  <conditionalFormatting sqref="D13">
    <cfRule type="cellIs" priority="4" dxfId="328" operator="greaterThan" stopIfTrue="1">
      <formula>$D$15*0.1</formula>
    </cfRule>
  </conditionalFormatting>
  <conditionalFormatting sqref="E13">
    <cfRule type="cellIs" priority="5" dxfId="328" operator="greaterThan" stopIfTrue="1">
      <formula>$E$15*0.1</formula>
    </cfRule>
  </conditionalFormatting>
  <conditionalFormatting sqref="C24">
    <cfRule type="cellIs" priority="6" dxfId="328" operator="greaterThan" stopIfTrue="1">
      <formula>$C$26*0.1</formula>
    </cfRule>
  </conditionalFormatting>
  <conditionalFormatting sqref="D24">
    <cfRule type="cellIs" priority="7" dxfId="328" operator="greaterThan" stopIfTrue="1">
      <formula>$D$26*0.1</formula>
    </cfRule>
  </conditionalFormatting>
  <conditionalFormatting sqref="E24">
    <cfRule type="cellIs" priority="8" dxfId="328" operator="greaterThan" stopIfTrue="1">
      <formula>$E$26*0.1</formula>
    </cfRule>
  </conditionalFormatting>
  <conditionalFormatting sqref="C42">
    <cfRule type="cellIs" priority="9" dxfId="328" operator="greaterThan" stopIfTrue="1">
      <formula>$C$44*0.1</formula>
    </cfRule>
  </conditionalFormatting>
  <conditionalFormatting sqref="D42">
    <cfRule type="cellIs" priority="10" dxfId="328" operator="greaterThan" stopIfTrue="1">
      <formula>$D$44*0.1</formula>
    </cfRule>
  </conditionalFormatting>
  <conditionalFormatting sqref="E42">
    <cfRule type="cellIs" priority="11" dxfId="328" operator="greaterThan" stopIfTrue="1">
      <formula>$E$44*0.1</formula>
    </cfRule>
  </conditionalFormatting>
  <conditionalFormatting sqref="C54">
    <cfRule type="cellIs" priority="12" dxfId="328" operator="greaterThan" stopIfTrue="1">
      <formula>$C$56*0.1</formula>
    </cfRule>
  </conditionalFormatting>
  <conditionalFormatting sqref="D54">
    <cfRule type="cellIs" priority="13" dxfId="328" operator="greaterThan" stopIfTrue="1">
      <formula>$D$56*0.1</formula>
    </cfRule>
  </conditionalFormatting>
  <conditionalFormatting sqref="E54">
    <cfRule type="cellIs" priority="14" dxfId="328" operator="greaterThan" stopIfTrue="1">
      <formula>$E$56*0.1</formula>
    </cfRule>
  </conditionalFormatting>
  <conditionalFormatting sqref="D56">
    <cfRule type="cellIs" priority="15" dxfId="3" operator="greaterThan" stopIfTrue="1">
      <formula>$D$58</formula>
    </cfRule>
  </conditionalFormatting>
  <conditionalFormatting sqref="C56">
    <cfRule type="cellIs" priority="16" dxfId="3" operator="greaterThan" stopIfTrue="1">
      <formula>$C$58</formula>
    </cfRule>
  </conditionalFormatting>
  <conditionalFormatting sqref="C57 E57 C27 E27">
    <cfRule type="cellIs" priority="17" dxfId="3" operator="lessThan" stopIfTrue="1">
      <formula>0</formula>
    </cfRule>
  </conditionalFormatting>
  <conditionalFormatting sqref="D26">
    <cfRule type="cellIs" priority="18" dxfId="3" operator="greaterThan" stopIfTrue="1">
      <formula>$D$28</formula>
    </cfRule>
  </conditionalFormatting>
  <conditionalFormatting sqref="C26">
    <cfRule type="cellIs" priority="19" dxfId="3" operator="greaterThan" stopIfTrue="1">
      <formula>$C$28</formula>
    </cfRule>
  </conditionalFormatting>
  <conditionalFormatting sqref="D57">
    <cfRule type="cellIs" priority="2" dxfId="0" operator="lessThan" stopIfTrue="1">
      <formula>0</formula>
    </cfRule>
  </conditionalFormatting>
  <conditionalFormatting sqref="D27">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69" sqref="D69"/>
    </sheetView>
  </sheetViews>
  <sheetFormatPr defaultColWidth="8.796875" defaultRowHeight="15"/>
  <cols>
    <col min="1" max="1" width="2.3984375" style="30" customWidth="1"/>
    <col min="2" max="2" width="31.09765625" style="30" customWidth="1"/>
    <col min="3" max="4" width="15.796875" style="30" customWidth="1"/>
    <col min="5" max="5" width="16.09765625" style="30" customWidth="1"/>
    <col min="6" max="16384" width="8.8984375" style="30" customWidth="1"/>
  </cols>
  <sheetData>
    <row r="1" spans="2:5" ht="15.75">
      <c r="B1" s="140">
        <f>(inputPrYr!D3)</f>
        <v>0</v>
      </c>
      <c r="C1" s="32"/>
      <c r="D1" s="32"/>
      <c r="E1" s="190">
        <f>inputPrYr!C6</f>
        <v>0</v>
      </c>
    </row>
    <row r="2" spans="2:5" ht="15.75">
      <c r="B2" s="32"/>
      <c r="C2" s="32"/>
      <c r="D2" s="32"/>
      <c r="E2" s="126"/>
    </row>
    <row r="3" spans="2:5" ht="15.75">
      <c r="B3" s="191" t="s">
        <v>170</v>
      </c>
      <c r="C3" s="232"/>
      <c r="D3" s="232"/>
      <c r="E3" s="232"/>
    </row>
    <row r="4" spans="2:5" ht="15.75">
      <c r="B4" s="33" t="s">
        <v>101</v>
      </c>
      <c r="C4" s="365" t="s">
        <v>801</v>
      </c>
      <c r="D4" s="364" t="s">
        <v>802</v>
      </c>
      <c r="E4" s="343" t="s">
        <v>803</v>
      </c>
    </row>
    <row r="5" spans="2:5" ht="15.75">
      <c r="B5" s="488">
        <f>(inputPrYr!B45)</f>
        <v>0</v>
      </c>
      <c r="C5" s="366" t="str">
        <f>CONCATENATE("Actual for ",E1-2,"")</f>
        <v>Actual for -2</v>
      </c>
      <c r="D5" s="366" t="str">
        <f>CONCATENATE("Estimate for ",E1-1,"")</f>
        <v>Estimate for -1</v>
      </c>
      <c r="E5" s="351" t="str">
        <f>CONCATENATE("Year for ",E1,"")</f>
        <v>Year for 0</v>
      </c>
    </row>
    <row r="6" spans="2:5" ht="15.75">
      <c r="B6" s="196" t="s">
        <v>211</v>
      </c>
      <c r="C6" s="43"/>
      <c r="D6" s="170">
        <f>C27</f>
        <v>0</v>
      </c>
      <c r="E6" s="170">
        <f>D27</f>
        <v>0</v>
      </c>
    </row>
    <row r="7" spans="2:5" ht="15.75">
      <c r="B7" s="200" t="s">
        <v>213</v>
      </c>
      <c r="C7" s="58"/>
      <c r="D7" s="58"/>
      <c r="E7" s="58"/>
    </row>
    <row r="8" spans="2:5" ht="15.75">
      <c r="B8" s="217"/>
      <c r="C8" s="43"/>
      <c r="D8" s="43"/>
      <c r="E8" s="43"/>
    </row>
    <row r="9" spans="2:5" ht="15.75">
      <c r="B9" s="217"/>
      <c r="C9" s="43"/>
      <c r="D9" s="43"/>
      <c r="E9" s="43"/>
    </row>
    <row r="10" spans="2:5" ht="15.75">
      <c r="B10" s="217"/>
      <c r="C10" s="43"/>
      <c r="D10" s="43"/>
      <c r="E10" s="43"/>
    </row>
    <row r="11" spans="2:5" ht="15.75">
      <c r="B11" s="217"/>
      <c r="C11" s="43"/>
      <c r="D11" s="43"/>
      <c r="E11" s="43"/>
    </row>
    <row r="12" spans="2:5" ht="15.75">
      <c r="B12" s="205" t="s">
        <v>109</v>
      </c>
      <c r="C12" s="43"/>
      <c r="D12" s="43"/>
      <c r="E12" s="43"/>
    </row>
    <row r="13" spans="2:5" ht="15.75">
      <c r="B13" s="117" t="s">
        <v>13</v>
      </c>
      <c r="C13" s="43"/>
      <c r="D13" s="202"/>
      <c r="E13" s="202"/>
    </row>
    <row r="14" spans="2:5" ht="15.75">
      <c r="B14" s="196" t="s">
        <v>780</v>
      </c>
      <c r="C14" s="243">
        <f>IF(C15*0.1&lt;C13,"Exceed 10% Rule","")</f>
      </c>
      <c r="D14" s="207">
        <f>IF(D15*0.1&lt;D13,"Exceed 10% Rule","")</f>
      </c>
      <c r="E14" s="207">
        <f>IF(E15*0.1&lt;E13,"Exceed 10% Rule","")</f>
      </c>
    </row>
    <row r="15" spans="2:5" ht="15.75">
      <c r="B15" s="208" t="s">
        <v>110</v>
      </c>
      <c r="C15" s="211">
        <f>SUM(C8:C13)</f>
        <v>0</v>
      </c>
      <c r="D15" s="211">
        <f>SUM(D8:D13)</f>
        <v>0</v>
      </c>
      <c r="E15" s="211">
        <f>SUM(E8:E13)</f>
        <v>0</v>
      </c>
    </row>
    <row r="16" spans="2:5" ht="15.75">
      <c r="B16" s="208" t="s">
        <v>111</v>
      </c>
      <c r="C16" s="211">
        <f>C6+C15</f>
        <v>0</v>
      </c>
      <c r="D16" s="211">
        <f>D6+D15</f>
        <v>0</v>
      </c>
      <c r="E16" s="211">
        <f>E6+E15</f>
        <v>0</v>
      </c>
    </row>
    <row r="17" spans="2:5" ht="15.75">
      <c r="B17" s="108" t="s">
        <v>113</v>
      </c>
      <c r="C17" s="170"/>
      <c r="D17" s="170"/>
      <c r="E17" s="170"/>
    </row>
    <row r="18" spans="2:5" ht="15.75">
      <c r="B18" s="217"/>
      <c r="C18" s="43"/>
      <c r="D18" s="43"/>
      <c r="E18" s="43"/>
    </row>
    <row r="19" spans="2:5" ht="15.75">
      <c r="B19" s="217"/>
      <c r="C19" s="43"/>
      <c r="D19" s="43"/>
      <c r="E19" s="43"/>
    </row>
    <row r="20" spans="2:5" ht="15.75">
      <c r="B20" s="217"/>
      <c r="C20" s="43"/>
      <c r="D20" s="43"/>
      <c r="E20" s="43"/>
    </row>
    <row r="21" spans="2:5" ht="15.75">
      <c r="B21" s="217"/>
      <c r="C21" s="43"/>
      <c r="D21" s="43"/>
      <c r="E21" s="43"/>
    </row>
    <row r="22" spans="2:5" ht="15.75">
      <c r="B22" s="217"/>
      <c r="C22" s="43"/>
      <c r="D22" s="43"/>
      <c r="E22" s="43"/>
    </row>
    <row r="23" spans="2:5" ht="15.75">
      <c r="B23" s="218" t="str">
        <f>CONCATENATE("Cash Forward (",E1," column)")</f>
        <v>Cash Forward (0 column)</v>
      </c>
      <c r="C23" s="43"/>
      <c r="D23" s="43"/>
      <c r="E23" s="43"/>
    </row>
    <row r="24" spans="2:5" ht="15.75">
      <c r="B24" s="218" t="s">
        <v>13</v>
      </c>
      <c r="C24" s="43"/>
      <c r="D24" s="202"/>
      <c r="E24" s="202"/>
    </row>
    <row r="25" spans="2:5" ht="15.75">
      <c r="B25" s="218" t="s">
        <v>781</v>
      </c>
      <c r="C25" s="243">
        <f>IF(C26*0.1&lt;C24,"Exceed 10% Rule","")</f>
      </c>
      <c r="D25" s="207">
        <f>IF(D26*0.1&lt;D24,"Exceed 10% Rule","")</f>
      </c>
      <c r="E25" s="207">
        <f>IF(E26*0.1&lt;E24,"Exceed 10% Rule","")</f>
      </c>
    </row>
    <row r="26" spans="2:5" ht="15.75">
      <c r="B26" s="208" t="s">
        <v>117</v>
      </c>
      <c r="C26" s="211">
        <f>SUM(C18:C24)</f>
        <v>0</v>
      </c>
      <c r="D26" s="211">
        <f>SUM(D18:D24)</f>
        <v>0</v>
      </c>
      <c r="E26" s="211">
        <f>SUM(E18:E24)</f>
        <v>0</v>
      </c>
    </row>
    <row r="27" spans="2:5" ht="15.75">
      <c r="B27" s="108" t="s">
        <v>212</v>
      </c>
      <c r="C27" s="56">
        <f>C16-C26</f>
        <v>0</v>
      </c>
      <c r="D27" s="56">
        <f>D16-D26</f>
        <v>0</v>
      </c>
      <c r="E27" s="56">
        <f>E16-E26</f>
        <v>0</v>
      </c>
    </row>
    <row r="28" spans="2:5" ht="15.75">
      <c r="B28" s="128" t="str">
        <f>CONCATENATE("",E1-2,"/",E1-1,"/",E1," Budget Authority Amount:")</f>
        <v>-2/-1/0 Budget Authority Amount:</v>
      </c>
      <c r="C28" s="787">
        <f>inputOth!B84</f>
        <v>0</v>
      </c>
      <c r="D28" s="787">
        <f>inputPrYr!D45</f>
        <v>0</v>
      </c>
      <c r="E28" s="834">
        <f>E26</f>
        <v>0</v>
      </c>
    </row>
    <row r="29" spans="2:5" ht="15.75">
      <c r="B29" s="94"/>
      <c r="C29" s="220">
        <f>IF(C26&gt;C28,"See Tab A","")</f>
      </c>
      <c r="D29" s="220">
        <f>IF(D26&gt;D28,"See Tab C","")</f>
      </c>
      <c r="E29" s="835">
        <f>IF(E27&lt;0,"See Tab E","")</f>
      </c>
    </row>
    <row r="30" spans="2:5" ht="15.75">
      <c r="B30" s="94"/>
      <c r="C30" s="220">
        <f>IF(C27&lt;0,"See Tab B","")</f>
      </c>
      <c r="D30" s="220">
        <f>IF(D27&lt;0,"See Tab D","")</f>
      </c>
      <c r="E30" s="62"/>
    </row>
    <row r="31" spans="2:5" ht="15.75">
      <c r="B31" s="32"/>
      <c r="C31" s="62"/>
      <c r="D31" s="62"/>
      <c r="E31" s="62"/>
    </row>
    <row r="32" spans="2:5" ht="15.75">
      <c r="B32" s="33"/>
      <c r="C32" s="238"/>
      <c r="D32" s="238"/>
      <c r="E32" s="238"/>
    </row>
    <row r="33" spans="2:5" ht="15.75">
      <c r="B33" s="33" t="s">
        <v>101</v>
      </c>
      <c r="C33" s="222" t="s">
        <v>801</v>
      </c>
      <c r="D33" s="102" t="s">
        <v>802</v>
      </c>
      <c r="E33" s="102" t="s">
        <v>803</v>
      </c>
    </row>
    <row r="34" spans="2:5" ht="15.75">
      <c r="B34" s="488">
        <f>(inputPrYr!B46)</f>
        <v>0</v>
      </c>
      <c r="C34" s="195" t="str">
        <f>C5</f>
        <v>Actual for -2</v>
      </c>
      <c r="D34" s="195" t="str">
        <f>D5</f>
        <v>Estimate for -1</v>
      </c>
      <c r="E34" s="195" t="str">
        <f>E5</f>
        <v>Year for 0</v>
      </c>
    </row>
    <row r="35" spans="2:5" ht="15.75">
      <c r="B35" s="196" t="s">
        <v>211</v>
      </c>
      <c r="C35" s="43"/>
      <c r="D35" s="170">
        <f>C58</f>
        <v>0</v>
      </c>
      <c r="E35" s="170">
        <f>D58</f>
        <v>0</v>
      </c>
    </row>
    <row r="36" spans="2:5" ht="15.75">
      <c r="B36" s="200" t="s">
        <v>213</v>
      </c>
      <c r="C36" s="58"/>
      <c r="D36" s="58"/>
      <c r="E36" s="58"/>
    </row>
    <row r="37" spans="2:5" ht="15.75">
      <c r="B37" s="217"/>
      <c r="C37" s="43"/>
      <c r="D37" s="43"/>
      <c r="E37" s="43"/>
    </row>
    <row r="38" spans="2:5" ht="15.75">
      <c r="B38" s="217"/>
      <c r="C38" s="43"/>
      <c r="D38" s="43"/>
      <c r="E38" s="43"/>
    </row>
    <row r="39" spans="2:5" ht="15.75">
      <c r="B39" s="217"/>
      <c r="C39" s="43"/>
      <c r="D39" s="43"/>
      <c r="E39" s="43"/>
    </row>
    <row r="40" spans="2:5" ht="15.75">
      <c r="B40" s="217"/>
      <c r="C40" s="43"/>
      <c r="D40" s="43"/>
      <c r="E40" s="43"/>
    </row>
    <row r="41" spans="2:5" ht="15.75">
      <c r="B41" s="205" t="s">
        <v>109</v>
      </c>
      <c r="C41" s="43"/>
      <c r="D41" s="43"/>
      <c r="E41" s="43"/>
    </row>
    <row r="42" spans="2:5" ht="15.75">
      <c r="B42" s="117" t="s">
        <v>13</v>
      </c>
      <c r="C42" s="43"/>
      <c r="D42" s="202"/>
      <c r="E42" s="202"/>
    </row>
    <row r="43" spans="2:5" ht="15.75">
      <c r="B43" s="196" t="s">
        <v>780</v>
      </c>
      <c r="C43" s="243">
        <f>IF(C44*0.1&lt;C42,"Exceed 10% Rule","")</f>
      </c>
      <c r="D43" s="207">
        <f>IF(D44*0.1&lt;D42,"Exceed 10% Rule","")</f>
      </c>
      <c r="E43" s="207">
        <f>IF(E44*0.1&lt;E42,"Exceed 10% Rule","")</f>
      </c>
    </row>
    <row r="44" spans="2:5" ht="15.75">
      <c r="B44" s="208" t="s">
        <v>110</v>
      </c>
      <c r="C44" s="211">
        <f>SUM(C37:C42)</f>
        <v>0</v>
      </c>
      <c r="D44" s="211">
        <f>SUM(D37:D42)</f>
        <v>0</v>
      </c>
      <c r="E44" s="211">
        <f>SUM(E37:E42)</f>
        <v>0</v>
      </c>
    </row>
    <row r="45" spans="2:5" ht="15.75">
      <c r="B45" s="208" t="s">
        <v>111</v>
      </c>
      <c r="C45" s="211">
        <f>C35+C44</f>
        <v>0</v>
      </c>
      <c r="D45" s="211">
        <f>D35+D44</f>
        <v>0</v>
      </c>
      <c r="E45" s="211">
        <f>E35+E44</f>
        <v>0</v>
      </c>
    </row>
    <row r="46" spans="2:5" ht="15.75">
      <c r="B46" s="108" t="s">
        <v>113</v>
      </c>
      <c r="C46" s="170"/>
      <c r="D46" s="170"/>
      <c r="E46" s="170"/>
    </row>
    <row r="47" spans="2:5" ht="15.75">
      <c r="B47" s="217"/>
      <c r="C47" s="43"/>
      <c r="D47" s="43"/>
      <c r="E47" s="43"/>
    </row>
    <row r="48" spans="2:5" ht="15.75">
      <c r="B48" s="217"/>
      <c r="C48" s="43"/>
      <c r="D48" s="43"/>
      <c r="E48" s="43"/>
    </row>
    <row r="49" spans="2:5" ht="15.75">
      <c r="B49" s="217"/>
      <c r="C49" s="43"/>
      <c r="D49" s="43"/>
      <c r="E49" s="43"/>
    </row>
    <row r="50" spans="2:5" ht="15.75">
      <c r="B50" s="217"/>
      <c r="C50" s="43"/>
      <c r="D50" s="43"/>
      <c r="E50" s="43"/>
    </row>
    <row r="51" spans="2:5" ht="15.75">
      <c r="B51" s="217"/>
      <c r="C51" s="43"/>
      <c r="D51" s="43"/>
      <c r="E51" s="43"/>
    </row>
    <row r="52" spans="2:5" ht="15.75">
      <c r="B52" s="217"/>
      <c r="C52" s="43"/>
      <c r="D52" s="43"/>
      <c r="E52" s="43"/>
    </row>
    <row r="53" spans="2:5" ht="15.75">
      <c r="B53" s="217"/>
      <c r="C53" s="43"/>
      <c r="D53" s="43"/>
      <c r="E53" s="43"/>
    </row>
    <row r="54" spans="2:5" ht="15.75">
      <c r="B54" s="218" t="str">
        <f>CONCATENATE("Cash Forward (",E1," column)")</f>
        <v>Cash Forward (0 column)</v>
      </c>
      <c r="C54" s="43"/>
      <c r="D54" s="43"/>
      <c r="E54" s="43"/>
    </row>
    <row r="55" spans="2:5" ht="15.75">
      <c r="B55" s="218" t="s">
        <v>13</v>
      </c>
      <c r="C55" s="43"/>
      <c r="D55" s="202"/>
      <c r="E55" s="202"/>
    </row>
    <row r="56" spans="2:5" ht="15.75">
      <c r="B56" s="239" t="s">
        <v>781</v>
      </c>
      <c r="C56" s="243">
        <f>IF(C57*0.1&lt;C55,"Exceed 10% Rule","")</f>
      </c>
      <c r="D56" s="207">
        <f>IF(D57*0.1&lt;D55,"Exceed 10% Rule","")</f>
      </c>
      <c r="E56" s="207">
        <f>IF(E57*0.1&lt;E55,"Exceed 10% Rule","")</f>
      </c>
    </row>
    <row r="57" spans="2:5" ht="15.75">
      <c r="B57" s="208" t="s">
        <v>117</v>
      </c>
      <c r="C57" s="211">
        <f>SUM(C47:C55)</f>
        <v>0</v>
      </c>
      <c r="D57" s="211">
        <f>SUM(D47:D55)</f>
        <v>0</v>
      </c>
      <c r="E57" s="211">
        <f>SUM(E47:E55)</f>
        <v>0</v>
      </c>
    </row>
    <row r="58" spans="2:5" ht="15.75">
      <c r="B58" s="108" t="s">
        <v>212</v>
      </c>
      <c r="C58" s="56">
        <f>C45-C57</f>
        <v>0</v>
      </c>
      <c r="D58" s="56">
        <f>D45-D57</f>
        <v>0</v>
      </c>
      <c r="E58" s="56">
        <f>E45-E57</f>
        <v>0</v>
      </c>
    </row>
    <row r="59" spans="2:5" ht="15.75">
      <c r="B59" s="128" t="str">
        <f>CONCATENATE("",E1-2,"/",E1-1,"/",E1," Budget Authority Amount:")</f>
        <v>-2/-1/0 Budget Authority Amount:</v>
      </c>
      <c r="C59" s="787">
        <f>inputOth!B85</f>
        <v>0</v>
      </c>
      <c r="D59" s="787">
        <f>inputPrYr!D46</f>
        <v>0</v>
      </c>
      <c r="E59" s="834">
        <f>E57</f>
        <v>0</v>
      </c>
    </row>
    <row r="60" spans="2:5" ht="15.75">
      <c r="B60" s="94"/>
      <c r="C60" s="220">
        <f>IF(C57&gt;C59,"See Tab A","")</f>
      </c>
      <c r="D60" s="220">
        <f>IF(D57&gt;D59,"See Tab C","")</f>
      </c>
      <c r="E60" s="835">
        <f>IF(E58&lt;0,"See Tab E","")</f>
      </c>
    </row>
    <row r="61" spans="2:5" ht="15.75">
      <c r="B61" s="982" t="s">
        <v>1034</v>
      </c>
      <c r="C61" s="966">
        <f>IF(C58&lt;0,"See Tab B","")</f>
      </c>
      <c r="D61" s="966">
        <f>IF(D58&lt;0,"See Tab D","")</f>
      </c>
      <c r="E61" s="951"/>
    </row>
    <row r="62" spans="2:5" ht="15.75">
      <c r="B62" s="761"/>
      <c r="C62" s="52"/>
      <c r="D62" s="52"/>
      <c r="E62" s="768"/>
    </row>
    <row r="63" spans="2:5" ht="15.75">
      <c r="B63" s="695"/>
      <c r="C63" s="47"/>
      <c r="D63" s="47"/>
      <c r="E63" s="55"/>
    </row>
    <row r="64" spans="2:5" ht="15.75">
      <c r="B64" s="32"/>
      <c r="C64" s="32"/>
      <c r="D64" s="32"/>
      <c r="E64" s="32"/>
    </row>
    <row r="65" spans="2:5" ht="15.75">
      <c r="B65" s="126" t="s">
        <v>120</v>
      </c>
      <c r="C65" s="225"/>
      <c r="D65" s="32"/>
      <c r="E65" s="32"/>
    </row>
  </sheetData>
  <sheetProtection/>
  <conditionalFormatting sqref="C13">
    <cfRule type="cellIs" priority="3" dxfId="328" operator="greaterThan" stopIfTrue="1">
      <formula>$C$15*0.1</formula>
    </cfRule>
  </conditionalFormatting>
  <conditionalFormatting sqref="D13">
    <cfRule type="cellIs" priority="4" dxfId="328" operator="greaterThan" stopIfTrue="1">
      <formula>$D$15*0.1</formula>
    </cfRule>
  </conditionalFormatting>
  <conditionalFormatting sqref="E13">
    <cfRule type="cellIs" priority="5" dxfId="328" operator="greaterThan" stopIfTrue="1">
      <formula>$E$15*0.1</formula>
    </cfRule>
  </conditionalFormatting>
  <conditionalFormatting sqref="C24">
    <cfRule type="cellIs" priority="6" dxfId="328" operator="greaterThan" stopIfTrue="1">
      <formula>$C$26*0.1</formula>
    </cfRule>
  </conditionalFormatting>
  <conditionalFormatting sqref="D24">
    <cfRule type="cellIs" priority="7" dxfId="328" operator="greaterThan" stopIfTrue="1">
      <formula>$D$26*0.1</formula>
    </cfRule>
  </conditionalFormatting>
  <conditionalFormatting sqref="E24">
    <cfRule type="cellIs" priority="8" dxfId="328" operator="greaterThan" stopIfTrue="1">
      <formula>$E$26*0.1</formula>
    </cfRule>
  </conditionalFormatting>
  <conditionalFormatting sqref="C42">
    <cfRule type="cellIs" priority="9" dxfId="328" operator="greaterThan" stopIfTrue="1">
      <formula>$C$44*0.1</formula>
    </cfRule>
  </conditionalFormatting>
  <conditionalFormatting sqref="D42">
    <cfRule type="cellIs" priority="10" dxfId="328" operator="greaterThan" stopIfTrue="1">
      <formula>$D$44*0.1</formula>
    </cfRule>
  </conditionalFormatting>
  <conditionalFormatting sqref="E42">
    <cfRule type="cellIs" priority="11" dxfId="328" operator="greaterThan" stopIfTrue="1">
      <formula>$E$44*0.1</formula>
    </cfRule>
  </conditionalFormatting>
  <conditionalFormatting sqref="C55">
    <cfRule type="cellIs" priority="12" dxfId="328" operator="greaterThan" stopIfTrue="1">
      <formula>$C$57*0.1</formula>
    </cfRule>
  </conditionalFormatting>
  <conditionalFormatting sqref="D55">
    <cfRule type="cellIs" priority="13" dxfId="328" operator="greaterThan" stopIfTrue="1">
      <formula>$D$57*0.1</formula>
    </cfRule>
  </conditionalFormatting>
  <conditionalFormatting sqref="E55">
    <cfRule type="cellIs" priority="14" dxfId="328" operator="greaterThan" stopIfTrue="1">
      <formula>$E$57*0.1</formula>
    </cfRule>
  </conditionalFormatting>
  <conditionalFormatting sqref="D57">
    <cfRule type="cellIs" priority="15" dxfId="3" operator="greaterThan" stopIfTrue="1">
      <formula>$D$59</formula>
    </cfRule>
  </conditionalFormatting>
  <conditionalFormatting sqref="C57">
    <cfRule type="cellIs" priority="16" dxfId="3" operator="greaterThan" stopIfTrue="1">
      <formula>$C$59</formula>
    </cfRule>
  </conditionalFormatting>
  <conditionalFormatting sqref="C58 E58 C27 E27">
    <cfRule type="cellIs" priority="17" dxfId="3" operator="lessThan" stopIfTrue="1">
      <formula>0</formula>
    </cfRule>
  </conditionalFormatting>
  <conditionalFormatting sqref="D26">
    <cfRule type="cellIs" priority="18" dxfId="3" operator="greaterThan" stopIfTrue="1">
      <formula>$D$28</formula>
    </cfRule>
  </conditionalFormatting>
  <conditionalFormatting sqref="C26">
    <cfRule type="cellIs" priority="19" dxfId="3" operator="greaterThan" stopIfTrue="1">
      <formula>$C$28</formula>
    </cfRule>
  </conditionalFormatting>
  <conditionalFormatting sqref="D58">
    <cfRule type="cellIs" priority="2" dxfId="0" operator="lessThan" stopIfTrue="1">
      <formula>0</formula>
    </cfRule>
  </conditionalFormatting>
  <conditionalFormatting sqref="D27">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D75" sqref="D75"/>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16384" width="8.8984375" style="30" customWidth="1"/>
  </cols>
  <sheetData>
    <row r="1" spans="2:5" ht="15.75">
      <c r="B1" s="140">
        <f>(inputPrYr!D3)</f>
        <v>0</v>
      </c>
      <c r="C1" s="32"/>
      <c r="D1" s="32"/>
      <c r="E1" s="190">
        <f>inputPrYr!C6</f>
        <v>0</v>
      </c>
    </row>
    <row r="2" spans="2:5" ht="15.75">
      <c r="B2" s="32"/>
      <c r="C2" s="32"/>
      <c r="D2" s="32"/>
      <c r="E2" s="126"/>
    </row>
    <row r="3" spans="2:5" ht="15.75">
      <c r="B3" s="191" t="s">
        <v>170</v>
      </c>
      <c r="C3" s="232"/>
      <c r="D3" s="232"/>
      <c r="E3" s="232"/>
    </row>
    <row r="4" spans="2:5" ht="15.75">
      <c r="B4" s="33" t="s">
        <v>101</v>
      </c>
      <c r="C4" s="365" t="s">
        <v>801</v>
      </c>
      <c r="D4" s="364" t="s">
        <v>802</v>
      </c>
      <c r="E4" s="343" t="s">
        <v>803</v>
      </c>
    </row>
    <row r="5" spans="2:5" ht="15.75">
      <c r="B5" s="488">
        <f>inputPrYr!B47</f>
        <v>0</v>
      </c>
      <c r="C5" s="366" t="str">
        <f>CONCATENATE("Actual for ",E1-2,"")</f>
        <v>Actual for -2</v>
      </c>
      <c r="D5" s="366" t="str">
        <f>CONCATENATE("Estimate for ",E1-1,"")</f>
        <v>Estimate for -1</v>
      </c>
      <c r="E5" s="351" t="str">
        <f>CONCATENATE("Year for ",E1,"")</f>
        <v>Year for 0</v>
      </c>
    </row>
    <row r="6" spans="2:5" ht="15.75">
      <c r="B6" s="196" t="s">
        <v>211</v>
      </c>
      <c r="C6" s="43"/>
      <c r="D6" s="170">
        <f>C27</f>
        <v>0</v>
      </c>
      <c r="E6" s="170">
        <f>D27</f>
        <v>0</v>
      </c>
    </row>
    <row r="7" spans="2:5" ht="15.75">
      <c r="B7" s="200" t="s">
        <v>213</v>
      </c>
      <c r="C7" s="58"/>
      <c r="D7" s="58"/>
      <c r="E7" s="58"/>
    </row>
    <row r="8" spans="2:5" ht="15.75">
      <c r="B8" s="217"/>
      <c r="C8" s="43"/>
      <c r="D8" s="43"/>
      <c r="E8" s="43"/>
    </row>
    <row r="9" spans="2:5" ht="15.75">
      <c r="B9" s="217"/>
      <c r="C9" s="43"/>
      <c r="D9" s="43"/>
      <c r="E9" s="43"/>
    </row>
    <row r="10" spans="2:5" ht="15.75">
      <c r="B10" s="217"/>
      <c r="C10" s="43"/>
      <c r="D10" s="43"/>
      <c r="E10" s="43"/>
    </row>
    <row r="11" spans="2:5" ht="15.75">
      <c r="B11" s="217"/>
      <c r="C11" s="43"/>
      <c r="D11" s="43"/>
      <c r="E11" s="43"/>
    </row>
    <row r="12" spans="2:5" ht="15.75">
      <c r="B12" s="205" t="s">
        <v>109</v>
      </c>
      <c r="C12" s="43"/>
      <c r="D12" s="43"/>
      <c r="E12" s="43"/>
    </row>
    <row r="13" spans="2:5" ht="15.75">
      <c r="B13" s="117" t="s">
        <v>13</v>
      </c>
      <c r="C13" s="43"/>
      <c r="D13" s="202"/>
      <c r="E13" s="202"/>
    </row>
    <row r="14" spans="2:5" ht="15.75">
      <c r="B14" s="196" t="s">
        <v>780</v>
      </c>
      <c r="C14" s="243">
        <f>IF(C15*0.1&lt;C13,"Exceed 10% Rule","")</f>
      </c>
      <c r="D14" s="207">
        <f>IF(D15*0.1&lt;D13,"Exceed 10% Rule","")</f>
      </c>
      <c r="E14" s="207">
        <f>IF(E15*0.1&lt;E13,"Exceed 10% Rule","")</f>
      </c>
    </row>
    <row r="15" spans="2:5" ht="15.75">
      <c r="B15" s="208" t="s">
        <v>110</v>
      </c>
      <c r="C15" s="211">
        <f>SUM(C8:C13)</f>
        <v>0</v>
      </c>
      <c r="D15" s="211">
        <f>SUM(D8:D13)</f>
        <v>0</v>
      </c>
      <c r="E15" s="211">
        <f>SUM(E8:E13)</f>
        <v>0</v>
      </c>
    </row>
    <row r="16" spans="2:5" ht="15.75">
      <c r="B16" s="208" t="s">
        <v>111</v>
      </c>
      <c r="C16" s="211">
        <f>C6+C15</f>
        <v>0</v>
      </c>
      <c r="D16" s="211">
        <f>D6+D15</f>
        <v>0</v>
      </c>
      <c r="E16" s="211">
        <f>E6+E15</f>
        <v>0</v>
      </c>
    </row>
    <row r="17" spans="2:5" ht="15.75">
      <c r="B17" s="108" t="s">
        <v>113</v>
      </c>
      <c r="C17" s="170"/>
      <c r="D17" s="170"/>
      <c r="E17" s="170"/>
    </row>
    <row r="18" spans="2:5" ht="15.75">
      <c r="B18" s="217"/>
      <c r="C18" s="43"/>
      <c r="D18" s="43"/>
      <c r="E18" s="43"/>
    </row>
    <row r="19" spans="2:5" ht="15.75">
      <c r="B19" s="217"/>
      <c r="C19" s="43"/>
      <c r="D19" s="43"/>
      <c r="E19" s="43"/>
    </row>
    <row r="20" spans="2:5" ht="15.75">
      <c r="B20" s="217"/>
      <c r="C20" s="43"/>
      <c r="D20" s="43"/>
      <c r="E20" s="43"/>
    </row>
    <row r="21" spans="2:5" ht="15.75">
      <c r="B21" s="217"/>
      <c r="C21" s="43"/>
      <c r="D21" s="43"/>
      <c r="E21" s="43"/>
    </row>
    <row r="22" spans="2:5" ht="15.75">
      <c r="B22" s="217"/>
      <c r="C22" s="43"/>
      <c r="D22" s="43"/>
      <c r="E22" s="43"/>
    </row>
    <row r="23" spans="2:5" ht="15.75">
      <c r="B23" s="218" t="str">
        <f>CONCATENATE("Cash Forward (",E1," column)")</f>
        <v>Cash Forward (0 column)</v>
      </c>
      <c r="C23" s="43"/>
      <c r="D23" s="43"/>
      <c r="E23" s="43"/>
    </row>
    <row r="24" spans="2:5" ht="15.75">
      <c r="B24" s="218" t="s">
        <v>13</v>
      </c>
      <c r="C24" s="43"/>
      <c r="D24" s="202"/>
      <c r="E24" s="202"/>
    </row>
    <row r="25" spans="2:5" ht="15.75">
      <c r="B25" s="218" t="s">
        <v>781</v>
      </c>
      <c r="C25" s="243">
        <f>IF(C26*0.1&lt;C24,"Exceed 10% Rule","")</f>
      </c>
      <c r="D25" s="207">
        <f>IF(D26*0.1&lt;D24,"Exceed 10% Rule","")</f>
      </c>
      <c r="E25" s="207">
        <f>IF(E26*0.1&lt;E24,"Exceed 10% Rule","")</f>
      </c>
    </row>
    <row r="26" spans="2:5" ht="15.75">
      <c r="B26" s="208" t="s">
        <v>117</v>
      </c>
      <c r="C26" s="211">
        <f>SUM(C18:C24)</f>
        <v>0</v>
      </c>
      <c r="D26" s="211">
        <f>SUM(D18:D24)</f>
        <v>0</v>
      </c>
      <c r="E26" s="211">
        <f>SUM(E18:E24)</f>
        <v>0</v>
      </c>
    </row>
    <row r="27" spans="2:5" ht="15.75">
      <c r="B27" s="108" t="s">
        <v>212</v>
      </c>
      <c r="C27" s="56">
        <f>C16-C26</f>
        <v>0</v>
      </c>
      <c r="D27" s="56">
        <f>D16-D26</f>
        <v>0</v>
      </c>
      <c r="E27" s="56">
        <f>E16-E26</f>
        <v>0</v>
      </c>
    </row>
    <row r="28" spans="2:5" ht="15.75">
      <c r="B28" s="128" t="str">
        <f>CONCATENATE("",E1-2,"/",E1-1,"/",E1," Budget Authority Amount:")</f>
        <v>-2/-1/0 Budget Authority Amount:</v>
      </c>
      <c r="C28" s="787">
        <f>inputOth!B86</f>
        <v>0</v>
      </c>
      <c r="D28" s="787">
        <f>inputPrYr!D47</f>
        <v>0</v>
      </c>
      <c r="E28" s="834">
        <f>E26</f>
        <v>0</v>
      </c>
    </row>
    <row r="29" spans="2:5" ht="15.75">
      <c r="B29" s="94"/>
      <c r="C29" s="220">
        <f>IF(C26&gt;C28,"See Tab A","")</f>
      </c>
      <c r="D29" s="220">
        <f>IF(D26&gt;D28,"See Tab C","")</f>
      </c>
      <c r="E29" s="835">
        <f>IF(E27&lt;0,"See Tab E","")</f>
      </c>
    </row>
    <row r="30" spans="2:5" ht="15.75">
      <c r="B30" s="94"/>
      <c r="C30" s="220">
        <f>IF(C27&lt;0,"See Tab B","")</f>
      </c>
      <c r="D30" s="220">
        <f>IF(D27&lt;0,"See Tab D","")</f>
      </c>
      <c r="E30" s="62"/>
    </row>
    <row r="31" spans="2:5" ht="15.75">
      <c r="B31" s="32"/>
      <c r="C31" s="62"/>
      <c r="D31" s="62"/>
      <c r="E31" s="62"/>
    </row>
    <row r="32" spans="2:5" ht="15.75">
      <c r="B32" s="33"/>
      <c r="C32" s="238"/>
      <c r="D32" s="238"/>
      <c r="E32" s="238"/>
    </row>
    <row r="33" spans="2:5" ht="15.75">
      <c r="B33" s="33" t="s">
        <v>101</v>
      </c>
      <c r="C33" s="222" t="s">
        <v>801</v>
      </c>
      <c r="D33" s="102" t="s">
        <v>802</v>
      </c>
      <c r="E33" s="102" t="s">
        <v>803</v>
      </c>
    </row>
    <row r="34" spans="2:5" ht="15.75">
      <c r="B34" s="488">
        <f>inputPrYr!B48</f>
        <v>0</v>
      </c>
      <c r="C34" s="195" t="str">
        <f>C5</f>
        <v>Actual for -2</v>
      </c>
      <c r="D34" s="195" t="str">
        <f>D5</f>
        <v>Estimate for -1</v>
      </c>
      <c r="E34" s="195" t="str">
        <f>E5</f>
        <v>Year for 0</v>
      </c>
    </row>
    <row r="35" spans="2:5" ht="15.75">
      <c r="B35" s="196" t="s">
        <v>211</v>
      </c>
      <c r="C35" s="43"/>
      <c r="D35" s="170">
        <f>C58</f>
        <v>0</v>
      </c>
      <c r="E35" s="170">
        <f>D58</f>
        <v>0</v>
      </c>
    </row>
    <row r="36" spans="2:5" ht="15.75">
      <c r="B36" s="200" t="s">
        <v>213</v>
      </c>
      <c r="C36" s="58"/>
      <c r="D36" s="58"/>
      <c r="E36" s="58"/>
    </row>
    <row r="37" spans="2:5" ht="15.75">
      <c r="B37" s="217"/>
      <c r="C37" s="43"/>
      <c r="D37" s="43"/>
      <c r="E37" s="43"/>
    </row>
    <row r="38" spans="2:5" ht="15.75">
      <c r="B38" s="217"/>
      <c r="C38" s="43"/>
      <c r="D38" s="43"/>
      <c r="E38" s="43"/>
    </row>
    <row r="39" spans="2:5" ht="15.75">
      <c r="B39" s="217"/>
      <c r="C39" s="43"/>
      <c r="D39" s="43"/>
      <c r="E39" s="43"/>
    </row>
    <row r="40" spans="2:5" ht="15.75">
      <c r="B40" s="217"/>
      <c r="C40" s="43"/>
      <c r="D40" s="43"/>
      <c r="E40" s="43"/>
    </row>
    <row r="41" spans="2:5" ht="15.75">
      <c r="B41" s="205" t="s">
        <v>109</v>
      </c>
      <c r="C41" s="43"/>
      <c r="D41" s="43"/>
      <c r="E41" s="43"/>
    </row>
    <row r="42" spans="2:5" ht="15.75">
      <c r="B42" s="117" t="s">
        <v>13</v>
      </c>
      <c r="C42" s="43"/>
      <c r="D42" s="202"/>
      <c r="E42" s="202"/>
    </row>
    <row r="43" spans="2:5" ht="15.75">
      <c r="B43" s="196" t="s">
        <v>780</v>
      </c>
      <c r="C43" s="243">
        <f>IF(C44*0.1&lt;C42,"Exceed 10% Rule","")</f>
      </c>
      <c r="D43" s="207">
        <f>IF(D44*0.1&lt;D42,"Exceed 10% Rule","")</f>
      </c>
      <c r="E43" s="207">
        <f>IF(E44*0.1&lt;E42,"Exceed 10% Rule","")</f>
      </c>
    </row>
    <row r="44" spans="2:5" ht="15.75">
      <c r="B44" s="208" t="s">
        <v>110</v>
      </c>
      <c r="C44" s="211">
        <f>SUM(C37:C42)</f>
        <v>0</v>
      </c>
      <c r="D44" s="211">
        <f>SUM(D37:D42)</f>
        <v>0</v>
      </c>
      <c r="E44" s="211">
        <f>SUM(E37:E42)</f>
        <v>0</v>
      </c>
    </row>
    <row r="45" spans="2:5" ht="15.75">
      <c r="B45" s="208" t="s">
        <v>111</v>
      </c>
      <c r="C45" s="211">
        <f>C35+C44</f>
        <v>0</v>
      </c>
      <c r="D45" s="211">
        <f>D35+D44</f>
        <v>0</v>
      </c>
      <c r="E45" s="211">
        <f>E35+E44</f>
        <v>0</v>
      </c>
    </row>
    <row r="46" spans="2:5" ht="15.75">
      <c r="B46" s="108" t="s">
        <v>113</v>
      </c>
      <c r="C46" s="170"/>
      <c r="D46" s="170"/>
      <c r="E46" s="170"/>
    </row>
    <row r="47" spans="2:5" ht="15.75">
      <c r="B47" s="217"/>
      <c r="C47" s="43"/>
      <c r="D47" s="43"/>
      <c r="E47" s="43"/>
    </row>
    <row r="48" spans="2:5" ht="15.75">
      <c r="B48" s="217"/>
      <c r="C48" s="43"/>
      <c r="D48" s="43"/>
      <c r="E48" s="43"/>
    </row>
    <row r="49" spans="2:5" ht="15.75">
      <c r="B49" s="217"/>
      <c r="C49" s="43"/>
      <c r="D49" s="43"/>
      <c r="E49" s="43"/>
    </row>
    <row r="50" spans="2:5" ht="15.75">
      <c r="B50" s="217"/>
      <c r="C50" s="43"/>
      <c r="D50" s="43"/>
      <c r="E50" s="43"/>
    </row>
    <row r="51" spans="2:5" ht="15.75">
      <c r="B51" s="217"/>
      <c r="C51" s="43"/>
      <c r="D51" s="43"/>
      <c r="E51" s="43"/>
    </row>
    <row r="52" spans="2:5" ht="15.75">
      <c r="B52" s="217"/>
      <c r="C52" s="43"/>
      <c r="D52" s="43"/>
      <c r="E52" s="43"/>
    </row>
    <row r="53" spans="2:5" ht="15.75">
      <c r="B53" s="217"/>
      <c r="C53" s="43"/>
      <c r="D53" s="43"/>
      <c r="E53" s="43"/>
    </row>
    <row r="54" spans="2:5" ht="15.75">
      <c r="B54" s="218" t="str">
        <f>CONCATENATE("Cash Forward (",E1," column)")</f>
        <v>Cash Forward (0 column)</v>
      </c>
      <c r="C54" s="43"/>
      <c r="D54" s="43"/>
      <c r="E54" s="43"/>
    </row>
    <row r="55" spans="2:5" ht="15.75">
      <c r="B55" s="218" t="s">
        <v>13</v>
      </c>
      <c r="C55" s="43"/>
      <c r="D55" s="202"/>
      <c r="E55" s="202"/>
    </row>
    <row r="56" spans="2:5" ht="15.75">
      <c r="B56" s="218" t="s">
        <v>781</v>
      </c>
      <c r="C56" s="243">
        <f>IF(C57*0.1&lt;C55,"Exceed 10% Rule","")</f>
      </c>
      <c r="D56" s="207">
        <f>IF(D57*0.1&lt;D55,"Exceed 10% Rule","")</f>
      </c>
      <c r="E56" s="207">
        <f>IF(E57*0.1&lt;E55,"Exceed 10% Rule","")</f>
      </c>
    </row>
    <row r="57" spans="2:5" ht="15.75">
      <c r="B57" s="208" t="s">
        <v>117</v>
      </c>
      <c r="C57" s="211">
        <f>SUM(C47:C55)</f>
        <v>0</v>
      </c>
      <c r="D57" s="211">
        <f>SUM(D47:D55)</f>
        <v>0</v>
      </c>
      <c r="E57" s="211">
        <f>SUM(E47:E55)</f>
        <v>0</v>
      </c>
    </row>
    <row r="58" spans="2:5" ht="15.75">
      <c r="B58" s="108" t="s">
        <v>212</v>
      </c>
      <c r="C58" s="56">
        <f>C45-C57</f>
        <v>0</v>
      </c>
      <c r="D58" s="56">
        <f>D45-D57</f>
        <v>0</v>
      </c>
      <c r="E58" s="56">
        <f>E45-E57</f>
        <v>0</v>
      </c>
    </row>
    <row r="59" spans="2:5" ht="15.75">
      <c r="B59" s="128" t="str">
        <f>CONCATENATE("",E1-2,"/",E1-1,"/",E1," Budget Authority Amount:")</f>
        <v>-2/-1/0 Budget Authority Amount:</v>
      </c>
      <c r="C59" s="787">
        <f>inputOth!B87</f>
        <v>0</v>
      </c>
      <c r="D59" s="787">
        <f>inputPrYr!D48</f>
        <v>0</v>
      </c>
      <c r="E59" s="834">
        <f>E57</f>
        <v>0</v>
      </c>
    </row>
    <row r="60" spans="2:5" ht="15.75">
      <c r="B60" s="94"/>
      <c r="C60" s="220">
        <f>IF(C57&gt;C59,"See Tab A","")</f>
      </c>
      <c r="D60" s="220">
        <f>IF(D57&gt;D59,"See Tab C","")</f>
      </c>
      <c r="E60" s="835">
        <f>IF(E58&lt;0,"See Tab E","")</f>
      </c>
    </row>
    <row r="61" spans="2:5" ht="15.75">
      <c r="B61" s="982" t="s">
        <v>1034</v>
      </c>
      <c r="C61" s="966">
        <f>IF(C58&lt;0,"See Tab B","")</f>
      </c>
      <c r="D61" s="966">
        <f>IF(D58&lt;0,"See Tab D","")</f>
      </c>
      <c r="E61" s="951"/>
    </row>
    <row r="62" spans="2:5" ht="15.75">
      <c r="B62" s="761"/>
      <c r="C62" s="52"/>
      <c r="D62" s="52"/>
      <c r="E62" s="768"/>
    </row>
    <row r="63" spans="2:5" ht="15.75">
      <c r="B63" s="695"/>
      <c r="C63" s="47"/>
      <c r="D63" s="47"/>
      <c r="E63" s="55"/>
    </row>
    <row r="64" spans="2:5" ht="15.75">
      <c r="B64" s="32"/>
      <c r="C64" s="32"/>
      <c r="D64" s="32"/>
      <c r="E64" s="32"/>
    </row>
    <row r="65" spans="2:5" ht="15.75">
      <c r="B65" s="126" t="s">
        <v>120</v>
      </c>
      <c r="C65" s="225"/>
      <c r="D65" s="32"/>
      <c r="E65" s="32"/>
    </row>
    <row r="67" ht="15.75">
      <c r="B67" s="983"/>
    </row>
  </sheetData>
  <sheetProtection/>
  <conditionalFormatting sqref="C13">
    <cfRule type="cellIs" priority="3" dxfId="328" operator="greaterThan" stopIfTrue="1">
      <formula>$C$15*0.1</formula>
    </cfRule>
  </conditionalFormatting>
  <conditionalFormatting sqref="D13">
    <cfRule type="cellIs" priority="4" dxfId="328" operator="greaterThan" stopIfTrue="1">
      <formula>$D$15*0.1</formula>
    </cfRule>
  </conditionalFormatting>
  <conditionalFormatting sqref="E13">
    <cfRule type="cellIs" priority="5" dxfId="328" operator="greaterThan" stopIfTrue="1">
      <formula>$E$15*0.1</formula>
    </cfRule>
  </conditionalFormatting>
  <conditionalFormatting sqref="C24">
    <cfRule type="cellIs" priority="6" dxfId="328" operator="greaterThan" stopIfTrue="1">
      <formula>$C$26*0.1</formula>
    </cfRule>
  </conditionalFormatting>
  <conditionalFormatting sqref="D24">
    <cfRule type="cellIs" priority="7" dxfId="328" operator="greaterThan" stopIfTrue="1">
      <formula>$D$26*0.1</formula>
    </cfRule>
  </conditionalFormatting>
  <conditionalFormatting sqref="E24">
    <cfRule type="cellIs" priority="8" dxfId="328" operator="greaterThan" stopIfTrue="1">
      <formula>$E$26*0.1</formula>
    </cfRule>
  </conditionalFormatting>
  <conditionalFormatting sqref="C42">
    <cfRule type="cellIs" priority="9" dxfId="328" operator="greaterThan" stopIfTrue="1">
      <formula>$C$44*0.1</formula>
    </cfRule>
  </conditionalFormatting>
  <conditionalFormatting sqref="D42">
    <cfRule type="cellIs" priority="10" dxfId="328" operator="greaterThan" stopIfTrue="1">
      <formula>$D$44*0.1</formula>
    </cfRule>
  </conditionalFormatting>
  <conditionalFormatting sqref="E42">
    <cfRule type="cellIs" priority="11" dxfId="328" operator="greaterThan" stopIfTrue="1">
      <formula>$E$44*0.1</formula>
    </cfRule>
  </conditionalFormatting>
  <conditionalFormatting sqref="C55">
    <cfRule type="cellIs" priority="12" dxfId="328" operator="greaterThan" stopIfTrue="1">
      <formula>$C$57*0.1</formula>
    </cfRule>
  </conditionalFormatting>
  <conditionalFormatting sqref="D55">
    <cfRule type="cellIs" priority="13" dxfId="328" operator="greaterThan" stopIfTrue="1">
      <formula>$D$57*0.1</formula>
    </cfRule>
  </conditionalFormatting>
  <conditionalFormatting sqref="E55">
    <cfRule type="cellIs" priority="14" dxfId="328" operator="greaterThan" stopIfTrue="1">
      <formula>$E$57*0.1</formula>
    </cfRule>
  </conditionalFormatting>
  <conditionalFormatting sqref="D57">
    <cfRule type="cellIs" priority="15" dxfId="3" operator="greaterThan" stopIfTrue="1">
      <formula>$D$59</formula>
    </cfRule>
  </conditionalFormatting>
  <conditionalFormatting sqref="C57">
    <cfRule type="cellIs" priority="16" dxfId="3" operator="greaterThan" stopIfTrue="1">
      <formula>$C$59</formula>
    </cfRule>
  </conditionalFormatting>
  <conditionalFormatting sqref="C58 E58 C27 E27">
    <cfRule type="cellIs" priority="17" dxfId="3" operator="lessThan" stopIfTrue="1">
      <formula>0</formula>
    </cfRule>
  </conditionalFormatting>
  <conditionalFormatting sqref="D26">
    <cfRule type="cellIs" priority="18" dxfId="3" operator="greaterThan" stopIfTrue="1">
      <formula>$D$28</formula>
    </cfRule>
  </conditionalFormatting>
  <conditionalFormatting sqref="C26">
    <cfRule type="cellIs" priority="19" dxfId="3" operator="greaterThan" stopIfTrue="1">
      <formula>$C$28</formula>
    </cfRule>
  </conditionalFormatting>
  <conditionalFormatting sqref="D58">
    <cfRule type="cellIs" priority="2" dxfId="0" operator="lessThan" stopIfTrue="1">
      <formula>0</formula>
    </cfRule>
  </conditionalFormatting>
  <conditionalFormatting sqref="D27">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75" sqref="E75"/>
    </sheetView>
  </sheetViews>
  <sheetFormatPr defaultColWidth="8.796875" defaultRowHeight="15"/>
  <cols>
    <col min="1" max="1" width="2.3984375" style="30" customWidth="1"/>
    <col min="2" max="2" width="31.09765625" style="30" customWidth="1"/>
    <col min="3" max="4" width="15.796875" style="30" customWidth="1"/>
    <col min="5" max="5" width="16.0976562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75">
      <c r="B1" s="140">
        <f>(inputPrYr!D3)</f>
        <v>0</v>
      </c>
      <c r="C1" s="32"/>
      <c r="D1" s="32"/>
      <c r="E1" s="190">
        <f>inputPrYr!C6</f>
        <v>0</v>
      </c>
    </row>
    <row r="2" spans="2:5" ht="15.75">
      <c r="B2" s="32"/>
      <c r="C2" s="32"/>
      <c r="D2" s="32"/>
      <c r="E2" s="126"/>
    </row>
    <row r="3" spans="2:5" ht="15.75">
      <c r="B3" s="191" t="s">
        <v>170</v>
      </c>
      <c r="C3" s="232"/>
      <c r="D3" s="232"/>
      <c r="E3" s="232"/>
    </row>
    <row r="4" spans="2:5" ht="15.75">
      <c r="B4" s="33" t="s">
        <v>101</v>
      </c>
      <c r="C4" s="365" t="s">
        <v>801</v>
      </c>
      <c r="D4" s="364" t="s">
        <v>802</v>
      </c>
      <c r="E4" s="343" t="s">
        <v>803</v>
      </c>
    </row>
    <row r="5" spans="2:5" ht="15.75">
      <c r="B5" s="488">
        <f>inputPrYr!B49</f>
        <v>0</v>
      </c>
      <c r="C5" s="366" t="str">
        <f>CONCATENATE("Actual for ",E1-2,"")</f>
        <v>Actual for -2</v>
      </c>
      <c r="D5" s="366" t="str">
        <f>CONCATENATE("Estimate for ",E1-1,"")</f>
        <v>Estimate for -1</v>
      </c>
      <c r="E5" s="351" t="str">
        <f>CONCATENATE("Year for ",E1,"")</f>
        <v>Year for 0</v>
      </c>
    </row>
    <row r="6" spans="2:5" ht="15.75">
      <c r="B6" s="196" t="s">
        <v>211</v>
      </c>
      <c r="C6" s="43"/>
      <c r="D6" s="170">
        <f>C29</f>
        <v>0</v>
      </c>
      <c r="E6" s="170">
        <f>D29</f>
        <v>0</v>
      </c>
    </row>
    <row r="7" spans="2:5" ht="15.75">
      <c r="B7" s="200" t="s">
        <v>213</v>
      </c>
      <c r="C7" s="58"/>
      <c r="D7" s="58"/>
      <c r="E7" s="58"/>
    </row>
    <row r="8" spans="2:5" ht="15.75">
      <c r="B8" s="217"/>
      <c r="C8" s="43"/>
      <c r="D8" s="43"/>
      <c r="E8" s="43"/>
    </row>
    <row r="9" spans="2:5" ht="15.75">
      <c r="B9" s="217"/>
      <c r="C9" s="43"/>
      <c r="D9" s="43"/>
      <c r="E9" s="43"/>
    </row>
    <row r="10" spans="2:5" ht="15.75">
      <c r="B10" s="217"/>
      <c r="C10" s="43"/>
      <c r="D10" s="43"/>
      <c r="E10" s="43"/>
    </row>
    <row r="11" spans="2:5" ht="15.75">
      <c r="B11" s="217"/>
      <c r="C11" s="43"/>
      <c r="D11" s="43"/>
      <c r="E11" s="43"/>
    </row>
    <row r="12" spans="2:5" ht="15.75">
      <c r="B12" s="217"/>
      <c r="C12" s="43"/>
      <c r="D12" s="43"/>
      <c r="E12" s="43"/>
    </row>
    <row r="13" spans="2:5" ht="15.75">
      <c r="B13" s="205" t="s">
        <v>109</v>
      </c>
      <c r="C13" s="43"/>
      <c r="D13" s="43"/>
      <c r="E13" s="43"/>
    </row>
    <row r="14" spans="2:5" ht="15.75">
      <c r="B14" s="117" t="s">
        <v>13</v>
      </c>
      <c r="C14" s="154"/>
      <c r="D14" s="154"/>
      <c r="E14" s="154"/>
    </row>
    <row r="15" spans="2:5" ht="15.75">
      <c r="B15" s="196" t="s">
        <v>780</v>
      </c>
      <c r="C15" s="243">
        <f>IF(C16*0.1&lt;C14,"Exceed 10% Rule","")</f>
      </c>
      <c r="D15" s="207">
        <f>IF(D16*0.1&lt;D14,"Exceed 10% Rule","")</f>
      </c>
      <c r="E15" s="207">
        <f>IF(E16*0.1&lt;E14,"Exceed 10% Rule","")</f>
      </c>
    </row>
    <row r="16" spans="2:5" ht="15.75">
      <c r="B16" s="208" t="s">
        <v>110</v>
      </c>
      <c r="C16" s="211">
        <f>SUM(C8:C14)</f>
        <v>0</v>
      </c>
      <c r="D16" s="211">
        <f>SUM(D8:D14)</f>
        <v>0</v>
      </c>
      <c r="E16" s="211">
        <f>SUM(E8:E14)</f>
        <v>0</v>
      </c>
    </row>
    <row r="17" spans="2:5" ht="15.75">
      <c r="B17" s="208" t="s">
        <v>111</v>
      </c>
      <c r="C17" s="211">
        <f>C6+C16</f>
        <v>0</v>
      </c>
      <c r="D17" s="211">
        <f>D6+D16</f>
        <v>0</v>
      </c>
      <c r="E17" s="211">
        <f>E6+E16</f>
        <v>0</v>
      </c>
    </row>
    <row r="18" spans="2:5" ht="15.75">
      <c r="B18" s="108" t="s">
        <v>113</v>
      </c>
      <c r="C18" s="170"/>
      <c r="D18" s="170"/>
      <c r="E18" s="170"/>
    </row>
    <row r="19" spans="2:5" ht="15.75">
      <c r="B19" s="217"/>
      <c r="C19" s="43"/>
      <c r="D19" s="43"/>
      <c r="E19" s="43"/>
    </row>
    <row r="20" spans="2:5" ht="15.75">
      <c r="B20" s="217"/>
      <c r="C20" s="43"/>
      <c r="D20" s="43"/>
      <c r="E20" s="43"/>
    </row>
    <row r="21" spans="2:5" ht="15.75">
      <c r="B21" s="217"/>
      <c r="C21" s="43"/>
      <c r="D21" s="43"/>
      <c r="E21" s="43"/>
    </row>
    <row r="22" spans="2:5" ht="15.75">
      <c r="B22" s="217"/>
      <c r="C22" s="43"/>
      <c r="D22" s="43"/>
      <c r="E22" s="43"/>
    </row>
    <row r="23" spans="2:5" ht="15.75">
      <c r="B23" s="217"/>
      <c r="C23" s="43"/>
      <c r="D23" s="43"/>
      <c r="E23" s="43"/>
    </row>
    <row r="24" spans="2:5" ht="15.75">
      <c r="B24" s="217"/>
      <c r="C24" s="43"/>
      <c r="D24" s="43"/>
      <c r="E24" s="43"/>
    </row>
    <row r="25" spans="2:5" ht="15.75">
      <c r="B25" s="218" t="str">
        <f>CONCATENATE("Cash Forward (",E1," column)")</f>
        <v>Cash Forward (0 column)</v>
      </c>
      <c r="C25" s="43"/>
      <c r="D25" s="43"/>
      <c r="E25" s="43"/>
    </row>
    <row r="26" spans="2:5" ht="15.75">
      <c r="B26" s="218" t="s">
        <v>13</v>
      </c>
      <c r="C26" s="43"/>
      <c r="D26" s="202"/>
      <c r="E26" s="202"/>
    </row>
    <row r="27" spans="2:5" ht="15.75">
      <c r="B27" s="218" t="s">
        <v>781</v>
      </c>
      <c r="C27" s="243">
        <f>IF(C28*0.1&lt;C26,"Exceed 10% Rule","")</f>
      </c>
      <c r="D27" s="207">
        <f>IF(D28*0.1&lt;D26,"Exceed 10% Rule","")</f>
      </c>
      <c r="E27" s="207">
        <f>IF(E28*0.1&lt;E26,"Exceed 10% Rule","")</f>
      </c>
    </row>
    <row r="28" spans="2:5" ht="15.75">
      <c r="B28" s="208" t="s">
        <v>117</v>
      </c>
      <c r="C28" s="211">
        <f>SUM(C19:C26)</f>
        <v>0</v>
      </c>
      <c r="D28" s="211">
        <f>SUM(D19:D26)</f>
        <v>0</v>
      </c>
      <c r="E28" s="211">
        <f>SUM(E19:E26)</f>
        <v>0</v>
      </c>
    </row>
    <row r="29" spans="2:5" ht="15.75">
      <c r="B29" s="108" t="s">
        <v>212</v>
      </c>
      <c r="C29" s="56">
        <f>C17-C28</f>
        <v>0</v>
      </c>
      <c r="D29" s="56">
        <f>D17-D28</f>
        <v>0</v>
      </c>
      <c r="E29" s="56">
        <f>E17-E28</f>
        <v>0</v>
      </c>
    </row>
    <row r="30" spans="2:5" ht="15.75">
      <c r="B30" s="128" t="str">
        <f>CONCATENATE("",E1-2,"/",E1-1,"/",E1," Budget Authority Amount:")</f>
        <v>-2/-1/0 Budget Authority Amount:</v>
      </c>
      <c r="C30" s="787">
        <f>inputOth!B88</f>
        <v>0</v>
      </c>
      <c r="D30" s="787">
        <f>inputPrYr!D49</f>
        <v>0</v>
      </c>
      <c r="E30" s="834">
        <f>E28</f>
        <v>0</v>
      </c>
    </row>
    <row r="31" spans="2:5" ht="15.75">
      <c r="B31" s="94"/>
      <c r="C31" s="220">
        <f>IF(C28&gt;C30,"See Tab A","")</f>
      </c>
      <c r="D31" s="220">
        <f>IF(D28&gt;D30,"See Tab C","")</f>
      </c>
      <c r="E31" s="835">
        <f>IF(E29&lt;0,"See Tab E","")</f>
      </c>
    </row>
    <row r="32" spans="2:5" ht="15.75">
      <c r="B32" s="94"/>
      <c r="C32" s="220">
        <f>IF(C29&lt;0,"See Tab B","")</f>
      </c>
      <c r="D32" s="220">
        <f>IF(D29&lt;0,"See Tab D","")</f>
      </c>
      <c r="E32" s="62"/>
    </row>
    <row r="33" spans="2:5" ht="15.75">
      <c r="B33" s="32"/>
      <c r="C33" s="62"/>
      <c r="D33" s="62"/>
      <c r="E33" s="62"/>
    </row>
    <row r="34" spans="2:5" ht="15.75">
      <c r="B34" s="33"/>
      <c r="C34" s="238"/>
      <c r="D34" s="238"/>
      <c r="E34" s="238"/>
    </row>
    <row r="35" spans="2:5" ht="15.75">
      <c r="B35" s="33" t="s">
        <v>101</v>
      </c>
      <c r="C35" s="222" t="s">
        <v>801</v>
      </c>
      <c r="D35" s="102" t="s">
        <v>802</v>
      </c>
      <c r="E35" s="102" t="s">
        <v>876</v>
      </c>
    </row>
    <row r="36" spans="2:5" ht="15.75">
      <c r="B36" s="488">
        <f>inputPrYr!B50</f>
        <v>0</v>
      </c>
      <c r="C36" s="195" t="str">
        <f>C5</f>
        <v>Actual for -2</v>
      </c>
      <c r="D36" s="195" t="str">
        <f>D5</f>
        <v>Estimate for -1</v>
      </c>
      <c r="E36" s="195" t="str">
        <f>E5</f>
        <v>Year for 0</v>
      </c>
    </row>
    <row r="37" spans="2:5" ht="15.75">
      <c r="B37" s="196" t="s">
        <v>211</v>
      </c>
      <c r="C37" s="43"/>
      <c r="D37" s="170">
        <f>C59</f>
        <v>0</v>
      </c>
      <c r="E37" s="170">
        <f>D59</f>
        <v>0</v>
      </c>
    </row>
    <row r="38" spans="2:5" ht="15.75">
      <c r="B38" s="200" t="s">
        <v>213</v>
      </c>
      <c r="C38" s="58"/>
      <c r="D38" s="58"/>
      <c r="E38" s="58"/>
    </row>
    <row r="39" spans="2:5" ht="15.75">
      <c r="B39" s="217"/>
      <c r="C39" s="43"/>
      <c r="D39" s="43"/>
      <c r="E39" s="43"/>
    </row>
    <row r="40" spans="2:5" ht="15.75">
      <c r="B40" s="217"/>
      <c r="C40" s="43"/>
      <c r="D40" s="43"/>
      <c r="E40" s="43"/>
    </row>
    <row r="41" spans="2:5" ht="15.75">
      <c r="B41" s="217"/>
      <c r="C41" s="43"/>
      <c r="D41" s="43"/>
      <c r="E41" s="43"/>
    </row>
    <row r="42" spans="2:5" ht="15.75">
      <c r="B42" s="217"/>
      <c r="C42" s="43"/>
      <c r="D42" s="43"/>
      <c r="E42" s="43"/>
    </row>
    <row r="43" spans="2:5" ht="15.75">
      <c r="B43" s="205" t="s">
        <v>109</v>
      </c>
      <c r="C43" s="43"/>
      <c r="D43" s="43"/>
      <c r="E43" s="43"/>
    </row>
    <row r="44" spans="2:5" ht="15.75">
      <c r="B44" s="117" t="s">
        <v>13</v>
      </c>
      <c r="C44" s="43"/>
      <c r="D44" s="202"/>
      <c r="E44" s="202"/>
    </row>
    <row r="45" spans="2:5" ht="15.75">
      <c r="B45" s="196" t="s">
        <v>780</v>
      </c>
      <c r="C45" s="243">
        <f>IF(C46*0.1&lt;C44,"Exceed 10% Rule","")</f>
      </c>
      <c r="D45" s="207">
        <f>IF(D46*0.1&lt;D44,"Exceed 10% Rule","")</f>
      </c>
      <c r="E45" s="207">
        <f>IF(E46*0.1&lt;E44,"Exceed 10% Rule","")</f>
      </c>
    </row>
    <row r="46" spans="2:5" ht="15.75">
      <c r="B46" s="208" t="s">
        <v>110</v>
      </c>
      <c r="C46" s="211">
        <f>SUM(C39:C44)</f>
        <v>0</v>
      </c>
      <c r="D46" s="211">
        <f>SUM(D39:D44)</f>
        <v>0</v>
      </c>
      <c r="E46" s="211">
        <f>SUM(E39:E44)</f>
        <v>0</v>
      </c>
    </row>
    <row r="47" spans="2:5" ht="15.75">
      <c r="B47" s="208" t="s">
        <v>111</v>
      </c>
      <c r="C47" s="211">
        <f>C37+C46</f>
        <v>0</v>
      </c>
      <c r="D47" s="211">
        <f>D37+D46</f>
        <v>0</v>
      </c>
      <c r="E47" s="211">
        <f>E37+E46</f>
        <v>0</v>
      </c>
    </row>
    <row r="48" spans="2:5" ht="15.75">
      <c r="B48" s="108" t="s">
        <v>113</v>
      </c>
      <c r="C48" s="170"/>
      <c r="D48" s="170"/>
      <c r="E48" s="170"/>
    </row>
    <row r="49" spans="2:5" ht="15.75">
      <c r="B49" s="217"/>
      <c r="C49" s="43"/>
      <c r="D49" s="43"/>
      <c r="E49" s="43"/>
    </row>
    <row r="50" spans="2:5" ht="15.75">
      <c r="B50" s="217"/>
      <c r="C50" s="43"/>
      <c r="D50" s="43"/>
      <c r="E50" s="43"/>
    </row>
    <row r="51" spans="2:5" ht="15.75">
      <c r="B51" s="217"/>
      <c r="C51" s="43"/>
      <c r="D51" s="43"/>
      <c r="E51" s="43"/>
    </row>
    <row r="52" spans="2:5" ht="15.75">
      <c r="B52" s="217"/>
      <c r="C52" s="43"/>
      <c r="D52" s="43"/>
      <c r="E52" s="43"/>
    </row>
    <row r="53" spans="2:5" ht="15.75">
      <c r="B53" s="217"/>
      <c r="C53" s="43"/>
      <c r="D53" s="43"/>
      <c r="E53" s="43"/>
    </row>
    <row r="54" spans="2:5" ht="15.75">
      <c r="B54" s="217"/>
      <c r="C54" s="43"/>
      <c r="D54" s="43"/>
      <c r="E54" s="43"/>
    </row>
    <row r="55" spans="2:5" ht="15.75">
      <c r="B55" s="218" t="str">
        <f>CONCATENATE("Cash Forward (",E1," column)")</f>
        <v>Cash Forward (0 column)</v>
      </c>
      <c r="C55" s="43"/>
      <c r="D55" s="43"/>
      <c r="E55" s="43"/>
    </row>
    <row r="56" spans="2:5" ht="15.75">
      <c r="B56" s="218" t="s">
        <v>13</v>
      </c>
      <c r="C56" s="43"/>
      <c r="D56" s="202"/>
      <c r="E56" s="202"/>
    </row>
    <row r="57" spans="2:5" ht="15.75">
      <c r="B57" s="218" t="s">
        <v>781</v>
      </c>
      <c r="C57" s="243">
        <f>IF(C58*0.1&lt;C56,"Exceed 10% Rule","")</f>
      </c>
      <c r="D57" s="207">
        <f>IF(D58*0.1&lt;D56,"Exceed 10% Rule","")</f>
      </c>
      <c r="E57" s="207">
        <f>IF(E58*0.1&lt;E56,"Exceed 10% Rule","")</f>
      </c>
    </row>
    <row r="58" spans="2:5" ht="15.75">
      <c r="B58" s="208" t="s">
        <v>117</v>
      </c>
      <c r="C58" s="211">
        <f>SUM(C49:C56)</f>
        <v>0</v>
      </c>
      <c r="D58" s="211">
        <f>SUM(D49:D56)</f>
        <v>0</v>
      </c>
      <c r="E58" s="211">
        <f>SUM(E49:E56)</f>
        <v>0</v>
      </c>
    </row>
    <row r="59" spans="2:5" ht="15.75">
      <c r="B59" s="108" t="s">
        <v>212</v>
      </c>
      <c r="C59" s="56">
        <f>C47-C58</f>
        <v>0</v>
      </c>
      <c r="D59" s="56">
        <f>D47-D58</f>
        <v>0</v>
      </c>
      <c r="E59" s="56">
        <f>E47-E58</f>
        <v>0</v>
      </c>
    </row>
    <row r="60" spans="2:5" ht="15.75">
      <c r="B60" s="128" t="str">
        <f>CONCATENATE("",E1-2,"/",E1-1,"/",E1," Budget Authority Amount:")</f>
        <v>-2/-1/0 Budget Authority Amount:</v>
      </c>
      <c r="C60" s="787">
        <f>inputOth!B89</f>
        <v>0</v>
      </c>
      <c r="D60" s="787">
        <f>inputPrYr!D50</f>
        <v>0</v>
      </c>
      <c r="E60" s="834">
        <f>E58</f>
        <v>0</v>
      </c>
    </row>
    <row r="61" spans="2:5" ht="15.75">
      <c r="B61" s="94"/>
      <c r="C61" s="220">
        <f>IF(C58&gt;C60,"See Tab A","")</f>
      </c>
      <c r="D61" s="220">
        <f>IF(D58&gt;D60,"See Tab C","")</f>
      </c>
      <c r="E61" s="835">
        <f>IF(E59&lt;0,"See Tab E","")</f>
      </c>
    </row>
    <row r="62" spans="2:5" ht="15.75">
      <c r="B62" s="982" t="s">
        <v>1034</v>
      </c>
      <c r="C62" s="966">
        <f>IF(C59&lt;0,"See Tab B","")</f>
      </c>
      <c r="D62" s="966">
        <f>IF(D59&lt;0,"See Tab D","")</f>
      </c>
      <c r="E62" s="951"/>
    </row>
    <row r="63" spans="2:5" ht="15.75">
      <c r="B63" s="761"/>
      <c r="C63" s="52"/>
      <c r="D63" s="52"/>
      <c r="E63" s="768"/>
    </row>
    <row r="64" spans="2:5" ht="15.75">
      <c r="B64" s="695"/>
      <c r="C64" s="47"/>
      <c r="D64" s="47"/>
      <c r="E64" s="55"/>
    </row>
    <row r="65" spans="2:5" ht="15.75">
      <c r="B65" s="32"/>
      <c r="C65" s="32"/>
      <c r="D65" s="32"/>
      <c r="E65" s="32"/>
    </row>
    <row r="66" spans="2:5" ht="15.75">
      <c r="B66" s="126" t="s">
        <v>120</v>
      </c>
      <c r="C66" s="225"/>
      <c r="D66" s="32"/>
      <c r="E66" s="32"/>
    </row>
  </sheetData>
  <sheetProtection/>
  <conditionalFormatting sqref="C14">
    <cfRule type="cellIs" priority="4" dxfId="328" operator="greaterThan" stopIfTrue="1">
      <formula>$C$16*0.1</formula>
    </cfRule>
  </conditionalFormatting>
  <conditionalFormatting sqref="D14">
    <cfRule type="cellIs" priority="5" dxfId="328" operator="greaterThan" stopIfTrue="1">
      <formula>$D$16*0.1</formula>
    </cfRule>
  </conditionalFormatting>
  <conditionalFormatting sqref="E14">
    <cfRule type="cellIs" priority="6" dxfId="328" operator="greaterThan" stopIfTrue="1">
      <formula>$E$16*0.1</formula>
    </cfRule>
  </conditionalFormatting>
  <conditionalFormatting sqref="C26">
    <cfRule type="cellIs" priority="7" dxfId="328" operator="greaterThan" stopIfTrue="1">
      <formula>$C$28*0.1</formula>
    </cfRule>
  </conditionalFormatting>
  <conditionalFormatting sqref="D26">
    <cfRule type="cellIs" priority="8" dxfId="328" operator="greaterThan" stopIfTrue="1">
      <formula>$D$28*0.1</formula>
    </cfRule>
  </conditionalFormatting>
  <conditionalFormatting sqref="E26">
    <cfRule type="cellIs" priority="9" dxfId="328" operator="greaterThan" stopIfTrue="1">
      <formula>$E$28*0.1</formula>
    </cfRule>
  </conditionalFormatting>
  <conditionalFormatting sqref="C44">
    <cfRule type="cellIs" priority="10" dxfId="328" operator="greaterThan" stopIfTrue="1">
      <formula>$C$46*0.1</formula>
    </cfRule>
  </conditionalFormatting>
  <conditionalFormatting sqref="D44">
    <cfRule type="cellIs" priority="11" dxfId="328" operator="greaterThan" stopIfTrue="1">
      <formula>$D$46*0.1</formula>
    </cfRule>
  </conditionalFormatting>
  <conditionalFormatting sqref="E44">
    <cfRule type="cellIs" priority="12" dxfId="328" operator="greaterThan" stopIfTrue="1">
      <formula>$E$46*0.1</formula>
    </cfRule>
  </conditionalFormatting>
  <conditionalFormatting sqref="C56">
    <cfRule type="cellIs" priority="13" dxfId="328" operator="greaterThan" stopIfTrue="1">
      <formula>$C$58*0.1</formula>
    </cfRule>
  </conditionalFormatting>
  <conditionalFormatting sqref="D56">
    <cfRule type="cellIs" priority="14" dxfId="328" operator="greaterThan" stopIfTrue="1">
      <formula>$D$58*0.1</formula>
    </cfRule>
  </conditionalFormatting>
  <conditionalFormatting sqref="E56">
    <cfRule type="cellIs" priority="15" dxfId="328" operator="greaterThan" stopIfTrue="1">
      <formula>$E$58*0.1</formula>
    </cfRule>
  </conditionalFormatting>
  <conditionalFormatting sqref="D58">
    <cfRule type="cellIs" priority="16" dxfId="3" operator="greaterThan" stopIfTrue="1">
      <formula>$D$60</formula>
    </cfRule>
  </conditionalFormatting>
  <conditionalFormatting sqref="C58">
    <cfRule type="cellIs" priority="17" dxfId="3" operator="greaterThan" stopIfTrue="1">
      <formula>$C$60</formula>
    </cfRule>
  </conditionalFormatting>
  <conditionalFormatting sqref="C59 E59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59">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9"/>
  <sheetViews>
    <sheetView zoomScalePageLayoutView="0" workbookViewId="0" topLeftCell="A1">
      <selection activeCell="E18" sqref="E18"/>
    </sheetView>
  </sheetViews>
  <sheetFormatPr defaultColWidth="8.796875" defaultRowHeight="15"/>
  <cols>
    <col min="1" max="1" width="15.796875" style="70" customWidth="1"/>
    <col min="2" max="2" width="20.796875" style="70" customWidth="1"/>
    <col min="3" max="3" width="9.796875" style="70" customWidth="1"/>
    <col min="4" max="4" width="15.09765625" style="70" customWidth="1"/>
    <col min="5" max="5" width="15.796875" style="70" customWidth="1"/>
    <col min="6" max="16384" width="8.8984375" style="70" customWidth="1"/>
  </cols>
  <sheetData>
    <row r="1" spans="1:5" ht="15.75">
      <c r="A1" s="131">
        <f>inputPrYr!$D$3</f>
        <v>0</v>
      </c>
      <c r="B1" s="44"/>
      <c r="C1" s="44"/>
      <c r="D1" s="44"/>
      <c r="E1" s="130">
        <f>inputPrYr!C6</f>
        <v>0</v>
      </c>
    </row>
    <row r="2" spans="1:5" ht="15">
      <c r="A2" s="44"/>
      <c r="B2" s="44"/>
      <c r="C2" s="44"/>
      <c r="D2" s="44"/>
      <c r="E2" s="44"/>
    </row>
    <row r="3" spans="1:5" ht="15.75">
      <c r="A3" s="1091" t="s">
        <v>998</v>
      </c>
      <c r="B3" s="1092"/>
      <c r="C3" s="1092"/>
      <c r="D3" s="1092"/>
      <c r="E3" s="1092"/>
    </row>
    <row r="4" spans="1:5" ht="15">
      <c r="A4" s="44"/>
      <c r="B4" s="44"/>
      <c r="C4" s="44"/>
      <c r="D4" s="44"/>
      <c r="E4" s="44"/>
    </row>
    <row r="5" spans="1:5" ht="15.75">
      <c r="A5" s="1109" t="s">
        <v>635</v>
      </c>
      <c r="B5" s="1110"/>
      <c r="C5" s="383"/>
      <c r="D5" s="387" t="s">
        <v>636</v>
      </c>
      <c r="E5" s="386" t="s">
        <v>637</v>
      </c>
    </row>
    <row r="6" spans="1:5" ht="15.75">
      <c r="A6" s="383" t="s">
        <v>638</v>
      </c>
      <c r="B6" s="875"/>
      <c r="C6" s="385"/>
      <c r="D6" s="384" t="s">
        <v>631</v>
      </c>
      <c r="E6" s="442"/>
    </row>
    <row r="7" spans="1:5" ht="15">
      <c r="A7" s="44"/>
      <c r="B7" s="44"/>
      <c r="C7" s="44"/>
      <c r="D7" s="44"/>
      <c r="E7" s="44"/>
    </row>
    <row r="8" spans="1:5" ht="15.75">
      <c r="A8" s="862" t="str">
        <f>CONCATENATE("From the County Clerk's ",E1," Budget Information:")</f>
        <v>From the County Clerk's 0 Budget Information:</v>
      </c>
      <c r="B8" s="863"/>
      <c r="C8" s="32"/>
      <c r="D8" s="32"/>
      <c r="E8" s="62"/>
    </row>
    <row r="9" spans="1:5" ht="15.75">
      <c r="A9" s="71" t="str">
        <f>CONCATENATE("Total Assessed Valuation for ",E1-1,"")</f>
        <v>Total Assessed Valuation for -1</v>
      </c>
      <c r="B9" s="48"/>
      <c r="C9" s="48"/>
      <c r="D9" s="48"/>
      <c r="E9" s="897"/>
    </row>
    <row r="10" spans="1:5" ht="15.75">
      <c r="A10" s="71" t="str">
        <f>CONCATENATE("New Improvements for ",E1-1,"")</f>
        <v>New Improvements for -1</v>
      </c>
      <c r="B10" s="48"/>
      <c r="C10" s="48"/>
      <c r="D10" s="48"/>
      <c r="E10" s="72"/>
    </row>
    <row r="11" spans="1:5" ht="15.75">
      <c r="A11" s="71" t="str">
        <f>CONCATENATE("Personal Property - ",E1-1,"")</f>
        <v>Personal Property - -1</v>
      </c>
      <c r="B11" s="48"/>
      <c r="C11" s="48"/>
      <c r="D11" s="48"/>
      <c r="E11" s="72"/>
    </row>
    <row r="12" spans="1:5" ht="15.75">
      <c r="A12" s="73" t="s">
        <v>238</v>
      </c>
      <c r="B12" s="48"/>
      <c r="C12" s="48"/>
      <c r="D12" s="48"/>
      <c r="E12" s="58"/>
    </row>
    <row r="13" spans="1:5" ht="15.75">
      <c r="A13" s="71" t="s">
        <v>206</v>
      </c>
      <c r="B13" s="48"/>
      <c r="C13" s="48"/>
      <c r="D13" s="48"/>
      <c r="E13" s="72"/>
    </row>
    <row r="14" spans="1:5" ht="15.75">
      <c r="A14" s="71" t="s">
        <v>207</v>
      </c>
      <c r="B14" s="48"/>
      <c r="C14" s="48"/>
      <c r="D14" s="48"/>
      <c r="E14" s="72"/>
    </row>
    <row r="15" spans="1:5" ht="15.75">
      <c r="A15" s="71" t="s">
        <v>208</v>
      </c>
      <c r="B15" s="48"/>
      <c r="C15" s="48"/>
      <c r="D15" s="48"/>
      <c r="E15" s="72"/>
    </row>
    <row r="16" spans="1:5" ht="15.75">
      <c r="A16" s="71" t="str">
        <f>CONCATENATE("Property that has changed in use for ",E1-1,"")</f>
        <v>Property that has changed in use for -1</v>
      </c>
      <c r="B16" s="48"/>
      <c r="C16" s="48"/>
      <c r="D16" s="48"/>
      <c r="E16" s="72"/>
    </row>
    <row r="17" spans="1:5" ht="15.75">
      <c r="A17" s="71" t="str">
        <f>CONCATENATE("Personal Property - ",E1-2,"")</f>
        <v>Personal Property - -2</v>
      </c>
      <c r="B17" s="48"/>
      <c r="C17" s="48"/>
      <c r="D17" s="48"/>
      <c r="E17" s="72"/>
    </row>
    <row r="18" spans="1:5" ht="15.75">
      <c r="A18" s="71" t="s">
        <v>1085</v>
      </c>
      <c r="B18" s="48"/>
      <c r="C18" s="48"/>
      <c r="D18" s="48"/>
      <c r="E18" s="72"/>
    </row>
    <row r="19" spans="1:5" ht="15.75">
      <c r="A19" s="71" t="str">
        <f>CONCATENATE("Gross earnings (intangible) tax estimate for ",E1,"")</f>
        <v>Gross earnings (intangible) tax estimate for 0</v>
      </c>
      <c r="B19" s="48"/>
      <c r="C19" s="48"/>
      <c r="D19" s="60"/>
      <c r="E19" s="43"/>
    </row>
    <row r="20" spans="1:5" ht="15.75">
      <c r="A20" s="71" t="s">
        <v>239</v>
      </c>
      <c r="B20" s="48"/>
      <c r="C20" s="48"/>
      <c r="D20" s="48"/>
      <c r="E20" s="67"/>
    </row>
    <row r="21" spans="1:5" ht="15.75">
      <c r="A21" s="51"/>
      <c r="B21" s="52"/>
      <c r="C21" s="52"/>
      <c r="D21" s="52"/>
      <c r="E21" s="57"/>
    </row>
    <row r="22" spans="1:5" ht="15.75">
      <c r="A22" s="51" t="str">
        <f>CONCATENATE("Actual Tax Rates for the ",E1-1," Budget:")</f>
        <v>Actual Tax Rates for the -1 Budget:</v>
      </c>
      <c r="B22" s="52"/>
      <c r="C22" s="52"/>
      <c r="D22" s="52"/>
      <c r="E22" s="57"/>
    </row>
    <row r="23" spans="1:5" ht="15.75">
      <c r="A23" s="1104" t="s">
        <v>88</v>
      </c>
      <c r="B23" s="1094"/>
      <c r="C23" s="44"/>
      <c r="D23" s="74" t="s">
        <v>142</v>
      </c>
      <c r="E23" s="57"/>
    </row>
    <row r="24" spans="1:5" ht="15.75">
      <c r="A24" s="46" t="s">
        <v>72</v>
      </c>
      <c r="B24" s="47"/>
      <c r="C24" s="52"/>
      <c r="D24" s="853"/>
      <c r="E24" s="57"/>
    </row>
    <row r="25" spans="1:5" ht="15.75">
      <c r="A25" s="71" t="s">
        <v>44</v>
      </c>
      <c r="B25" s="48"/>
      <c r="C25" s="52"/>
      <c r="D25" s="853"/>
      <c r="E25" s="57"/>
    </row>
    <row r="26" spans="1:5" ht="15.75">
      <c r="A26" s="71" t="str">
        <f>IF(inputPrYr!B24&gt;" ",(inputPrYr!B24)," ")</f>
        <v>Library</v>
      </c>
      <c r="B26" s="48"/>
      <c r="C26" s="52"/>
      <c r="D26" s="853"/>
      <c r="E26" s="57"/>
    </row>
    <row r="27" spans="1:5" ht="15.75">
      <c r="A27" s="71" t="str">
        <f>IF(inputPrYr!B26&gt;" ",(inputPrYr!B26)," ")</f>
        <v> </v>
      </c>
      <c r="B27" s="48"/>
      <c r="C27" s="52"/>
      <c r="D27" s="853"/>
      <c r="E27" s="57"/>
    </row>
    <row r="28" spans="1:5" ht="15.75">
      <c r="A28" s="71" t="str">
        <f>IF(inputPrYr!B27&gt;" ",(inputPrYr!B27)," ")</f>
        <v> </v>
      </c>
      <c r="B28" s="48"/>
      <c r="C28" s="52"/>
      <c r="D28" s="853"/>
      <c r="E28" s="57"/>
    </row>
    <row r="29" spans="1:5" ht="15.75">
      <c r="A29" s="71" t="str">
        <f>IF(inputPrYr!B28&gt;" ",(inputPrYr!B28)," ")</f>
        <v> </v>
      </c>
      <c r="B29" s="48"/>
      <c r="C29" s="52"/>
      <c r="D29" s="853"/>
      <c r="E29" s="57"/>
    </row>
    <row r="30" spans="1:5" ht="15.75">
      <c r="A30" s="71" t="str">
        <f>IF(inputPrYr!B29&gt;" ",(inputPrYr!B29)," ")</f>
        <v> </v>
      </c>
      <c r="B30" s="75"/>
      <c r="C30" s="52"/>
      <c r="D30" s="854"/>
      <c r="E30" s="57"/>
    </row>
    <row r="31" spans="1:5" ht="15.75">
      <c r="A31" s="71" t="str">
        <f>IF(inputPrYr!B30&gt;" ",(inputPrYr!B30)," ")</f>
        <v> </v>
      </c>
      <c r="B31" s="75"/>
      <c r="C31" s="52"/>
      <c r="D31" s="854"/>
      <c r="E31" s="57"/>
    </row>
    <row r="32" spans="1:5" ht="15.75">
      <c r="A32" s="71" t="str">
        <f>IF(inputPrYr!B31&gt;" ",(inputPrYr!B31)," ")</f>
        <v> </v>
      </c>
      <c r="B32" s="75"/>
      <c r="C32" s="52"/>
      <c r="D32" s="854"/>
      <c r="E32" s="57"/>
    </row>
    <row r="33" spans="1:5" ht="15.75">
      <c r="A33" s="71" t="str">
        <f>IF(inputPrYr!B32&gt;" ",(inputPrYr!B32)," ")</f>
        <v> </v>
      </c>
      <c r="B33" s="75"/>
      <c r="C33" s="52"/>
      <c r="D33" s="854"/>
      <c r="E33" s="57"/>
    </row>
    <row r="34" spans="1:5" ht="15.75">
      <c r="A34" s="71" t="str">
        <f>IF(inputPrYr!B33&gt;" ",(inputPrYr!B33)," ")</f>
        <v> </v>
      </c>
      <c r="B34" s="75"/>
      <c r="C34" s="52"/>
      <c r="D34" s="854"/>
      <c r="E34" s="57"/>
    </row>
    <row r="35" spans="1:5" ht="15.75">
      <c r="A35" s="71" t="str">
        <f>IF(inputPrYr!B34&gt;" ",(inputPrYr!B34)," ")</f>
        <v> </v>
      </c>
      <c r="B35" s="75"/>
      <c r="C35" s="52"/>
      <c r="D35" s="854"/>
      <c r="E35" s="57"/>
    </row>
    <row r="36" spans="1:5" ht="15.75">
      <c r="A36" s="71" t="str">
        <f>IF(inputPrYr!B35&gt;" ",(inputPrYr!B35)," ")</f>
        <v> </v>
      </c>
      <c r="B36" s="75"/>
      <c r="C36" s="52"/>
      <c r="D36" s="854"/>
      <c r="E36" s="57"/>
    </row>
    <row r="37" spans="1:5" ht="15.75">
      <c r="A37" s="71" t="str">
        <f>inputPrYr!B38</f>
        <v>Recreation</v>
      </c>
      <c r="B37" s="75"/>
      <c r="C37" s="52"/>
      <c r="D37" s="853"/>
      <c r="E37" s="57"/>
    </row>
    <row r="38" spans="1:5" ht="15.75">
      <c r="A38" s="76"/>
      <c r="B38" s="42" t="s">
        <v>74</v>
      </c>
      <c r="C38" s="77"/>
      <c r="D38" s="78">
        <f>SUM(D24:D37)</f>
        <v>0</v>
      </c>
      <c r="E38" s="76"/>
    </row>
    <row r="39" spans="1:5" ht="15">
      <c r="A39" s="76"/>
      <c r="B39" s="76"/>
      <c r="C39" s="76"/>
      <c r="D39" s="76"/>
      <c r="E39" s="76"/>
    </row>
    <row r="40" spans="1:5" ht="15.75">
      <c r="A40" s="47" t="str">
        <f>CONCATENATE("Final Assessed Valuation from the November 1, ",E1-2," Abstract")</f>
        <v>Final Assessed Valuation from the November 1, -2 Abstract</v>
      </c>
      <c r="B40" s="79"/>
      <c r="C40" s="79"/>
      <c r="D40" s="79"/>
      <c r="E40" s="67"/>
    </row>
    <row r="41" spans="1:5" ht="15">
      <c r="A41" s="76"/>
      <c r="B41" s="76"/>
      <c r="C41" s="76"/>
      <c r="D41" s="76"/>
      <c r="E41" s="76"/>
    </row>
    <row r="42" spans="1:5" ht="15.75">
      <c r="A42" s="857" t="str">
        <f>CONCATENATE("From the County Treasurer's Budget Information - ",E1," Budget Year Estimates:")</f>
        <v>From the County Treasurer's Budget Information - 0 Budget Year Estimates:</v>
      </c>
      <c r="B42" s="68"/>
      <c r="C42" s="68"/>
      <c r="D42" s="876"/>
      <c r="E42" s="62"/>
    </row>
    <row r="43" spans="1:5" ht="15.75">
      <c r="A43" s="46" t="s">
        <v>75</v>
      </c>
      <c r="B43" s="47"/>
      <c r="C43" s="47"/>
      <c r="D43" s="80"/>
      <c r="E43" s="897"/>
    </row>
    <row r="44" spans="1:5" ht="15.75">
      <c r="A44" s="71" t="s">
        <v>76</v>
      </c>
      <c r="B44" s="48"/>
      <c r="C44" s="48"/>
      <c r="D44" s="81"/>
      <c r="E44" s="897"/>
    </row>
    <row r="45" spans="1:5" ht="15.75">
      <c r="A45" s="71" t="s">
        <v>240</v>
      </c>
      <c r="B45" s="48"/>
      <c r="C45" s="48"/>
      <c r="D45" s="81"/>
      <c r="E45" s="897"/>
    </row>
    <row r="46" spans="1:5" ht="15.75">
      <c r="A46" s="899" t="s">
        <v>1001</v>
      </c>
      <c r="B46" s="48"/>
      <c r="C46" s="48"/>
      <c r="D46" s="81"/>
      <c r="E46" s="897"/>
    </row>
    <row r="47" spans="1:5" ht="15.75">
      <c r="A47" s="899" t="s">
        <v>1002</v>
      </c>
      <c r="B47" s="48"/>
      <c r="C47" s="48"/>
      <c r="D47" s="81"/>
      <c r="E47" s="897"/>
    </row>
    <row r="48" spans="1:5" ht="15.75">
      <c r="A48" s="71" t="s">
        <v>241</v>
      </c>
      <c r="B48" s="48"/>
      <c r="C48" s="48"/>
      <c r="D48" s="81"/>
      <c r="E48" s="43"/>
    </row>
    <row r="49" spans="1:5" ht="15.75">
      <c r="A49" s="71" t="s">
        <v>242</v>
      </c>
      <c r="B49" s="48"/>
      <c r="C49" s="48"/>
      <c r="D49" s="81"/>
      <c r="E49" s="43"/>
    </row>
    <row r="50" spans="1:5" ht="15.75">
      <c r="A50" s="32" t="s">
        <v>243</v>
      </c>
      <c r="B50" s="32"/>
      <c r="C50" s="32"/>
      <c r="D50" s="32"/>
      <c r="E50" s="32"/>
    </row>
    <row r="51" spans="1:5" ht="15.75">
      <c r="A51" s="31" t="s">
        <v>96</v>
      </c>
      <c r="B51" s="37"/>
      <c r="C51" s="37"/>
      <c r="D51" s="32"/>
      <c r="E51" s="32"/>
    </row>
    <row r="52" spans="1:5" ht="15.75">
      <c r="A52" s="51" t="str">
        <f>CONCATENATE("Actual Delinquency for ",E1-3," Tax - (rate .01213 = 1.213%, key in 1.2)")</f>
        <v>Actual Delinquency for -3 Tax - (rate .01213 = 1.213%, key in 1.2)</v>
      </c>
      <c r="B52" s="52"/>
      <c r="C52" s="52"/>
      <c r="D52" s="52"/>
      <c r="E52" s="32"/>
    </row>
    <row r="53" spans="1:5" ht="15.75">
      <c r="A53" s="46" t="s">
        <v>872</v>
      </c>
      <c r="B53" s="46"/>
      <c r="C53" s="47"/>
      <c r="D53" s="47"/>
      <c r="E53" s="697"/>
    </row>
    <row r="54" spans="1:5" ht="15.75">
      <c r="A54" s="32"/>
      <c r="B54" s="32"/>
      <c r="C54" s="32"/>
      <c r="D54" s="32"/>
      <c r="E54" s="32"/>
    </row>
    <row r="55" spans="1:5" ht="15.75">
      <c r="A55" s="878" t="s">
        <v>4</v>
      </c>
      <c r="B55" s="879"/>
      <c r="C55" s="880"/>
      <c r="D55" s="880"/>
      <c r="E55" s="881"/>
    </row>
    <row r="56" spans="1:5" ht="15.75">
      <c r="A56" s="82" t="str">
        <f>CONCATENATE("",E1," State Distribution for Kansas Gas Tax")</f>
        <v>0 State Distribution for Kansas Gas Tax</v>
      </c>
      <c r="B56" s="83"/>
      <c r="C56" s="83"/>
      <c r="D56" s="84"/>
      <c r="E56" s="877"/>
    </row>
    <row r="57" spans="1:5" ht="15.75">
      <c r="A57" s="85" t="str">
        <f>CONCATENATE("",E1," County Transfers for Gas**")</f>
        <v>0 County Transfers for Gas**</v>
      </c>
      <c r="B57" s="86"/>
      <c r="C57" s="86"/>
      <c r="D57" s="87"/>
      <c r="E57" s="67"/>
    </row>
    <row r="58" spans="1:5" ht="15.75">
      <c r="A58" s="85" t="str">
        <f>CONCATENATE("Adjusted ",E1-1," State Distribution for Kansas Gas Tax")</f>
        <v>Adjusted -1 State Distribution for Kansas Gas Tax</v>
      </c>
      <c r="B58" s="86"/>
      <c r="C58" s="86"/>
      <c r="D58" s="87"/>
      <c r="E58" s="67"/>
    </row>
    <row r="59" spans="1:5" ht="15.75">
      <c r="A59" s="85" t="str">
        <f>CONCATENATE("Adjusted ",E1-1," County Transfers for Gas**")</f>
        <v>Adjusted -1 County Transfers for Gas**</v>
      </c>
      <c r="B59" s="86"/>
      <c r="C59" s="86"/>
      <c r="D59" s="87"/>
      <c r="E59" s="67"/>
    </row>
    <row r="60" spans="1:5" ht="15">
      <c r="A60" s="1105" t="s">
        <v>295</v>
      </c>
      <c r="B60" s="1106"/>
      <c r="C60" s="1106"/>
      <c r="D60" s="1106"/>
      <c r="E60" s="1106"/>
    </row>
    <row r="61" spans="1:5" ht="15">
      <c r="A61" s="88" t="s">
        <v>296</v>
      </c>
      <c r="B61" s="88"/>
      <c r="C61" s="88"/>
      <c r="D61" s="88"/>
      <c r="E61" s="88"/>
    </row>
    <row r="62" spans="1:5" ht="15">
      <c r="A62" s="44"/>
      <c r="B62" s="44"/>
      <c r="C62" s="44"/>
      <c r="D62" s="44"/>
      <c r="E62" s="44"/>
    </row>
    <row r="63" spans="1:5" ht="15.75">
      <c r="A63" s="1107" t="str">
        <f>CONCATENATE("From the ",E1-2," Budget Certificate Page")</f>
        <v>From the -2 Budget Certificate Page</v>
      </c>
      <c r="B63" s="1108"/>
      <c r="C63" s="44"/>
      <c r="D63" s="44"/>
      <c r="E63" s="44"/>
    </row>
    <row r="64" spans="1:5" ht="15.75">
      <c r="A64" s="89"/>
      <c r="B64" s="89" t="str">
        <f>CONCATENATE("",E1-2," Expenditure Amounts")</f>
        <v>-2 Expenditure Amounts</v>
      </c>
      <c r="C64" s="1102" t="str">
        <f>CONCATENATE("Note: If the ",E1-2," budget was amended, then the")</f>
        <v>Note: If the -2 budget was amended, then the</v>
      </c>
      <c r="D64" s="1103"/>
      <c r="E64" s="1103"/>
    </row>
    <row r="65" spans="1:5" ht="15.75">
      <c r="A65" s="90" t="s">
        <v>8</v>
      </c>
      <c r="B65" s="90" t="s">
        <v>9</v>
      </c>
      <c r="C65" s="91" t="s">
        <v>10</v>
      </c>
      <c r="D65" s="92"/>
      <c r="E65" s="92"/>
    </row>
    <row r="66" spans="1:5" ht="15.75">
      <c r="A66" s="93" t="str">
        <f>inputPrYr!B22</f>
        <v>General</v>
      </c>
      <c r="B66" s="67"/>
      <c r="C66" s="91" t="s">
        <v>11</v>
      </c>
      <c r="D66" s="92"/>
      <c r="E66" s="92"/>
    </row>
    <row r="67" spans="1:5" ht="15.75">
      <c r="A67" s="93" t="str">
        <f>inputPrYr!B23</f>
        <v>Debt Service</v>
      </c>
      <c r="B67" s="67"/>
      <c r="C67" s="91"/>
      <c r="D67" s="92"/>
      <c r="E67" s="92"/>
    </row>
    <row r="68" spans="1:5" ht="15.75">
      <c r="A68" s="93" t="str">
        <f>inputPrYr!B24</f>
        <v>Library</v>
      </c>
      <c r="B68" s="67"/>
      <c r="C68" s="91"/>
      <c r="D68" s="92"/>
      <c r="E68" s="92"/>
    </row>
    <row r="69" spans="1:5" ht="15.75">
      <c r="A69" s="93">
        <f>inputPrYr!B26</f>
        <v>0</v>
      </c>
      <c r="B69" s="67"/>
      <c r="C69" s="44"/>
      <c r="D69" s="44"/>
      <c r="E69" s="44"/>
    </row>
    <row r="70" spans="1:5" ht="15.75">
      <c r="A70" s="93">
        <f>inputPrYr!B27</f>
        <v>0</v>
      </c>
      <c r="B70" s="67"/>
      <c r="C70" s="44"/>
      <c r="D70" s="44"/>
      <c r="E70" s="44"/>
    </row>
    <row r="71" spans="1:5" ht="15.75">
      <c r="A71" s="93">
        <f>inputPrYr!B28</f>
        <v>0</v>
      </c>
      <c r="B71" s="67"/>
      <c r="C71" s="44"/>
      <c r="D71" s="44"/>
      <c r="E71" s="44"/>
    </row>
    <row r="72" spans="1:5" ht="15.75">
      <c r="A72" s="93">
        <f>inputPrYr!B29</f>
        <v>0</v>
      </c>
      <c r="B72" s="67"/>
      <c r="C72" s="44"/>
      <c r="D72" s="44"/>
      <c r="E72" s="44"/>
    </row>
    <row r="73" spans="1:5" ht="15.75">
      <c r="A73" s="93">
        <f>inputPrYr!B30</f>
        <v>0</v>
      </c>
      <c r="B73" s="67"/>
      <c r="C73" s="44"/>
      <c r="D73" s="44"/>
      <c r="E73" s="44"/>
    </row>
    <row r="74" spans="1:5" ht="15.75">
      <c r="A74" s="93">
        <f>inputPrYr!B31</f>
        <v>0</v>
      </c>
      <c r="B74" s="67"/>
      <c r="C74" s="44"/>
      <c r="D74" s="44"/>
      <c r="E74" s="44"/>
    </row>
    <row r="75" spans="1:5" ht="15.75">
      <c r="A75" s="93">
        <f>inputPrYr!B32</f>
        <v>0</v>
      </c>
      <c r="B75" s="67"/>
      <c r="C75" s="44"/>
      <c r="D75" s="44"/>
      <c r="E75" s="44"/>
    </row>
    <row r="76" spans="1:5" ht="15.75">
      <c r="A76" s="93">
        <f>inputPrYr!B33</f>
        <v>0</v>
      </c>
      <c r="B76" s="67"/>
      <c r="C76" s="44"/>
      <c r="D76" s="44"/>
      <c r="E76" s="44"/>
    </row>
    <row r="77" spans="1:5" ht="15.75">
      <c r="A77" s="93">
        <f>inputPrYr!B34</f>
        <v>0</v>
      </c>
      <c r="B77" s="67"/>
      <c r="C77" s="44"/>
      <c r="D77" s="44"/>
      <c r="E77" s="44"/>
    </row>
    <row r="78" spans="1:5" ht="15.75">
      <c r="A78" s="93">
        <f>inputPrYr!B35</f>
        <v>0</v>
      </c>
      <c r="B78" s="67"/>
      <c r="C78" s="44"/>
      <c r="D78" s="44"/>
      <c r="E78" s="44"/>
    </row>
    <row r="79" spans="1:5" ht="15.75">
      <c r="A79" s="93" t="str">
        <f>inputPrYr!B38</f>
        <v>Recreation</v>
      </c>
      <c r="B79" s="67"/>
      <c r="C79" s="44"/>
      <c r="D79" s="44"/>
      <c r="E79" s="44"/>
    </row>
    <row r="80" spans="1:5" ht="15.75">
      <c r="A80" s="93" t="str">
        <f>inputPrYr!B41</f>
        <v>Special Highway</v>
      </c>
      <c r="B80" s="67"/>
      <c r="C80" s="44"/>
      <c r="D80" s="44"/>
      <c r="E80" s="44"/>
    </row>
    <row r="81" spans="1:5" ht="15.75">
      <c r="A81" s="93">
        <f>inputPrYr!B42</f>
        <v>0</v>
      </c>
      <c r="B81" s="67"/>
      <c r="C81" s="44"/>
      <c r="D81" s="44"/>
      <c r="E81" s="44"/>
    </row>
    <row r="82" spans="1:5" ht="15.75">
      <c r="A82" s="93">
        <f>inputPrYr!B43</f>
        <v>0</v>
      </c>
      <c r="B82" s="67"/>
      <c r="C82" s="44"/>
      <c r="D82" s="44"/>
      <c r="E82" s="44"/>
    </row>
    <row r="83" spans="1:5" ht="15.75">
      <c r="A83" s="93">
        <f>inputPrYr!B44</f>
        <v>0</v>
      </c>
      <c r="B83" s="67"/>
      <c r="C83" s="44"/>
      <c r="D83" s="44"/>
      <c r="E83" s="44"/>
    </row>
    <row r="84" spans="1:5" ht="15.75">
      <c r="A84" s="93">
        <f>inputPrYr!B45</f>
        <v>0</v>
      </c>
      <c r="B84" s="67"/>
      <c r="C84" s="44"/>
      <c r="D84" s="44"/>
      <c r="E84" s="44"/>
    </row>
    <row r="85" spans="1:5" ht="15.75">
      <c r="A85" s="93">
        <f>inputPrYr!B46</f>
        <v>0</v>
      </c>
      <c r="B85" s="67"/>
      <c r="C85" s="44"/>
      <c r="D85" s="44"/>
      <c r="E85" s="44"/>
    </row>
    <row r="86" spans="1:5" ht="15.75">
      <c r="A86" s="93">
        <f>inputPrYr!B47</f>
        <v>0</v>
      </c>
      <c r="B86" s="67"/>
      <c r="C86" s="44"/>
      <c r="D86" s="44"/>
      <c r="E86" s="44"/>
    </row>
    <row r="87" spans="1:5" ht="15.75">
      <c r="A87" s="93">
        <f>inputPrYr!B48</f>
        <v>0</v>
      </c>
      <c r="B87" s="67"/>
      <c r="C87" s="44"/>
      <c r="D87" s="44"/>
      <c r="E87" s="44"/>
    </row>
    <row r="88" spans="1:5" ht="15.75">
      <c r="A88" s="93">
        <f>inputPrYr!B49</f>
        <v>0</v>
      </c>
      <c r="B88" s="67"/>
      <c r="C88" s="44"/>
      <c r="D88" s="44"/>
      <c r="E88" s="44"/>
    </row>
    <row r="89" spans="1:5" ht="15.75">
      <c r="A89" s="93">
        <f>inputPrYr!B50</f>
        <v>0</v>
      </c>
      <c r="B89" s="67"/>
      <c r="C89" s="44"/>
      <c r="D89" s="44"/>
      <c r="E89" s="44"/>
    </row>
    <row r="90" spans="1:5" ht="15.75">
      <c r="A90" s="93">
        <f>inputPrYr!B51</f>
        <v>0</v>
      </c>
      <c r="B90" s="67"/>
      <c r="C90" s="44"/>
      <c r="D90" s="44"/>
      <c r="E90" s="44"/>
    </row>
    <row r="91" spans="1:5" ht="15.75">
      <c r="A91" s="93">
        <f>inputPrYr!B52</f>
        <v>0</v>
      </c>
      <c r="B91" s="67"/>
      <c r="C91" s="44"/>
      <c r="D91" s="44"/>
      <c r="E91" s="44"/>
    </row>
    <row r="92" spans="1:5" ht="15.75">
      <c r="A92" s="93">
        <f>inputPrYr!B53</f>
        <v>0</v>
      </c>
      <c r="B92" s="67"/>
      <c r="C92" s="44"/>
      <c r="D92" s="44"/>
      <c r="E92" s="44"/>
    </row>
    <row r="93" spans="1:5" ht="15.75">
      <c r="A93" s="93">
        <f>inputPrYr!B54</f>
        <v>0</v>
      </c>
      <c r="B93" s="67"/>
      <c r="C93" s="44"/>
      <c r="D93" s="44"/>
      <c r="E93" s="44"/>
    </row>
    <row r="94" spans="1:5" ht="15.75">
      <c r="A94" s="93">
        <f>inputPrYr!B55</f>
        <v>0</v>
      </c>
      <c r="B94" s="67"/>
      <c r="C94" s="44"/>
      <c r="D94" s="44"/>
      <c r="E94" s="44"/>
    </row>
    <row r="95" spans="1:5" ht="15.75">
      <c r="A95" s="93">
        <f>inputPrYr!B56</f>
        <v>0</v>
      </c>
      <c r="B95" s="67"/>
      <c r="C95" s="44"/>
      <c r="D95" s="44"/>
      <c r="E95" s="44"/>
    </row>
    <row r="96" spans="1:5" ht="15.75">
      <c r="A96" s="93">
        <f>inputPrYr!B58</f>
        <v>0</v>
      </c>
      <c r="B96" s="67"/>
      <c r="C96" s="44"/>
      <c r="D96" s="44"/>
      <c r="E96" s="44"/>
    </row>
    <row r="97" spans="1:5" ht="15.75">
      <c r="A97" s="93">
        <f>inputPrYr!B59</f>
        <v>0</v>
      </c>
      <c r="B97" s="67"/>
      <c r="C97" s="44"/>
      <c r="D97" s="44"/>
      <c r="E97" s="44"/>
    </row>
    <row r="98" spans="1:5" ht="15.75">
      <c r="A98" s="93">
        <f>inputPrYr!B60</f>
        <v>0</v>
      </c>
      <c r="B98" s="67"/>
      <c r="C98" s="44"/>
      <c r="D98" s="44"/>
      <c r="E98" s="44"/>
    </row>
    <row r="99" spans="1:5" ht="15.75">
      <c r="A99" s="93">
        <f>inputPrYr!B61</f>
        <v>0</v>
      </c>
      <c r="B99" s="67"/>
      <c r="C99" s="44"/>
      <c r="D99" s="44"/>
      <c r="E99" s="44"/>
    </row>
  </sheetData>
  <sheetProtection/>
  <mergeCells count="6">
    <mergeCell ref="C64:E64"/>
    <mergeCell ref="A23:B23"/>
    <mergeCell ref="A60:E60"/>
    <mergeCell ref="A3:E3"/>
    <mergeCell ref="A63:B63"/>
    <mergeCell ref="A5:B5"/>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81" sqref="E81"/>
    </sheetView>
  </sheetViews>
  <sheetFormatPr defaultColWidth="8.796875" defaultRowHeight="15"/>
  <cols>
    <col min="1" max="1" width="2.3984375" style="18" customWidth="1"/>
    <col min="2" max="2" width="31.09765625" style="18" customWidth="1"/>
    <col min="3" max="4" width="15.796875" style="18" customWidth="1"/>
    <col min="5" max="5" width="16.09765625" style="18" customWidth="1"/>
    <col min="6" max="16384" width="8.8984375" style="18" customWidth="1"/>
  </cols>
  <sheetData>
    <row r="1" spans="2:5" ht="15.75">
      <c r="B1" s="140">
        <f>(inputPrYr!D3)</f>
        <v>0</v>
      </c>
      <c r="C1" s="32"/>
      <c r="D1" s="32"/>
      <c r="E1" s="190">
        <f>inputPrYr!C6</f>
        <v>0</v>
      </c>
    </row>
    <row r="2" spans="2:5" ht="15.75">
      <c r="B2" s="32"/>
      <c r="C2" s="32"/>
      <c r="D2" s="32"/>
      <c r="E2" s="126"/>
    </row>
    <row r="3" spans="2:5" ht="15.75">
      <c r="B3" s="191" t="s">
        <v>170</v>
      </c>
      <c r="C3" s="232"/>
      <c r="D3" s="232"/>
      <c r="E3" s="232"/>
    </row>
    <row r="4" spans="2:5" ht="15.75">
      <c r="B4" s="33" t="s">
        <v>101</v>
      </c>
      <c r="C4" s="365" t="s">
        <v>801</v>
      </c>
      <c r="D4" s="364" t="s">
        <v>802</v>
      </c>
      <c r="E4" s="343" t="s">
        <v>803</v>
      </c>
    </row>
    <row r="5" spans="2:5" ht="15.75">
      <c r="B5" s="488">
        <f>inputPrYr!B51</f>
        <v>0</v>
      </c>
      <c r="C5" s="366" t="str">
        <f>CONCATENATE("Actual for ",E1-2,"")</f>
        <v>Actual for -2</v>
      </c>
      <c r="D5" s="366" t="str">
        <f>CONCATENATE("Estimate for ",E1-1,"")</f>
        <v>Estimate for -1</v>
      </c>
      <c r="E5" s="351" t="str">
        <f>CONCATENATE("Year for ",E1,"")</f>
        <v>Year for 0</v>
      </c>
    </row>
    <row r="6" spans="2:5" ht="15.75">
      <c r="B6" s="196" t="s">
        <v>211</v>
      </c>
      <c r="C6" s="43"/>
      <c r="D6" s="170">
        <f>C29</f>
        <v>0</v>
      </c>
      <c r="E6" s="170">
        <f>D29</f>
        <v>0</v>
      </c>
    </row>
    <row r="7" spans="2:5" s="30" customFormat="1" ht="15.75">
      <c r="B7" s="200" t="s">
        <v>213</v>
      </c>
      <c r="C7" s="58"/>
      <c r="D7" s="58"/>
      <c r="E7" s="58"/>
    </row>
    <row r="8" spans="2:5" ht="15.75">
      <c r="B8" s="217"/>
      <c r="C8" s="43"/>
      <c r="D8" s="43"/>
      <c r="E8" s="43"/>
    </row>
    <row r="9" spans="2:5" ht="15.75">
      <c r="B9" s="217"/>
      <c r="C9" s="43"/>
      <c r="D9" s="43"/>
      <c r="E9" s="43"/>
    </row>
    <row r="10" spans="2:5" ht="15.75">
      <c r="B10" s="217"/>
      <c r="C10" s="43"/>
      <c r="D10" s="43"/>
      <c r="E10" s="43"/>
    </row>
    <row r="11" spans="2:5" ht="15.75">
      <c r="B11" s="217"/>
      <c r="C11" s="43"/>
      <c r="D11" s="43"/>
      <c r="E11" s="43"/>
    </row>
    <row r="12" spans="2:5" ht="15.75">
      <c r="B12" s="217"/>
      <c r="C12" s="43"/>
      <c r="D12" s="43"/>
      <c r="E12" s="43"/>
    </row>
    <row r="13" spans="2:5" ht="15.75">
      <c r="B13" s="205" t="s">
        <v>109</v>
      </c>
      <c r="C13" s="43"/>
      <c r="D13" s="43"/>
      <c r="E13" s="43"/>
    </row>
    <row r="14" spans="2:5" ht="15.75">
      <c r="B14" s="117" t="s">
        <v>13</v>
      </c>
      <c r="C14" s="43"/>
      <c r="D14" s="202"/>
      <c r="E14" s="202"/>
    </row>
    <row r="15" spans="2:5" ht="15.75">
      <c r="B15" s="196" t="s">
        <v>780</v>
      </c>
      <c r="C15" s="243">
        <f>IF(C16*0.1&lt;C14,"Exceed 10% Rule","")</f>
      </c>
      <c r="D15" s="207">
        <f>IF(D16*0.1&lt;D14,"Exceed 10% Rule","")</f>
      </c>
      <c r="E15" s="207">
        <f>IF(E16*0.1&lt;E14,"Exceed 10% Rule","")</f>
      </c>
    </row>
    <row r="16" spans="2:5" ht="15.75">
      <c r="B16" s="208" t="s">
        <v>110</v>
      </c>
      <c r="C16" s="211">
        <f>SUM(C8:C14)</f>
        <v>0</v>
      </c>
      <c r="D16" s="211">
        <f>SUM(D8:D14)</f>
        <v>0</v>
      </c>
      <c r="E16" s="211">
        <f>SUM(E8:E14)</f>
        <v>0</v>
      </c>
    </row>
    <row r="17" spans="2:5" ht="15.75">
      <c r="B17" s="208" t="s">
        <v>111</v>
      </c>
      <c r="C17" s="211">
        <f>C6+C16</f>
        <v>0</v>
      </c>
      <c r="D17" s="211">
        <f>D6+D16</f>
        <v>0</v>
      </c>
      <c r="E17" s="211">
        <f>E6+E16</f>
        <v>0</v>
      </c>
    </row>
    <row r="18" spans="2:5" ht="15.75">
      <c r="B18" s="108" t="s">
        <v>113</v>
      </c>
      <c r="C18" s="170"/>
      <c r="D18" s="170"/>
      <c r="E18" s="170"/>
    </row>
    <row r="19" spans="2:5" ht="15.75">
      <c r="B19" s="217"/>
      <c r="C19" s="43"/>
      <c r="D19" s="43"/>
      <c r="E19" s="43"/>
    </row>
    <row r="20" spans="2:5" ht="15.75">
      <c r="B20" s="217"/>
      <c r="C20" s="43"/>
      <c r="D20" s="43"/>
      <c r="E20" s="43"/>
    </row>
    <row r="21" spans="2:5" ht="15.75">
      <c r="B21" s="217"/>
      <c r="C21" s="43"/>
      <c r="D21" s="43"/>
      <c r="E21" s="43"/>
    </row>
    <row r="22" spans="2:5" ht="15.75">
      <c r="B22" s="217"/>
      <c r="C22" s="43"/>
      <c r="D22" s="43"/>
      <c r="E22" s="43"/>
    </row>
    <row r="23" spans="2:5" ht="15.75">
      <c r="B23" s="217"/>
      <c r="C23" s="43"/>
      <c r="D23" s="43"/>
      <c r="E23" s="43"/>
    </row>
    <row r="24" spans="2:5" ht="15.75">
      <c r="B24" s="217"/>
      <c r="C24" s="43"/>
      <c r="D24" s="43"/>
      <c r="E24" s="43"/>
    </row>
    <row r="25" spans="2:5" ht="15.75">
      <c r="B25" s="218" t="str">
        <f>CONCATENATE("Cash Forward (",E1," column)")</f>
        <v>Cash Forward (0 column)</v>
      </c>
      <c r="C25" s="43"/>
      <c r="D25" s="43"/>
      <c r="E25" s="43"/>
    </row>
    <row r="26" spans="2:5" ht="15.75">
      <c r="B26" s="218" t="s">
        <v>13</v>
      </c>
      <c r="C26" s="43"/>
      <c r="D26" s="202"/>
      <c r="E26" s="202"/>
    </row>
    <row r="27" spans="2:5" ht="15.75">
      <c r="B27" s="218" t="s">
        <v>781</v>
      </c>
      <c r="C27" s="243">
        <f>IF(C28*0.1&lt;C26,"Exceed 10% Rule","")</f>
      </c>
      <c r="D27" s="207">
        <f>IF(D28*0.1&lt;D26,"Exceed 10% Rule","")</f>
      </c>
      <c r="E27" s="207">
        <f>IF(E28*0.1&lt;E26,"Exceed 10% Rule","")</f>
      </c>
    </row>
    <row r="28" spans="2:5" ht="15.75">
      <c r="B28" s="208" t="s">
        <v>117</v>
      </c>
      <c r="C28" s="211">
        <f>SUM(C19:C26)</f>
        <v>0</v>
      </c>
      <c r="D28" s="211">
        <f>SUM(D19:D26)</f>
        <v>0</v>
      </c>
      <c r="E28" s="211">
        <f>SUM(E19:E26)</f>
        <v>0</v>
      </c>
    </row>
    <row r="29" spans="2:5" ht="15.75">
      <c r="B29" s="108" t="s">
        <v>212</v>
      </c>
      <c r="C29" s="56">
        <f>C17-C28</f>
        <v>0</v>
      </c>
      <c r="D29" s="56">
        <f>D17-D28</f>
        <v>0</v>
      </c>
      <c r="E29" s="56">
        <f>E17-E28</f>
        <v>0</v>
      </c>
    </row>
    <row r="30" spans="2:5" ht="15.75">
      <c r="B30" s="128" t="str">
        <f>CONCATENATE("",E1-2,"/",E1-1,"/",E1," Budget Authority Amount:")</f>
        <v>-2/-1/0 Budget Authority Amount:</v>
      </c>
      <c r="C30" s="787">
        <f>inputOth!B90</f>
        <v>0</v>
      </c>
      <c r="D30" s="787">
        <f>inputPrYr!D51</f>
        <v>0</v>
      </c>
      <c r="E30" s="834">
        <f>E28</f>
        <v>0</v>
      </c>
    </row>
    <row r="31" spans="2:5" ht="15.75">
      <c r="B31" s="94"/>
      <c r="C31" s="220">
        <f>IF(C28&gt;C30,"See Tab A","")</f>
      </c>
      <c r="D31" s="220">
        <f>IF(D28&gt;D30,"See Tab C","")</f>
      </c>
      <c r="E31" s="835">
        <f>IF(E29&lt;0,"See Tab E","")</f>
      </c>
    </row>
    <row r="32" spans="2:5" ht="15.75">
      <c r="B32" s="94"/>
      <c r="C32" s="220">
        <f>IF(C29&lt;0,"See Tab B","")</f>
      </c>
      <c r="D32" s="220">
        <f>IF(D29&lt;0,"See Tab D","")</f>
      </c>
      <c r="E32" s="62"/>
    </row>
    <row r="33" spans="2:5" ht="15.75">
      <c r="B33" s="32"/>
      <c r="C33" s="62"/>
      <c r="D33" s="62"/>
      <c r="E33" s="62"/>
    </row>
    <row r="34" spans="2:5" ht="15.75">
      <c r="B34" s="33"/>
      <c r="C34" s="238"/>
      <c r="D34" s="238"/>
      <c r="E34" s="238"/>
    </row>
    <row r="35" spans="2:5" ht="15.75">
      <c r="B35" s="33" t="s">
        <v>101</v>
      </c>
      <c r="C35" s="222" t="s">
        <v>875</v>
      </c>
      <c r="D35" s="102" t="s">
        <v>802</v>
      </c>
      <c r="E35" s="102" t="s">
        <v>803</v>
      </c>
    </row>
    <row r="36" spans="2:5" ht="15.75">
      <c r="B36" s="488">
        <f>inputPrYr!B52</f>
        <v>0</v>
      </c>
      <c r="C36" s="195" t="str">
        <f>C5</f>
        <v>Actual for -2</v>
      </c>
      <c r="D36" s="195" t="str">
        <f>D5</f>
        <v>Estimate for -1</v>
      </c>
      <c r="E36" s="195" t="str">
        <f>E5</f>
        <v>Year for 0</v>
      </c>
    </row>
    <row r="37" spans="2:5" ht="15.75">
      <c r="B37" s="196" t="s">
        <v>211</v>
      </c>
      <c r="C37" s="43"/>
      <c r="D37" s="170">
        <f>C59</f>
        <v>0</v>
      </c>
      <c r="E37" s="170">
        <f>D59</f>
        <v>0</v>
      </c>
    </row>
    <row r="38" spans="2:5" s="30" customFormat="1" ht="15.75">
      <c r="B38" s="200" t="s">
        <v>213</v>
      </c>
      <c r="C38" s="58"/>
      <c r="D38" s="58"/>
      <c r="E38" s="58"/>
    </row>
    <row r="39" spans="2:5" ht="15.75">
      <c r="B39" s="217"/>
      <c r="C39" s="43"/>
      <c r="D39" s="43"/>
      <c r="E39" s="43"/>
    </row>
    <row r="40" spans="2:5" ht="15.75">
      <c r="B40" s="217"/>
      <c r="C40" s="43"/>
      <c r="D40" s="43"/>
      <c r="E40" s="43"/>
    </row>
    <row r="41" spans="2:5" ht="15.75">
      <c r="B41" s="217"/>
      <c r="C41" s="43"/>
      <c r="D41" s="43"/>
      <c r="E41" s="43"/>
    </row>
    <row r="42" spans="2:5" ht="15.75">
      <c r="B42" s="217"/>
      <c r="C42" s="43"/>
      <c r="D42" s="43"/>
      <c r="E42" s="43"/>
    </row>
    <row r="43" spans="2:5" ht="15.75">
      <c r="B43" s="205" t="s">
        <v>109</v>
      </c>
      <c r="C43" s="43"/>
      <c r="D43" s="43"/>
      <c r="E43" s="43"/>
    </row>
    <row r="44" spans="2:5" ht="15.75">
      <c r="B44" s="117" t="s">
        <v>13</v>
      </c>
      <c r="C44" s="43"/>
      <c r="D44" s="202"/>
      <c r="E44" s="202"/>
    </row>
    <row r="45" spans="2:5" ht="15.75">
      <c r="B45" s="196" t="s">
        <v>780</v>
      </c>
      <c r="C45" s="243">
        <f>IF(C46*0.1&lt;C44,"Exceed 10% Rule","")</f>
      </c>
      <c r="D45" s="207">
        <f>IF(D46*0.1&lt;D44,"Exceed 10% Rule","")</f>
      </c>
      <c r="E45" s="207">
        <f>IF(E46*0.1&lt;E44,"Exceed 10% Rule","")</f>
      </c>
    </row>
    <row r="46" spans="2:5" ht="15.75">
      <c r="B46" s="208" t="s">
        <v>110</v>
      </c>
      <c r="C46" s="211">
        <f>SUM(C39:C44)</f>
        <v>0</v>
      </c>
      <c r="D46" s="211">
        <f>SUM(D39:D44)</f>
        <v>0</v>
      </c>
      <c r="E46" s="211">
        <f>SUM(E39:E44)</f>
        <v>0</v>
      </c>
    </row>
    <row r="47" spans="2:5" ht="15.75">
      <c r="B47" s="208" t="s">
        <v>111</v>
      </c>
      <c r="C47" s="211">
        <f>C37+C46</f>
        <v>0</v>
      </c>
      <c r="D47" s="211">
        <f>D37+D46</f>
        <v>0</v>
      </c>
      <c r="E47" s="211">
        <f>E37+E46</f>
        <v>0</v>
      </c>
    </row>
    <row r="48" spans="2:5" ht="15.75">
      <c r="B48" s="108" t="s">
        <v>113</v>
      </c>
      <c r="C48" s="170"/>
      <c r="D48" s="170"/>
      <c r="E48" s="170"/>
    </row>
    <row r="49" spans="2:5" ht="15.75">
      <c r="B49" s="217"/>
      <c r="C49" s="43"/>
      <c r="D49" s="43"/>
      <c r="E49" s="43"/>
    </row>
    <row r="50" spans="2:5" ht="15.75">
      <c r="B50" s="217"/>
      <c r="C50" s="43"/>
      <c r="D50" s="43"/>
      <c r="E50" s="43"/>
    </row>
    <row r="51" spans="2:5" ht="15.75">
      <c r="B51" s="217"/>
      <c r="C51" s="43"/>
      <c r="D51" s="43"/>
      <c r="E51" s="43"/>
    </row>
    <row r="52" spans="2:5" ht="15.75">
      <c r="B52" s="217"/>
      <c r="C52" s="43"/>
      <c r="D52" s="43"/>
      <c r="E52" s="43"/>
    </row>
    <row r="53" spans="2:5" ht="15.75">
      <c r="B53" s="217"/>
      <c r="C53" s="43"/>
      <c r="D53" s="43"/>
      <c r="E53" s="43"/>
    </row>
    <row r="54" spans="2:5" ht="15.75">
      <c r="B54" s="217"/>
      <c r="C54" s="43"/>
      <c r="D54" s="43"/>
      <c r="E54" s="43"/>
    </row>
    <row r="55" spans="2:5" ht="15.75">
      <c r="B55" s="218" t="str">
        <f>CONCATENATE("Cash Forward (",E1," column)")</f>
        <v>Cash Forward (0 column)</v>
      </c>
      <c r="C55" s="43"/>
      <c r="D55" s="43"/>
      <c r="E55" s="43"/>
    </row>
    <row r="56" spans="2:5" ht="15.75">
      <c r="B56" s="218" t="s">
        <v>13</v>
      </c>
      <c r="C56" s="43"/>
      <c r="D56" s="202"/>
      <c r="E56" s="202"/>
    </row>
    <row r="57" spans="2:5" ht="15.75">
      <c r="B57" s="218" t="s">
        <v>781</v>
      </c>
      <c r="C57" s="243">
        <f>IF(C58*0.1&lt;C56,"Exceed 10% Rule","")</f>
      </c>
      <c r="D57" s="207">
        <f>IF(D58*0.1&lt;D56,"Exceed 10% Rule","")</f>
      </c>
      <c r="E57" s="207">
        <f>IF(E58*0.1&lt;E56,"Exceed 10% Rule","")</f>
      </c>
    </row>
    <row r="58" spans="2:5" ht="15.75">
      <c r="B58" s="208" t="s">
        <v>117</v>
      </c>
      <c r="C58" s="211">
        <f>SUM(C49:C56)</f>
        <v>0</v>
      </c>
      <c r="D58" s="211">
        <f>SUM(D49:D56)</f>
        <v>0</v>
      </c>
      <c r="E58" s="211">
        <f>SUM(E49:E56)</f>
        <v>0</v>
      </c>
    </row>
    <row r="59" spans="2:5" ht="15.75">
      <c r="B59" s="108" t="s">
        <v>212</v>
      </c>
      <c r="C59" s="56">
        <f>C47-C58</f>
        <v>0</v>
      </c>
      <c r="D59" s="56">
        <f>D47-D58</f>
        <v>0</v>
      </c>
      <c r="E59" s="56">
        <f>E47-E58</f>
        <v>0</v>
      </c>
    </row>
    <row r="60" spans="2:5" ht="15.75">
      <c r="B60" s="128" t="str">
        <f>CONCATENATE("",E1-2,"/",E1-1,"/",E1," Budget Authority Amount:")</f>
        <v>-2/-1/0 Budget Authority Amount:</v>
      </c>
      <c r="C60" s="787">
        <f>inputOth!B91</f>
        <v>0</v>
      </c>
      <c r="D60" s="787">
        <f>inputPrYr!D52</f>
        <v>0</v>
      </c>
      <c r="E60" s="834">
        <f>E58</f>
        <v>0</v>
      </c>
    </row>
    <row r="61" spans="2:5" ht="15.75">
      <c r="B61" s="94"/>
      <c r="C61" s="220">
        <f>IF(C58&gt;C60,"See Tab A","")</f>
      </c>
      <c r="D61" s="220">
        <f>IF(D58&gt;D60,"See Tab C","")</f>
      </c>
      <c r="E61" s="835">
        <f>IF(E59&lt;0,"See Tab E","")</f>
      </c>
    </row>
    <row r="62" spans="2:5" ht="15.75">
      <c r="B62" s="982" t="s">
        <v>1034</v>
      </c>
      <c r="C62" s="966">
        <f>IF(C59&lt;0,"See Tab B","")</f>
      </c>
      <c r="D62" s="966">
        <f>IF(D59&lt;0,"See Tab D","")</f>
      </c>
      <c r="E62" s="951"/>
    </row>
    <row r="63" spans="2:5" ht="15.75">
      <c r="B63" s="761"/>
      <c r="C63" s="52"/>
      <c r="D63" s="52"/>
      <c r="E63" s="768"/>
    </row>
    <row r="64" spans="2:5" ht="15.75">
      <c r="B64" s="695"/>
      <c r="C64" s="47"/>
      <c r="D64" s="47"/>
      <c r="E64" s="55"/>
    </row>
    <row r="65" spans="2:5" ht="15.75">
      <c r="B65" s="32"/>
      <c r="C65" s="32"/>
      <c r="D65" s="32"/>
      <c r="E65" s="32"/>
    </row>
    <row r="66" spans="2:5" ht="15.75">
      <c r="B66" s="126" t="s">
        <v>120</v>
      </c>
      <c r="C66" s="225"/>
      <c r="D66" s="32"/>
      <c r="E66" s="32"/>
    </row>
  </sheetData>
  <sheetProtection/>
  <conditionalFormatting sqref="C14">
    <cfRule type="cellIs" priority="3" dxfId="328" operator="greaterThan" stopIfTrue="1">
      <formula>$C$16*0.1</formula>
    </cfRule>
  </conditionalFormatting>
  <conditionalFormatting sqref="D14">
    <cfRule type="cellIs" priority="4" dxfId="328" operator="greaterThan" stopIfTrue="1">
      <formula>$D$16*0.1</formula>
    </cfRule>
  </conditionalFormatting>
  <conditionalFormatting sqref="E14">
    <cfRule type="cellIs" priority="5" dxfId="328" operator="greaterThan" stopIfTrue="1">
      <formula>$E$16*0.1</formula>
    </cfRule>
  </conditionalFormatting>
  <conditionalFormatting sqref="C26">
    <cfRule type="cellIs" priority="6" dxfId="328" operator="greaterThan" stopIfTrue="1">
      <formula>$C$28*0.1</formula>
    </cfRule>
  </conditionalFormatting>
  <conditionalFormatting sqref="D26">
    <cfRule type="cellIs" priority="7" dxfId="328" operator="greaterThan" stopIfTrue="1">
      <formula>$D$28*0.1</formula>
    </cfRule>
  </conditionalFormatting>
  <conditionalFormatting sqref="E26">
    <cfRule type="cellIs" priority="8" dxfId="328" operator="greaterThan" stopIfTrue="1">
      <formula>$E$28*0.1</formula>
    </cfRule>
  </conditionalFormatting>
  <conditionalFormatting sqref="C44">
    <cfRule type="cellIs" priority="9" dxfId="328" operator="greaterThan" stopIfTrue="1">
      <formula>$C$46*0.1</formula>
    </cfRule>
  </conditionalFormatting>
  <conditionalFormatting sqref="D44">
    <cfRule type="cellIs" priority="10" dxfId="328" operator="greaterThan" stopIfTrue="1">
      <formula>$D$46*0.1</formula>
    </cfRule>
  </conditionalFormatting>
  <conditionalFormatting sqref="E44">
    <cfRule type="cellIs" priority="11" dxfId="328" operator="greaterThan" stopIfTrue="1">
      <formula>$E$46*0.1</formula>
    </cfRule>
  </conditionalFormatting>
  <conditionalFormatting sqref="C56">
    <cfRule type="cellIs" priority="12" dxfId="328" operator="greaterThan" stopIfTrue="1">
      <formula>$C$58*0.1</formula>
    </cfRule>
  </conditionalFormatting>
  <conditionalFormatting sqref="D56">
    <cfRule type="cellIs" priority="13" dxfId="328" operator="greaterThan" stopIfTrue="1">
      <formula>$D$58*0.1</formula>
    </cfRule>
  </conditionalFormatting>
  <conditionalFormatting sqref="E56">
    <cfRule type="cellIs" priority="14" dxfId="328" operator="greaterThan" stopIfTrue="1">
      <formula>$E$58*0.1</formula>
    </cfRule>
  </conditionalFormatting>
  <conditionalFormatting sqref="C58:D58">
    <cfRule type="cellIs" priority="15" dxfId="3" operator="greaterThan" stopIfTrue="1">
      <formula>$D$60</formula>
    </cfRule>
  </conditionalFormatting>
  <conditionalFormatting sqref="C59 E59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59">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D72" sqref="D72"/>
    </sheetView>
  </sheetViews>
  <sheetFormatPr defaultColWidth="8.796875" defaultRowHeight="15"/>
  <cols>
    <col min="1" max="1" width="2.3984375" style="18" customWidth="1"/>
    <col min="2" max="2" width="31.09765625" style="18" customWidth="1"/>
    <col min="3" max="4" width="15.796875" style="18" customWidth="1"/>
    <col min="5" max="5" width="16.09765625" style="18" customWidth="1"/>
    <col min="6" max="16384" width="8.8984375" style="18" customWidth="1"/>
  </cols>
  <sheetData>
    <row r="1" spans="2:5" ht="15.75">
      <c r="B1" s="140">
        <f>(inputPrYr!D3)</f>
        <v>0</v>
      </c>
      <c r="C1" s="32"/>
      <c r="D1" s="32"/>
      <c r="E1" s="190">
        <f>inputPrYr!C6</f>
        <v>0</v>
      </c>
    </row>
    <row r="2" spans="2:5" ht="15.75">
      <c r="B2" s="32"/>
      <c r="C2" s="32"/>
      <c r="D2" s="32"/>
      <c r="E2" s="126"/>
    </row>
    <row r="3" spans="2:5" ht="15.75">
      <c r="B3" s="191" t="s">
        <v>170</v>
      </c>
      <c r="C3" s="232"/>
      <c r="D3" s="232"/>
      <c r="E3" s="232"/>
    </row>
    <row r="4" spans="2:5" ht="15.75">
      <c r="B4" s="33" t="s">
        <v>101</v>
      </c>
      <c r="C4" s="365" t="s">
        <v>801</v>
      </c>
      <c r="D4" s="364" t="s">
        <v>802</v>
      </c>
      <c r="E4" s="343" t="s">
        <v>803</v>
      </c>
    </row>
    <row r="5" spans="2:5" ht="15.75">
      <c r="B5" s="488">
        <f>inputPrYr!B53</f>
        <v>0</v>
      </c>
      <c r="C5" s="366" t="str">
        <f>CONCATENATE("Actual for ",E1-2,"")</f>
        <v>Actual for -2</v>
      </c>
      <c r="D5" s="366" t="str">
        <f>CONCATENATE("Estimate for ",E1-1,"")</f>
        <v>Estimate for -1</v>
      </c>
      <c r="E5" s="351" t="str">
        <f>CONCATENATE("Year for ",E1,"")</f>
        <v>Year for 0</v>
      </c>
    </row>
    <row r="6" spans="2:5" ht="15.75">
      <c r="B6" s="196" t="s">
        <v>211</v>
      </c>
      <c r="C6" s="43"/>
      <c r="D6" s="170">
        <f>C29</f>
        <v>0</v>
      </c>
      <c r="E6" s="170">
        <f>D29</f>
        <v>0</v>
      </c>
    </row>
    <row r="7" spans="2:5" s="30" customFormat="1" ht="15.75">
      <c r="B7" s="200" t="s">
        <v>213</v>
      </c>
      <c r="C7" s="58"/>
      <c r="D7" s="58"/>
      <c r="E7" s="58"/>
    </row>
    <row r="8" spans="2:5" ht="15.75">
      <c r="B8" s="217"/>
      <c r="C8" s="43"/>
      <c r="D8" s="43"/>
      <c r="E8" s="43"/>
    </row>
    <row r="9" spans="2:5" ht="15.75">
      <c r="B9" s="217"/>
      <c r="C9" s="43"/>
      <c r="D9" s="43"/>
      <c r="E9" s="43"/>
    </row>
    <row r="10" spans="2:5" ht="15.75">
      <c r="B10" s="217"/>
      <c r="C10" s="43"/>
      <c r="D10" s="43"/>
      <c r="E10" s="43"/>
    </row>
    <row r="11" spans="2:5" ht="15.75">
      <c r="B11" s="217"/>
      <c r="C11" s="43"/>
      <c r="D11" s="43"/>
      <c r="E11" s="43"/>
    </row>
    <row r="12" spans="2:5" ht="15.75">
      <c r="B12" s="217"/>
      <c r="C12" s="43"/>
      <c r="D12" s="43"/>
      <c r="E12" s="43"/>
    </row>
    <row r="13" spans="2:5" ht="15.75">
      <c r="B13" s="205" t="s">
        <v>109</v>
      </c>
      <c r="C13" s="43"/>
      <c r="D13" s="43"/>
      <c r="E13" s="43"/>
    </row>
    <row r="14" spans="2:5" ht="15.75">
      <c r="B14" s="117" t="s">
        <v>13</v>
      </c>
      <c r="C14" s="43"/>
      <c r="D14" s="202"/>
      <c r="E14" s="202"/>
    </row>
    <row r="15" spans="2:5" ht="15.75">
      <c r="B15" s="196" t="s">
        <v>780</v>
      </c>
      <c r="C15" s="243">
        <f>IF(C16*0.1&lt;C14,"Exceed 10% Rule","")</f>
      </c>
      <c r="D15" s="207">
        <f>IF(D16*0.1&lt;D14,"Exceed 10% Rule","")</f>
      </c>
      <c r="E15" s="207">
        <f>IF(E16*0.1&lt;E14,"Exceed 10% Rule","")</f>
      </c>
    </row>
    <row r="16" spans="2:5" ht="15.75">
      <c r="B16" s="208" t="s">
        <v>110</v>
      </c>
      <c r="C16" s="211">
        <f>SUM(C8:C14)</f>
        <v>0</v>
      </c>
      <c r="D16" s="211">
        <f>SUM(D8:D14)</f>
        <v>0</v>
      </c>
      <c r="E16" s="211">
        <f>SUM(E8:E14)</f>
        <v>0</v>
      </c>
    </row>
    <row r="17" spans="2:5" ht="15.75">
      <c r="B17" s="208" t="s">
        <v>111</v>
      </c>
      <c r="C17" s="211">
        <f>C6+C16</f>
        <v>0</v>
      </c>
      <c r="D17" s="211">
        <f>D6+D16</f>
        <v>0</v>
      </c>
      <c r="E17" s="211">
        <f>E6+E16</f>
        <v>0</v>
      </c>
    </row>
    <row r="18" spans="2:5" ht="15.75">
      <c r="B18" s="108" t="s">
        <v>113</v>
      </c>
      <c r="C18" s="170"/>
      <c r="D18" s="170"/>
      <c r="E18" s="170"/>
    </row>
    <row r="19" spans="2:5" ht="15.75">
      <c r="B19" s="217"/>
      <c r="C19" s="43"/>
      <c r="D19" s="43"/>
      <c r="E19" s="43"/>
    </row>
    <row r="20" spans="2:5" ht="15.75">
      <c r="B20" s="217"/>
      <c r="C20" s="43"/>
      <c r="D20" s="43"/>
      <c r="E20" s="43"/>
    </row>
    <row r="21" spans="2:5" ht="15.75">
      <c r="B21" s="217"/>
      <c r="C21" s="43"/>
      <c r="D21" s="43"/>
      <c r="E21" s="43"/>
    </row>
    <row r="22" spans="2:5" ht="15.75">
      <c r="B22" s="217"/>
      <c r="C22" s="43"/>
      <c r="D22" s="43"/>
      <c r="E22" s="43"/>
    </row>
    <row r="23" spans="2:5" ht="15.75">
      <c r="B23" s="217"/>
      <c r="C23" s="43"/>
      <c r="D23" s="43"/>
      <c r="E23" s="43"/>
    </row>
    <row r="24" spans="2:5" ht="15.75">
      <c r="B24" s="217"/>
      <c r="C24" s="43"/>
      <c r="D24" s="43"/>
      <c r="E24" s="43"/>
    </row>
    <row r="25" spans="2:5" ht="15.75">
      <c r="B25" s="218" t="str">
        <f>CONCATENATE("Cash Forward (",E1," column)")</f>
        <v>Cash Forward (0 column)</v>
      </c>
      <c r="C25" s="43"/>
      <c r="D25" s="43"/>
      <c r="E25" s="43"/>
    </row>
    <row r="26" spans="2:5" ht="15.75">
      <c r="B26" s="218" t="s">
        <v>13</v>
      </c>
      <c r="C26" s="43"/>
      <c r="D26" s="202"/>
      <c r="E26" s="202"/>
    </row>
    <row r="27" spans="2:5" ht="15.75">
      <c r="B27" s="218" t="s">
        <v>781</v>
      </c>
      <c r="C27" s="243">
        <f>IF(C28*0.1&lt;C26,"Exceed 10% Rule","")</f>
      </c>
      <c r="D27" s="207">
        <f>IF(D28*0.1&lt;D26,"Exceed 10% Rule","")</f>
      </c>
      <c r="E27" s="207">
        <f>IF(E28*0.1&lt;E26,"Exceed 10% Rule","")</f>
      </c>
    </row>
    <row r="28" spans="2:5" ht="15.75">
      <c r="B28" s="208" t="s">
        <v>117</v>
      </c>
      <c r="C28" s="211">
        <f>SUM(C19:C26)</f>
        <v>0</v>
      </c>
      <c r="D28" s="211">
        <f>SUM(D19:D26)</f>
        <v>0</v>
      </c>
      <c r="E28" s="211">
        <f>SUM(E19:E26)</f>
        <v>0</v>
      </c>
    </row>
    <row r="29" spans="2:5" ht="15.75">
      <c r="B29" s="108" t="s">
        <v>212</v>
      </c>
      <c r="C29" s="56">
        <f>C17-C28</f>
        <v>0</v>
      </c>
      <c r="D29" s="56">
        <f>D17-D28</f>
        <v>0</v>
      </c>
      <c r="E29" s="56">
        <f>E17-E28</f>
        <v>0</v>
      </c>
    </row>
    <row r="30" spans="2:5" ht="15.75">
      <c r="B30" s="128" t="str">
        <f>CONCATENATE("",E1-2,"/",E1-1,"/",E1," Budget Authority Amount:")</f>
        <v>-2/-1/0 Budget Authority Amount:</v>
      </c>
      <c r="C30" s="787">
        <f>inputOth!B92</f>
        <v>0</v>
      </c>
      <c r="D30" s="787">
        <f>inputPrYr!D53</f>
        <v>0</v>
      </c>
      <c r="E30" s="834">
        <f>E28</f>
        <v>0</v>
      </c>
    </row>
    <row r="31" spans="2:5" ht="15.75">
      <c r="B31" s="94"/>
      <c r="C31" s="220">
        <f>IF(C28&gt;C30,"See Tab A","")</f>
      </c>
      <c r="D31" s="220">
        <f>IF(D28&gt;D30,"See Tab C","")</f>
      </c>
      <c r="E31" s="835">
        <f>IF(E29&lt;0,"See Tab E","")</f>
      </c>
    </row>
    <row r="32" spans="2:5" ht="15.75">
      <c r="B32" s="94"/>
      <c r="C32" s="220">
        <f>IF(C29&lt;0,"See Tab B","")</f>
      </c>
      <c r="D32" s="220">
        <f>IF(D29&lt;0,"See Tab D","")</f>
      </c>
      <c r="E32" s="62"/>
    </row>
    <row r="33" spans="2:5" ht="15.75">
      <c r="B33" s="32"/>
      <c r="C33" s="62"/>
      <c r="D33" s="62"/>
      <c r="E33" s="62"/>
    </row>
    <row r="34" spans="2:5" ht="15.75">
      <c r="B34" s="33"/>
      <c r="C34" s="238"/>
      <c r="D34" s="238"/>
      <c r="E34" s="238"/>
    </row>
    <row r="35" spans="2:5" ht="15.75">
      <c r="B35" s="33" t="s">
        <v>101</v>
      </c>
      <c r="C35" s="222" t="s">
        <v>801</v>
      </c>
      <c r="D35" s="102" t="s">
        <v>802</v>
      </c>
      <c r="E35" s="102" t="s">
        <v>803</v>
      </c>
    </row>
    <row r="36" spans="2:5" ht="15.75">
      <c r="B36" s="488">
        <f>inputPrYr!B54</f>
        <v>0</v>
      </c>
      <c r="C36" s="195" t="str">
        <f>C5</f>
        <v>Actual for -2</v>
      </c>
      <c r="D36" s="195" t="str">
        <f>D5</f>
        <v>Estimate for -1</v>
      </c>
      <c r="E36" s="195" t="str">
        <f>E5</f>
        <v>Year for 0</v>
      </c>
    </row>
    <row r="37" spans="2:5" ht="15.75">
      <c r="B37" s="196" t="s">
        <v>211</v>
      </c>
      <c r="C37" s="43"/>
      <c r="D37" s="170">
        <f>C59</f>
        <v>0</v>
      </c>
      <c r="E37" s="170">
        <f>D59</f>
        <v>0</v>
      </c>
    </row>
    <row r="38" spans="2:5" s="30" customFormat="1" ht="15.75">
      <c r="B38" s="200" t="s">
        <v>213</v>
      </c>
      <c r="C38" s="58"/>
      <c r="D38" s="58"/>
      <c r="E38" s="58"/>
    </row>
    <row r="39" spans="2:5" ht="15.75">
      <c r="B39" s="217"/>
      <c r="C39" s="43"/>
      <c r="D39" s="43"/>
      <c r="E39" s="43"/>
    </row>
    <row r="40" spans="2:5" ht="15.75">
      <c r="B40" s="217"/>
      <c r="C40" s="43"/>
      <c r="D40" s="43"/>
      <c r="E40" s="43"/>
    </row>
    <row r="41" spans="2:5" ht="15.75">
      <c r="B41" s="217"/>
      <c r="C41" s="43"/>
      <c r="D41" s="43"/>
      <c r="E41" s="43"/>
    </row>
    <row r="42" spans="2:5" ht="15.75">
      <c r="B42" s="217"/>
      <c r="C42" s="43"/>
      <c r="D42" s="43"/>
      <c r="E42" s="43"/>
    </row>
    <row r="43" spans="2:5" ht="15.75">
      <c r="B43" s="205" t="s">
        <v>109</v>
      </c>
      <c r="C43" s="43"/>
      <c r="D43" s="43"/>
      <c r="E43" s="43"/>
    </row>
    <row r="44" spans="2:5" ht="15.75">
      <c r="B44" s="117" t="s">
        <v>13</v>
      </c>
      <c r="C44" s="43"/>
      <c r="D44" s="202"/>
      <c r="E44" s="202"/>
    </row>
    <row r="45" spans="2:5" ht="15.75">
      <c r="B45" s="196" t="s">
        <v>780</v>
      </c>
      <c r="C45" s="243">
        <f>IF(C46*0.1&lt;C44,"Exceed 10% Rule","")</f>
      </c>
      <c r="D45" s="207">
        <f>IF(D46*0.1&lt;D44,"Exceed 10% Rule","")</f>
      </c>
      <c r="E45" s="207">
        <f>IF(E46*0.1&lt;E44,"Exceed 10% Rule","")</f>
      </c>
    </row>
    <row r="46" spans="2:5" ht="15.75">
      <c r="B46" s="208" t="s">
        <v>110</v>
      </c>
      <c r="C46" s="211">
        <f>SUM(C39:C44)</f>
        <v>0</v>
      </c>
      <c r="D46" s="211">
        <f>SUM(D39:D44)</f>
        <v>0</v>
      </c>
      <c r="E46" s="211">
        <f>SUM(E39:E44)</f>
        <v>0</v>
      </c>
    </row>
    <row r="47" spans="2:5" ht="15.75">
      <c r="B47" s="208" t="s">
        <v>111</v>
      </c>
      <c r="C47" s="211">
        <f>C37+C46</f>
        <v>0</v>
      </c>
      <c r="D47" s="211">
        <f>D37+D46</f>
        <v>0</v>
      </c>
      <c r="E47" s="211">
        <f>E37+E46</f>
        <v>0</v>
      </c>
    </row>
    <row r="48" spans="2:5" ht="15.75">
      <c r="B48" s="108" t="s">
        <v>113</v>
      </c>
      <c r="C48" s="170"/>
      <c r="D48" s="170"/>
      <c r="E48" s="170"/>
    </row>
    <row r="49" spans="2:5" ht="15.75">
      <c r="B49" s="217"/>
      <c r="C49" s="43"/>
      <c r="D49" s="43"/>
      <c r="E49" s="43"/>
    </row>
    <row r="50" spans="2:5" ht="15.75">
      <c r="B50" s="217"/>
      <c r="C50" s="43"/>
      <c r="D50" s="43"/>
      <c r="E50" s="43"/>
    </row>
    <row r="51" spans="2:5" ht="15.75">
      <c r="B51" s="217"/>
      <c r="C51" s="43"/>
      <c r="D51" s="43"/>
      <c r="E51" s="43"/>
    </row>
    <row r="52" spans="2:5" ht="15.75">
      <c r="B52" s="217"/>
      <c r="C52" s="43"/>
      <c r="D52" s="43"/>
      <c r="E52" s="43"/>
    </row>
    <row r="53" spans="2:5" ht="15.75">
      <c r="B53" s="217"/>
      <c r="C53" s="43"/>
      <c r="D53" s="43"/>
      <c r="E53" s="43"/>
    </row>
    <row r="54" spans="2:5" ht="15.75">
      <c r="B54" s="217"/>
      <c r="C54" s="43"/>
      <c r="D54" s="43"/>
      <c r="E54" s="43"/>
    </row>
    <row r="55" spans="2:5" ht="15.75">
      <c r="B55" s="218" t="str">
        <f>CONCATENATE("Cash Forward (",E1," column)")</f>
        <v>Cash Forward (0 column)</v>
      </c>
      <c r="C55" s="43"/>
      <c r="D55" s="43"/>
      <c r="E55" s="43"/>
    </row>
    <row r="56" spans="2:5" ht="15.75">
      <c r="B56" s="218" t="s">
        <v>13</v>
      </c>
      <c r="C56" s="43"/>
      <c r="D56" s="202"/>
      <c r="E56" s="202"/>
    </row>
    <row r="57" spans="2:5" ht="15.75">
      <c r="B57" s="218" t="s">
        <v>781</v>
      </c>
      <c r="C57" s="243">
        <f>IF(C58*0.1&lt;C56,"Exceed 10% Rule","")</f>
      </c>
      <c r="D57" s="207">
        <f>IF(D58*0.1&lt;D56,"Exceed 10% Rule","")</f>
      </c>
      <c r="E57" s="207">
        <f>IF(E58*0.1&lt;E56,"Exceed 10% Rule","")</f>
      </c>
    </row>
    <row r="58" spans="2:5" ht="15.75">
      <c r="B58" s="208" t="s">
        <v>117</v>
      </c>
      <c r="C58" s="211">
        <f>SUM(C49:C56)</f>
        <v>0</v>
      </c>
      <c r="D58" s="211">
        <f>SUM(D49:D56)</f>
        <v>0</v>
      </c>
      <c r="E58" s="211">
        <f>SUM(E49:E56)</f>
        <v>0</v>
      </c>
    </row>
    <row r="59" spans="2:5" ht="15.75">
      <c r="B59" s="108" t="s">
        <v>212</v>
      </c>
      <c r="C59" s="56">
        <f>C47-C58</f>
        <v>0</v>
      </c>
      <c r="D59" s="56">
        <f>D47-D58</f>
        <v>0</v>
      </c>
      <c r="E59" s="56">
        <f>E47-E58</f>
        <v>0</v>
      </c>
    </row>
    <row r="60" spans="2:5" ht="15.75">
      <c r="B60" s="128" t="str">
        <f>CONCATENATE("",E1-2,"/",E1-1,"/",E1," Budget Authority Amount:")</f>
        <v>-2/-1/0 Budget Authority Amount:</v>
      </c>
      <c r="C60" s="787">
        <f>inputOth!B93</f>
        <v>0</v>
      </c>
      <c r="D60" s="787">
        <f>inputPrYr!D54</f>
        <v>0</v>
      </c>
      <c r="E60" s="834">
        <f>E58</f>
        <v>0</v>
      </c>
    </row>
    <row r="61" spans="2:5" ht="15.75">
      <c r="B61" s="94"/>
      <c r="C61" s="220">
        <f>IF(C58&gt;C60,"See Tab A","")</f>
      </c>
      <c r="D61" s="220">
        <f>IF(D58&gt;D60,"See Tab C","")</f>
      </c>
      <c r="E61" s="835">
        <f>IF(E59&lt;0,"See Tab E","")</f>
      </c>
    </row>
    <row r="62" spans="2:5" ht="15.75">
      <c r="B62" s="982" t="s">
        <v>1034</v>
      </c>
      <c r="C62" s="966">
        <f>IF(C59&lt;0,"See Tab B","")</f>
      </c>
      <c r="D62" s="966">
        <f>IF(D59&lt;0,"See Tab D","")</f>
      </c>
      <c r="E62" s="951"/>
    </row>
    <row r="63" spans="2:5" ht="15.75">
      <c r="B63" s="761"/>
      <c r="C63" s="52"/>
      <c r="D63" s="52"/>
      <c r="E63" s="768"/>
    </row>
    <row r="64" spans="2:5" ht="15.75">
      <c r="B64" s="695"/>
      <c r="C64" s="47"/>
      <c r="D64" s="47"/>
      <c r="E64" s="55"/>
    </row>
    <row r="65" spans="2:5" ht="15.75">
      <c r="B65" s="32"/>
      <c r="C65" s="32"/>
      <c r="D65" s="32"/>
      <c r="E65" s="32"/>
    </row>
    <row r="66" spans="2:5" ht="15.75">
      <c r="B66" s="126" t="s">
        <v>120</v>
      </c>
      <c r="C66" s="225"/>
      <c r="D66" s="32"/>
      <c r="E66" s="32"/>
    </row>
  </sheetData>
  <sheetProtection/>
  <conditionalFormatting sqref="C14">
    <cfRule type="cellIs" priority="18" dxfId="328" operator="greaterThan" stopIfTrue="1">
      <formula>$C$16*0.1</formula>
    </cfRule>
  </conditionalFormatting>
  <conditionalFormatting sqref="D14">
    <cfRule type="cellIs" priority="17" dxfId="328" operator="greaterThan" stopIfTrue="1">
      <formula>$D$16*0.1</formula>
    </cfRule>
  </conditionalFormatting>
  <conditionalFormatting sqref="E14">
    <cfRule type="cellIs" priority="16" dxfId="328" operator="greaterThan" stopIfTrue="1">
      <formula>$E$16*0.1</formula>
    </cfRule>
  </conditionalFormatting>
  <conditionalFormatting sqref="C26">
    <cfRule type="cellIs" priority="15" dxfId="328" operator="greaterThan" stopIfTrue="1">
      <formula>$C$28*0.1</formula>
    </cfRule>
  </conditionalFormatting>
  <conditionalFormatting sqref="D26">
    <cfRule type="cellIs" priority="14" dxfId="328" operator="greaterThan" stopIfTrue="1">
      <formula>$D$28*0.1</formula>
    </cfRule>
  </conditionalFormatting>
  <conditionalFormatting sqref="E26">
    <cfRule type="cellIs" priority="13" dxfId="328" operator="greaterThan" stopIfTrue="1">
      <formula>$E$28*0.1</formula>
    </cfRule>
  </conditionalFormatting>
  <conditionalFormatting sqref="C44">
    <cfRule type="cellIs" priority="12" dxfId="328" operator="greaterThan" stopIfTrue="1">
      <formula>$C$46*0.1</formula>
    </cfRule>
  </conditionalFormatting>
  <conditionalFormatting sqref="D44">
    <cfRule type="cellIs" priority="11" dxfId="328" operator="greaterThan" stopIfTrue="1">
      <formula>$D$46*0.1</formula>
    </cfRule>
  </conditionalFormatting>
  <conditionalFormatting sqref="E44">
    <cfRule type="cellIs" priority="10" dxfId="328" operator="greaterThan" stopIfTrue="1">
      <formula>$E$46*0.1</formula>
    </cfRule>
  </conditionalFormatting>
  <conditionalFormatting sqref="C56">
    <cfRule type="cellIs" priority="9" dxfId="328" operator="greaterThan" stopIfTrue="1">
      <formula>$C$58*0.1</formula>
    </cfRule>
  </conditionalFormatting>
  <conditionalFormatting sqref="D56">
    <cfRule type="cellIs" priority="8" dxfId="328" operator="greaterThan" stopIfTrue="1">
      <formula>$D$58*0.1</formula>
    </cfRule>
  </conditionalFormatting>
  <conditionalFormatting sqref="E56">
    <cfRule type="cellIs" priority="7" dxfId="328" operator="greaterThan" stopIfTrue="1">
      <formula>$E$58*0.1</formula>
    </cfRule>
  </conditionalFormatting>
  <conditionalFormatting sqref="C58:D58">
    <cfRule type="cellIs" priority="6" dxfId="3" operator="greaterThan" stopIfTrue="1">
      <formula>$D$60</formula>
    </cfRule>
  </conditionalFormatting>
  <conditionalFormatting sqref="C59 E59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59">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4">
      <selection activeCell="C75" sqref="C75"/>
    </sheetView>
  </sheetViews>
  <sheetFormatPr defaultColWidth="8.796875" defaultRowHeight="15"/>
  <cols>
    <col min="1" max="1" width="2.3984375" style="18" customWidth="1"/>
    <col min="2" max="2" width="31.09765625" style="18" customWidth="1"/>
    <col min="3" max="4" width="15.796875" style="18" customWidth="1"/>
    <col min="5" max="5" width="16.09765625" style="18" customWidth="1"/>
    <col min="6" max="16384" width="8.8984375" style="18" customWidth="1"/>
  </cols>
  <sheetData>
    <row r="1" spans="2:5" ht="15.75">
      <c r="B1" s="140">
        <f>(inputPrYr!D3)</f>
        <v>0</v>
      </c>
      <c r="C1" s="32"/>
      <c r="D1" s="32"/>
      <c r="E1" s="190">
        <f>inputPrYr!C6</f>
        <v>0</v>
      </c>
    </row>
    <row r="2" spans="2:5" ht="15.75">
      <c r="B2" s="32"/>
      <c r="C2" s="32"/>
      <c r="D2" s="32"/>
      <c r="E2" s="126"/>
    </row>
    <row r="3" spans="2:5" ht="15.75">
      <c r="B3" s="191" t="s">
        <v>170</v>
      </c>
      <c r="C3" s="232"/>
      <c r="D3" s="232"/>
      <c r="E3" s="232"/>
    </row>
    <row r="4" spans="2:5" ht="15.75">
      <c r="B4" s="33" t="s">
        <v>101</v>
      </c>
      <c r="C4" s="365" t="s">
        <v>801</v>
      </c>
      <c r="D4" s="364" t="s">
        <v>802</v>
      </c>
      <c r="E4" s="343" t="s">
        <v>803</v>
      </c>
    </row>
    <row r="5" spans="2:5" ht="15.75">
      <c r="B5" s="488">
        <f>inputPrYr!B55</f>
        <v>0</v>
      </c>
      <c r="C5" s="366" t="str">
        <f>CONCATENATE("Actual for ",E1-2,"")</f>
        <v>Actual for -2</v>
      </c>
      <c r="D5" s="366" t="str">
        <f>CONCATENATE("Estimate for ",E1-1,"")</f>
        <v>Estimate for -1</v>
      </c>
      <c r="E5" s="351" t="str">
        <f>CONCATENATE("Year for ",E1,"")</f>
        <v>Year for 0</v>
      </c>
    </row>
    <row r="6" spans="2:5" ht="15.75">
      <c r="B6" s="196" t="s">
        <v>211</v>
      </c>
      <c r="C6" s="43"/>
      <c r="D6" s="170">
        <f>C29</f>
        <v>0</v>
      </c>
      <c r="E6" s="170">
        <f>D29</f>
        <v>0</v>
      </c>
    </row>
    <row r="7" spans="2:5" s="30" customFormat="1" ht="15.75">
      <c r="B7" s="200" t="s">
        <v>213</v>
      </c>
      <c r="C7" s="58"/>
      <c r="D7" s="58"/>
      <c r="E7" s="58"/>
    </row>
    <row r="8" spans="2:5" ht="15.75">
      <c r="B8" s="217"/>
      <c r="C8" s="43"/>
      <c r="D8" s="43"/>
      <c r="E8" s="43"/>
    </row>
    <row r="9" spans="2:5" ht="15.75">
      <c r="B9" s="217"/>
      <c r="C9" s="43"/>
      <c r="D9" s="43"/>
      <c r="E9" s="43"/>
    </row>
    <row r="10" spans="2:5" ht="15.75">
      <c r="B10" s="217"/>
      <c r="C10" s="43"/>
      <c r="D10" s="43"/>
      <c r="E10" s="43"/>
    </row>
    <row r="11" spans="2:5" ht="15.75">
      <c r="B11" s="217"/>
      <c r="C11" s="43"/>
      <c r="D11" s="43"/>
      <c r="E11" s="43"/>
    </row>
    <row r="12" spans="2:5" ht="15.75">
      <c r="B12" s="217"/>
      <c r="C12" s="43"/>
      <c r="D12" s="43"/>
      <c r="E12" s="43"/>
    </row>
    <row r="13" spans="2:5" ht="15.75">
      <c r="B13" s="205" t="s">
        <v>109</v>
      </c>
      <c r="C13" s="43"/>
      <c r="D13" s="43"/>
      <c r="E13" s="43"/>
    </row>
    <row r="14" spans="2:5" ht="15.75">
      <c r="B14" s="117" t="s">
        <v>13</v>
      </c>
      <c r="C14" s="43"/>
      <c r="D14" s="202"/>
      <c r="E14" s="202"/>
    </row>
    <row r="15" spans="2:5" ht="15.75">
      <c r="B15" s="196" t="s">
        <v>780</v>
      </c>
      <c r="C15" s="243">
        <f>IF(C16*0.1&lt;C14,"Exceed 10% Rule","")</f>
      </c>
      <c r="D15" s="207">
        <f>IF(D16*0.1&lt;D14,"Exceed 10% Rule","")</f>
      </c>
      <c r="E15" s="207">
        <f>IF(E16*0.1&lt;E14,"Exceed 10% Rule","")</f>
      </c>
    </row>
    <row r="16" spans="2:5" ht="15.75">
      <c r="B16" s="208" t="s">
        <v>110</v>
      </c>
      <c r="C16" s="211">
        <f>SUM(C8:C14)</f>
        <v>0</v>
      </c>
      <c r="D16" s="211">
        <f>SUM(D8:D14)</f>
        <v>0</v>
      </c>
      <c r="E16" s="211">
        <f>SUM(E8:E14)</f>
        <v>0</v>
      </c>
    </row>
    <row r="17" spans="2:5" ht="15.75">
      <c r="B17" s="208" t="s">
        <v>111</v>
      </c>
      <c r="C17" s="211">
        <f>C6+C16</f>
        <v>0</v>
      </c>
      <c r="D17" s="211">
        <f>D6+D16</f>
        <v>0</v>
      </c>
      <c r="E17" s="211">
        <f>E6+E16</f>
        <v>0</v>
      </c>
    </row>
    <row r="18" spans="2:5" ht="15.75">
      <c r="B18" s="108" t="s">
        <v>113</v>
      </c>
      <c r="C18" s="170"/>
      <c r="D18" s="170"/>
      <c r="E18" s="170"/>
    </row>
    <row r="19" spans="2:5" ht="15.75">
      <c r="B19" s="217"/>
      <c r="C19" s="43"/>
      <c r="D19" s="43"/>
      <c r="E19" s="43"/>
    </row>
    <row r="20" spans="2:5" ht="15.75">
      <c r="B20" s="217"/>
      <c r="C20" s="43"/>
      <c r="D20" s="43"/>
      <c r="E20" s="43"/>
    </row>
    <row r="21" spans="2:5" ht="15.75">
      <c r="B21" s="217"/>
      <c r="C21" s="43"/>
      <c r="D21" s="43"/>
      <c r="E21" s="43"/>
    </row>
    <row r="22" spans="2:5" ht="15.75">
      <c r="B22" s="217"/>
      <c r="C22" s="43"/>
      <c r="D22" s="43"/>
      <c r="E22" s="43"/>
    </row>
    <row r="23" spans="2:5" ht="15.75">
      <c r="B23" s="217"/>
      <c r="C23" s="43"/>
      <c r="D23" s="43"/>
      <c r="E23" s="43"/>
    </row>
    <row r="24" spans="2:5" ht="15.75">
      <c r="B24" s="217"/>
      <c r="C24" s="43"/>
      <c r="D24" s="43"/>
      <c r="E24" s="43"/>
    </row>
    <row r="25" spans="2:5" ht="15.75">
      <c r="B25" s="218" t="str">
        <f>CONCATENATE("Cash Forward (",E1," column)")</f>
        <v>Cash Forward (0 column)</v>
      </c>
      <c r="C25" s="43"/>
      <c r="D25" s="43"/>
      <c r="E25" s="43"/>
    </row>
    <row r="26" spans="2:5" ht="15.75">
      <c r="B26" s="218" t="s">
        <v>13</v>
      </c>
      <c r="C26" s="43"/>
      <c r="D26" s="202"/>
      <c r="E26" s="202"/>
    </row>
    <row r="27" spans="2:5" ht="15.75">
      <c r="B27" s="218" t="s">
        <v>781</v>
      </c>
      <c r="C27" s="243">
        <f>IF(C28*0.1&lt;C26,"Exceed 10% Rule","")</f>
      </c>
      <c r="D27" s="207">
        <f>IF(D28*0.1&lt;D26,"Exceed 10% Rule","")</f>
      </c>
      <c r="E27" s="207">
        <f>IF(E28*0.1&lt;E26,"Exceed 10% Rule","")</f>
      </c>
    </row>
    <row r="28" spans="2:5" ht="15.75">
      <c r="B28" s="208" t="s">
        <v>117</v>
      </c>
      <c r="C28" s="211">
        <f>SUM(C19:C26)</f>
        <v>0</v>
      </c>
      <c r="D28" s="211">
        <f>SUM(D19:D26)</f>
        <v>0</v>
      </c>
      <c r="E28" s="211">
        <f>SUM(E19:E26)</f>
        <v>0</v>
      </c>
    </row>
    <row r="29" spans="2:5" ht="15.75">
      <c r="B29" s="108" t="s">
        <v>212</v>
      </c>
      <c r="C29" s="56">
        <f>C17-C28</f>
        <v>0</v>
      </c>
      <c r="D29" s="56">
        <f>D17-D28</f>
        <v>0</v>
      </c>
      <c r="E29" s="56">
        <f>E17-E28</f>
        <v>0</v>
      </c>
    </row>
    <row r="30" spans="2:5" ht="15.75">
      <c r="B30" s="128" t="str">
        <f>CONCATENATE("",E1-2,"/",E1-1,"/",E1," Budget Authority Amount:")</f>
        <v>-2/-1/0 Budget Authority Amount:</v>
      </c>
      <c r="C30" s="787">
        <f>inputOth!B94</f>
        <v>0</v>
      </c>
      <c r="D30" s="787">
        <f>inputPrYr!D55</f>
        <v>0</v>
      </c>
      <c r="E30" s="834">
        <f>E28</f>
        <v>0</v>
      </c>
    </row>
    <row r="31" spans="2:5" ht="15.75">
      <c r="B31" s="94"/>
      <c r="C31" s="324">
        <f>IF(C28&gt;C30,"See Tab A","")</f>
      </c>
      <c r="D31" s="220">
        <f>IF(D28&gt;D30,"See Tab C","")</f>
      </c>
      <c r="E31" s="835">
        <f>IF(E29&lt;0,"See Tab E","")</f>
      </c>
    </row>
    <row r="32" spans="2:5" ht="15.75">
      <c r="B32" s="94"/>
      <c r="C32" s="324">
        <f>IF(C29&lt;0,"See Tab B","")</f>
      </c>
      <c r="D32" s="220">
        <f>IF(D29&lt;0,"See Tab D","")</f>
      </c>
      <c r="E32" s="62"/>
    </row>
    <row r="33" spans="2:5" ht="15.75">
      <c r="B33" s="32"/>
      <c r="C33" s="325"/>
      <c r="D33" s="62"/>
      <c r="E33" s="62"/>
    </row>
    <row r="34" spans="2:5" ht="15.75">
      <c r="B34" s="33"/>
      <c r="C34" s="326"/>
      <c r="D34" s="238"/>
      <c r="E34" s="238"/>
    </row>
    <row r="35" spans="2:5" ht="15.75">
      <c r="B35" s="33" t="s">
        <v>101</v>
      </c>
      <c r="C35" s="222" t="s">
        <v>123</v>
      </c>
      <c r="D35" s="102" t="s">
        <v>225</v>
      </c>
      <c r="E35" s="102" t="s">
        <v>226</v>
      </c>
    </row>
    <row r="36" spans="2:5" ht="15.75">
      <c r="B36" s="488">
        <f>inputPrYr!B56</f>
        <v>0</v>
      </c>
      <c r="C36" s="195" t="str">
        <f>C5</f>
        <v>Actual for -2</v>
      </c>
      <c r="D36" s="195" t="str">
        <f>D5</f>
        <v>Estimate for -1</v>
      </c>
      <c r="E36" s="195" t="str">
        <f>E5</f>
        <v>Year for 0</v>
      </c>
    </row>
    <row r="37" spans="2:5" ht="15.75">
      <c r="B37" s="196" t="s">
        <v>211</v>
      </c>
      <c r="C37" s="43"/>
      <c r="D37" s="170">
        <f>C59</f>
        <v>0</v>
      </c>
      <c r="E37" s="170">
        <f>D59</f>
        <v>0</v>
      </c>
    </row>
    <row r="38" spans="2:5" s="30" customFormat="1" ht="15.75">
      <c r="B38" s="200" t="s">
        <v>213</v>
      </c>
      <c r="C38" s="58"/>
      <c r="D38" s="58"/>
      <c r="E38" s="58"/>
    </row>
    <row r="39" spans="2:5" ht="15.75">
      <c r="B39" s="217"/>
      <c r="C39" s="43"/>
      <c r="D39" s="43"/>
      <c r="E39" s="43"/>
    </row>
    <row r="40" spans="2:5" ht="15.75">
      <c r="B40" s="217"/>
      <c r="C40" s="43"/>
      <c r="D40" s="43"/>
      <c r="E40" s="43"/>
    </row>
    <row r="41" spans="2:5" ht="15.75">
      <c r="B41" s="217"/>
      <c r="C41" s="43"/>
      <c r="D41" s="43"/>
      <c r="E41" s="43"/>
    </row>
    <row r="42" spans="2:5" ht="15.75">
      <c r="B42" s="217"/>
      <c r="C42" s="43"/>
      <c r="D42" s="43"/>
      <c r="E42" s="43"/>
    </row>
    <row r="43" spans="2:5" ht="15.75">
      <c r="B43" s="205" t="s">
        <v>109</v>
      </c>
      <c r="C43" s="43"/>
      <c r="D43" s="43"/>
      <c r="E43" s="43"/>
    </row>
    <row r="44" spans="2:5" ht="15.75">
      <c r="B44" s="117" t="s">
        <v>13</v>
      </c>
      <c r="C44" s="43"/>
      <c r="D44" s="202"/>
      <c r="E44" s="202"/>
    </row>
    <row r="45" spans="2:5" ht="15.75">
      <c r="B45" s="196" t="s">
        <v>780</v>
      </c>
      <c r="C45" s="243">
        <f>IF(C46*0.1&lt;C44,"Exceed 10% Rule","")</f>
      </c>
      <c r="D45" s="207">
        <f>IF(D46*0.1&lt;D44,"Exceed 10% Rule","")</f>
      </c>
      <c r="E45" s="207">
        <f>IF(E46*0.1&lt;E44,"Exceed 10% Rule","")</f>
      </c>
    </row>
    <row r="46" spans="2:5" ht="15.75">
      <c r="B46" s="208" t="s">
        <v>110</v>
      </c>
      <c r="C46" s="211">
        <f>SUM(C39:C44)</f>
        <v>0</v>
      </c>
      <c r="D46" s="211">
        <f>SUM(D39:D44)</f>
        <v>0</v>
      </c>
      <c r="E46" s="211">
        <f>SUM(E39:E44)</f>
        <v>0</v>
      </c>
    </row>
    <row r="47" spans="2:5" ht="15.75">
      <c r="B47" s="208" t="s">
        <v>111</v>
      </c>
      <c r="C47" s="211">
        <f>C37+C46</f>
        <v>0</v>
      </c>
      <c r="D47" s="211">
        <f>D37+D46</f>
        <v>0</v>
      </c>
      <c r="E47" s="211">
        <f>E37+E46</f>
        <v>0</v>
      </c>
    </row>
    <row r="48" spans="2:5" ht="15.75">
      <c r="B48" s="108" t="s">
        <v>113</v>
      </c>
      <c r="C48" s="170"/>
      <c r="D48" s="170"/>
      <c r="E48" s="170"/>
    </row>
    <row r="49" spans="2:5" ht="15.75">
      <c r="B49" s="217"/>
      <c r="C49" s="43"/>
      <c r="D49" s="43"/>
      <c r="E49" s="43"/>
    </row>
    <row r="50" spans="2:5" ht="15.75">
      <c r="B50" s="217"/>
      <c r="C50" s="43"/>
      <c r="D50" s="43"/>
      <c r="E50" s="43"/>
    </row>
    <row r="51" spans="2:5" ht="15.75">
      <c r="B51" s="217"/>
      <c r="C51" s="43"/>
      <c r="D51" s="43"/>
      <c r="E51" s="43"/>
    </row>
    <row r="52" spans="2:5" ht="15.75">
      <c r="B52" s="217"/>
      <c r="C52" s="43"/>
      <c r="D52" s="43"/>
      <c r="E52" s="43"/>
    </row>
    <row r="53" spans="2:5" ht="15.75">
      <c r="B53" s="217"/>
      <c r="C53" s="43"/>
      <c r="D53" s="43"/>
      <c r="E53" s="43"/>
    </row>
    <row r="54" spans="2:5" ht="15.75">
      <c r="B54" s="217"/>
      <c r="C54" s="43"/>
      <c r="D54" s="43"/>
      <c r="E54" s="43"/>
    </row>
    <row r="55" spans="2:5" ht="15.75">
      <c r="B55" s="218" t="str">
        <f>CONCATENATE("Cash Forward (",E1," column)")</f>
        <v>Cash Forward (0 column)</v>
      </c>
      <c r="C55" s="43"/>
      <c r="D55" s="43"/>
      <c r="E55" s="43"/>
    </row>
    <row r="56" spans="2:5" ht="15.75">
      <c r="B56" s="218" t="s">
        <v>13</v>
      </c>
      <c r="C56" s="43"/>
      <c r="D56" s="202"/>
      <c r="E56" s="202"/>
    </row>
    <row r="57" spans="2:5" ht="15.75">
      <c r="B57" s="218" t="s">
        <v>781</v>
      </c>
      <c r="C57" s="243">
        <f>IF(C58*0.1&lt;C56,"Exceed 10% Rule","")</f>
      </c>
      <c r="D57" s="207">
        <f>IF(D58*0.1&lt;D56,"Exceed 10% Rule","")</f>
      </c>
      <c r="E57" s="207">
        <f>IF(E58*0.1&lt;E56,"Exceed 10% Rule","")</f>
      </c>
    </row>
    <row r="58" spans="2:5" ht="15.75">
      <c r="B58" s="208" t="s">
        <v>117</v>
      </c>
      <c r="C58" s="211">
        <f>SUM(C49:C56)</f>
        <v>0</v>
      </c>
      <c r="D58" s="211">
        <f>SUM(D49:D56)</f>
        <v>0</v>
      </c>
      <c r="E58" s="211">
        <f>SUM(E49:E56)</f>
        <v>0</v>
      </c>
    </row>
    <row r="59" spans="2:5" ht="15.75">
      <c r="B59" s="108" t="s">
        <v>212</v>
      </c>
      <c r="C59" s="56">
        <f>C47-C58</f>
        <v>0</v>
      </c>
      <c r="D59" s="56">
        <f>D47-D58</f>
        <v>0</v>
      </c>
      <c r="E59" s="56">
        <f>E47-E58</f>
        <v>0</v>
      </c>
    </row>
    <row r="60" spans="2:5" ht="15.75">
      <c r="B60" s="128" t="str">
        <f>CONCATENATE("",E1-2,"/",E1-1,"/",E1," Budget Authority Amount:")</f>
        <v>-2/-1/0 Budget Authority Amount:</v>
      </c>
      <c r="C60" s="787">
        <f>inputOth!B95</f>
        <v>0</v>
      </c>
      <c r="D60" s="787">
        <f>inputPrYr!D56</f>
        <v>0</v>
      </c>
      <c r="E60" s="834">
        <f>E58</f>
        <v>0</v>
      </c>
    </row>
    <row r="61" spans="2:5" ht="15.75">
      <c r="B61" s="94"/>
      <c r="C61" s="220">
        <f>IF(C58&gt;C60,"See Tab A","")</f>
      </c>
      <c r="D61" s="220">
        <f>IF(D58&gt;D60,"See Tab C","")</f>
      </c>
      <c r="E61" s="835">
        <f>IF(E59&lt;0,"See Tab E","")</f>
      </c>
    </row>
    <row r="62" spans="2:5" ht="15.75">
      <c r="B62" s="982" t="s">
        <v>1034</v>
      </c>
      <c r="C62" s="966">
        <f>IF(C59&lt;0,"See Tab B","")</f>
      </c>
      <c r="D62" s="966">
        <f>IF(D59&lt;0,"See Tab D","")</f>
      </c>
      <c r="E62" s="951"/>
    </row>
    <row r="63" spans="2:5" ht="15.75">
      <c r="B63" s="761"/>
      <c r="C63" s="52"/>
      <c r="D63" s="52"/>
      <c r="E63" s="768"/>
    </row>
    <row r="64" spans="2:5" ht="15.75">
      <c r="B64" s="695"/>
      <c r="C64" s="47"/>
      <c r="D64" s="47"/>
      <c r="E64" s="55"/>
    </row>
    <row r="65" spans="2:5" ht="15.75">
      <c r="B65" s="32"/>
      <c r="C65" s="32"/>
      <c r="D65" s="32"/>
      <c r="E65" s="32"/>
    </row>
    <row r="66" spans="2:5" ht="15.75">
      <c r="B66" s="126" t="s">
        <v>120</v>
      </c>
      <c r="C66" s="225"/>
      <c r="D66" s="32"/>
      <c r="E66" s="32"/>
    </row>
  </sheetData>
  <sheetProtection/>
  <conditionalFormatting sqref="C14">
    <cfRule type="cellIs" priority="18" dxfId="328" operator="greaterThan" stopIfTrue="1">
      <formula>$C$16*0.1</formula>
    </cfRule>
  </conditionalFormatting>
  <conditionalFormatting sqref="D14">
    <cfRule type="cellIs" priority="17" dxfId="328" operator="greaterThan" stopIfTrue="1">
      <formula>$D$16*0.1</formula>
    </cfRule>
  </conditionalFormatting>
  <conditionalFormatting sqref="E14">
    <cfRule type="cellIs" priority="16" dxfId="328" operator="greaterThan" stopIfTrue="1">
      <formula>$E$16*0.1</formula>
    </cfRule>
  </conditionalFormatting>
  <conditionalFormatting sqref="C26">
    <cfRule type="cellIs" priority="15" dxfId="328" operator="greaterThan" stopIfTrue="1">
      <formula>$C$28*0.1</formula>
    </cfRule>
  </conditionalFormatting>
  <conditionalFormatting sqref="D26">
    <cfRule type="cellIs" priority="14" dxfId="328" operator="greaterThan" stopIfTrue="1">
      <formula>$D$28*0.1</formula>
    </cfRule>
  </conditionalFormatting>
  <conditionalFormatting sqref="E26">
    <cfRule type="cellIs" priority="13" dxfId="328" operator="greaterThan" stopIfTrue="1">
      <formula>$E$28*0.1</formula>
    </cfRule>
  </conditionalFormatting>
  <conditionalFormatting sqref="C44">
    <cfRule type="cellIs" priority="12" dxfId="328" operator="greaterThan" stopIfTrue="1">
      <formula>$C$46*0.1</formula>
    </cfRule>
  </conditionalFormatting>
  <conditionalFormatting sqref="D44">
    <cfRule type="cellIs" priority="11" dxfId="328" operator="greaterThan" stopIfTrue="1">
      <formula>$D$46*0.1</formula>
    </cfRule>
  </conditionalFormatting>
  <conditionalFormatting sqref="E44">
    <cfRule type="cellIs" priority="10" dxfId="328" operator="greaterThan" stopIfTrue="1">
      <formula>$E$46*0.1</formula>
    </cfRule>
  </conditionalFormatting>
  <conditionalFormatting sqref="C56">
    <cfRule type="cellIs" priority="9" dxfId="328" operator="greaterThan" stopIfTrue="1">
      <formula>$C$58*0.1</formula>
    </cfRule>
  </conditionalFormatting>
  <conditionalFormatting sqref="D56">
    <cfRule type="cellIs" priority="8" dxfId="328" operator="greaterThan" stopIfTrue="1">
      <formula>$D$58*0.1</formula>
    </cfRule>
  </conditionalFormatting>
  <conditionalFormatting sqref="E56">
    <cfRule type="cellIs" priority="7" dxfId="328" operator="greaterThan" stopIfTrue="1">
      <formula>$E$58*0.1</formula>
    </cfRule>
  </conditionalFormatting>
  <conditionalFormatting sqref="C58:D58">
    <cfRule type="cellIs" priority="6" dxfId="3" operator="greaterThan" stopIfTrue="1">
      <formula>$D$60</formula>
    </cfRule>
  </conditionalFormatting>
  <conditionalFormatting sqref="C59 E59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59">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C70" sqref="C70"/>
    </sheetView>
  </sheetViews>
  <sheetFormatPr defaultColWidth="8.796875" defaultRowHeight="15"/>
  <cols>
    <col min="1" max="1" width="2.3984375" style="70" customWidth="1"/>
    <col min="2" max="2" width="31.09765625" style="70" customWidth="1"/>
    <col min="3" max="4" width="15.796875" style="70" customWidth="1"/>
    <col min="5" max="5" width="16.296875" style="70" customWidth="1"/>
    <col min="6" max="16384" width="8.8984375" style="70" customWidth="1"/>
  </cols>
  <sheetData>
    <row r="1" spans="2:5" ht="15.75">
      <c r="B1" s="140">
        <f>(inputPrYr!D3)</f>
        <v>0</v>
      </c>
      <c r="C1" s="32"/>
      <c r="D1" s="32"/>
      <c r="E1" s="161">
        <f>inputPrYr!$C$6</f>
        <v>0</v>
      </c>
    </row>
    <row r="2" spans="2:5" ht="15.75">
      <c r="B2" s="32"/>
      <c r="C2" s="32"/>
      <c r="D2" s="32"/>
      <c r="E2" s="126"/>
    </row>
    <row r="3" spans="2:5" ht="15.75">
      <c r="B3" s="191" t="s">
        <v>170</v>
      </c>
      <c r="C3" s="240"/>
      <c r="D3" s="240"/>
      <c r="E3" s="241"/>
    </row>
    <row r="4" spans="2:5" ht="15.75">
      <c r="B4" s="33" t="s">
        <v>101</v>
      </c>
      <c r="C4" s="365" t="s">
        <v>801</v>
      </c>
      <c r="D4" s="364" t="s">
        <v>802</v>
      </c>
      <c r="E4" s="343" t="s">
        <v>803</v>
      </c>
    </row>
    <row r="5" spans="2:5" ht="15.75">
      <c r="B5" s="488">
        <f>(inputPrYr!B58)</f>
        <v>0</v>
      </c>
      <c r="C5" s="366" t="str">
        <f>CONCATENATE("Actual for ",E1-2,"")</f>
        <v>Actual for -2</v>
      </c>
      <c r="D5" s="366" t="str">
        <f>CONCATENATE("Estimate for ",E1-1,"")</f>
        <v>Estimate for -1</v>
      </c>
      <c r="E5" s="351" t="str">
        <f>CONCATENATE("Year for ",E1,"")</f>
        <v>Year for 0</v>
      </c>
    </row>
    <row r="6" spans="2:5" ht="15.75">
      <c r="B6" s="108" t="s">
        <v>211</v>
      </c>
      <c r="C6" s="201"/>
      <c r="D6" s="199">
        <f>C45</f>
        <v>0</v>
      </c>
      <c r="E6" s="170">
        <f>D45</f>
        <v>0</v>
      </c>
    </row>
    <row r="7" spans="2:5" ht="15.75">
      <c r="B7" s="228" t="s">
        <v>213</v>
      </c>
      <c r="C7" s="117"/>
      <c r="D7" s="117"/>
      <c r="E7" s="58"/>
    </row>
    <row r="8" spans="2:5" ht="15.75">
      <c r="B8" s="217"/>
      <c r="C8" s="201"/>
      <c r="D8" s="201"/>
      <c r="E8" s="204"/>
    </row>
    <row r="9" spans="2:5" ht="15.75">
      <c r="B9" s="217"/>
      <c r="C9" s="201"/>
      <c r="D9" s="201"/>
      <c r="E9" s="204"/>
    </row>
    <row r="10" spans="2:5" ht="15.75">
      <c r="B10" s="217"/>
      <c r="C10" s="201"/>
      <c r="D10" s="201"/>
      <c r="E10" s="204"/>
    </row>
    <row r="11" spans="2:5" ht="15.75">
      <c r="B11" s="217"/>
      <c r="C11" s="201"/>
      <c r="D11" s="201"/>
      <c r="E11" s="204"/>
    </row>
    <row r="12" spans="2:5" ht="15.75">
      <c r="B12" s="217"/>
      <c r="C12" s="201"/>
      <c r="D12" s="201"/>
      <c r="E12" s="204"/>
    </row>
    <row r="13" spans="2:5" ht="15.75">
      <c r="B13" s="235"/>
      <c r="C13" s="201"/>
      <c r="D13" s="201"/>
      <c r="E13" s="72"/>
    </row>
    <row r="14" spans="2:5" ht="15.75">
      <c r="B14" s="217"/>
      <c r="C14" s="201"/>
      <c r="D14" s="201"/>
      <c r="E14" s="204"/>
    </row>
    <row r="15" spans="2:5" ht="15.75">
      <c r="B15" s="242" t="s">
        <v>109</v>
      </c>
      <c r="C15" s="201"/>
      <c r="D15" s="201"/>
      <c r="E15" s="204"/>
    </row>
    <row r="16" spans="2:5" ht="15.75">
      <c r="B16" s="117" t="s">
        <v>13</v>
      </c>
      <c r="C16" s="201"/>
      <c r="D16" s="201"/>
      <c r="E16" s="204"/>
    </row>
    <row r="17" spans="2:5" ht="15.75">
      <c r="B17" s="196" t="s">
        <v>780</v>
      </c>
      <c r="C17" s="206">
        <f>IF(C18*0.1&lt;C16,"Exceed 10% Rule","")</f>
      </c>
      <c r="D17" s="206">
        <f>IF(D18*0.1&lt;D16,"Exceed 10% Rule","")</f>
      </c>
      <c r="E17" s="243">
        <f>IF(E18*0.1&lt;E16,"Exceed 10% Rule","")</f>
      </c>
    </row>
    <row r="18" spans="2:5" ht="15.75">
      <c r="B18" s="208" t="s">
        <v>110</v>
      </c>
      <c r="C18" s="210">
        <f>SUM(C8:C16)</f>
        <v>0</v>
      </c>
      <c r="D18" s="210">
        <f>SUM(D8:D16)</f>
        <v>0</v>
      </c>
      <c r="E18" s="211">
        <f>SUM(E8:E16)</f>
        <v>0</v>
      </c>
    </row>
    <row r="19" spans="2:5" ht="15.75">
      <c r="B19" s="208" t="s">
        <v>111</v>
      </c>
      <c r="C19" s="210">
        <f>C6+C18</f>
        <v>0</v>
      </c>
      <c r="D19" s="210">
        <f>D6+D18</f>
        <v>0</v>
      </c>
      <c r="E19" s="211">
        <f>E6+E18</f>
        <v>0</v>
      </c>
    </row>
    <row r="20" spans="2:5" ht="15.75">
      <c r="B20" s="108" t="s">
        <v>113</v>
      </c>
      <c r="C20" s="117"/>
      <c r="D20" s="117"/>
      <c r="E20" s="58"/>
    </row>
    <row r="21" spans="2:5" ht="15.75">
      <c r="B21" s="217" t="s">
        <v>250</v>
      </c>
      <c r="C21" s="201"/>
      <c r="D21" s="201"/>
      <c r="E21" s="204"/>
    </row>
    <row r="22" spans="2:5" ht="15.75">
      <c r="B22" s="217" t="s">
        <v>20</v>
      </c>
      <c r="C22" s="201"/>
      <c r="D22" s="201"/>
      <c r="E22" s="204"/>
    </row>
    <row r="23" spans="2:5" ht="15.75">
      <c r="B23" s="217"/>
      <c r="C23" s="201"/>
      <c r="D23" s="201"/>
      <c r="E23" s="72"/>
    </row>
    <row r="24" spans="2:5" ht="15.75">
      <c r="B24" s="217"/>
      <c r="C24" s="201"/>
      <c r="D24" s="201"/>
      <c r="E24" s="72"/>
    </row>
    <row r="25" spans="2:5" ht="15.75">
      <c r="B25" s="217"/>
      <c r="C25" s="201"/>
      <c r="D25" s="201"/>
      <c r="E25" s="72"/>
    </row>
    <row r="26" spans="2:5" ht="15.75">
      <c r="B26" s="217"/>
      <c r="C26" s="201"/>
      <c r="D26" s="201"/>
      <c r="E26" s="72"/>
    </row>
    <row r="27" spans="2:5" ht="15.75">
      <c r="B27" s="217"/>
      <c r="C27" s="201"/>
      <c r="D27" s="201"/>
      <c r="E27" s="72"/>
    </row>
    <row r="28" spans="2:5" ht="15.75">
      <c r="B28" s="217"/>
      <c r="C28" s="201"/>
      <c r="D28" s="201"/>
      <c r="E28" s="72"/>
    </row>
    <row r="29" spans="2:5" ht="15.75">
      <c r="B29" s="217"/>
      <c r="C29" s="201"/>
      <c r="D29" s="201"/>
      <c r="E29" s="72"/>
    </row>
    <row r="30" spans="2:5" ht="15.75">
      <c r="B30" s="217"/>
      <c r="C30" s="201"/>
      <c r="D30" s="201"/>
      <c r="E30" s="72"/>
    </row>
    <row r="31" spans="2:5" ht="15.75">
      <c r="B31" s="217"/>
      <c r="C31" s="201"/>
      <c r="D31" s="201"/>
      <c r="E31" s="72"/>
    </row>
    <row r="32" spans="2:5" ht="15.75">
      <c r="B32" s="217"/>
      <c r="C32" s="201"/>
      <c r="D32" s="201"/>
      <c r="E32" s="204"/>
    </row>
    <row r="33" spans="2:5" ht="15.75">
      <c r="B33" s="217"/>
      <c r="C33" s="201"/>
      <c r="D33" s="201"/>
      <c r="E33" s="204"/>
    </row>
    <row r="34" spans="2:5" ht="15.75">
      <c r="B34" s="217"/>
      <c r="C34" s="201"/>
      <c r="D34" s="201"/>
      <c r="E34" s="204"/>
    </row>
    <row r="35" spans="2:5" ht="15.75">
      <c r="B35" s="217"/>
      <c r="C35" s="201"/>
      <c r="D35" s="201"/>
      <c r="E35" s="204"/>
    </row>
    <row r="36" spans="2:5" ht="15.75">
      <c r="B36" s="217"/>
      <c r="C36" s="201"/>
      <c r="D36" s="201"/>
      <c r="E36" s="204"/>
    </row>
    <row r="37" spans="2:5" ht="15.75">
      <c r="B37" s="217"/>
      <c r="C37" s="201"/>
      <c r="D37" s="201"/>
      <c r="E37" s="204"/>
    </row>
    <row r="38" spans="2:5" ht="15.75">
      <c r="B38" s="217"/>
      <c r="C38" s="201"/>
      <c r="D38" s="201"/>
      <c r="E38" s="204"/>
    </row>
    <row r="39" spans="2:5" ht="15.75">
      <c r="B39" s="217"/>
      <c r="C39" s="201"/>
      <c r="D39" s="201"/>
      <c r="E39" s="204"/>
    </row>
    <row r="40" spans="2:5" ht="15.75">
      <c r="B40" s="217"/>
      <c r="C40" s="201"/>
      <c r="D40" s="201"/>
      <c r="E40" s="204"/>
    </row>
    <row r="41" spans="2:5" ht="15.75">
      <c r="B41" s="218" t="str">
        <f>CONCATENATE("Cash Forward (",E1," column)")</f>
        <v>Cash Forward (0 column)</v>
      </c>
      <c r="C41" s="201"/>
      <c r="D41" s="201"/>
      <c r="E41" s="204"/>
    </row>
    <row r="42" spans="2:5" ht="15.75">
      <c r="B42" s="218" t="s">
        <v>13</v>
      </c>
      <c r="C42" s="201"/>
      <c r="D42" s="201"/>
      <c r="E42" s="204"/>
    </row>
    <row r="43" spans="2:5" ht="15.75">
      <c r="B43" s="218" t="s">
        <v>781</v>
      </c>
      <c r="C43" s="206">
        <f>IF(C44*0.1&lt;C42,"Exceed 10% Rule","")</f>
      </c>
      <c r="D43" s="206">
        <f>IF(D44*0.1&lt;D42,"Exceed 10% Rule","")</f>
      </c>
      <c r="E43" s="243">
        <f>IF(E44*0.1&lt;E42,"Exceed 10% Rule","")</f>
      </c>
    </row>
    <row r="44" spans="2:5" ht="15.75">
      <c r="B44" s="208" t="s">
        <v>117</v>
      </c>
      <c r="C44" s="210">
        <f>SUM(C21:C42)</f>
        <v>0</v>
      </c>
      <c r="D44" s="210">
        <f>SUM(D21:D42)</f>
        <v>0</v>
      </c>
      <c r="E44" s="211">
        <f>SUM(E21:E42)</f>
        <v>0</v>
      </c>
    </row>
    <row r="45" spans="2:5" ht="15.75">
      <c r="B45" s="108" t="s">
        <v>212</v>
      </c>
      <c r="C45" s="214">
        <f>C19-C44</f>
        <v>0</v>
      </c>
      <c r="D45" s="214">
        <f>D19-D44</f>
        <v>0</v>
      </c>
      <c r="E45" s="56">
        <f>E19-E44</f>
        <v>0</v>
      </c>
    </row>
    <row r="46" spans="2:5" ht="15.75">
      <c r="B46" s="128" t="str">
        <f>CONCATENATE("",E1-2,"/",E1-1,"/",E1," Budget Authority Amount:")</f>
        <v>-2/-1/0 Budget Authority Amount:</v>
      </c>
      <c r="C46" s="787">
        <f>inputOth!B96</f>
        <v>0</v>
      </c>
      <c r="D46" s="787">
        <f>inputPrYr!D58</f>
        <v>0</v>
      </c>
      <c r="E46" s="834">
        <f>E44</f>
        <v>0</v>
      </c>
    </row>
    <row r="47" spans="2:5" ht="15.75">
      <c r="B47" s="94"/>
      <c r="C47" s="220">
        <f>IF(C44&gt;C46,"See Tab A","")</f>
      </c>
      <c r="D47" s="220">
        <f>IF(D44&gt;D46,"See Tab C","")</f>
      </c>
      <c r="E47" s="835">
        <f>IF(E45&lt;0,"See Tab E","")</f>
      </c>
    </row>
    <row r="48" spans="2:5" ht="15.75">
      <c r="B48" s="982" t="s">
        <v>1034</v>
      </c>
      <c r="C48" s="966">
        <f>IF(C45&lt;0,"See Tab B","")</f>
      </c>
      <c r="D48" s="966">
        <f>IF(D45&lt;0,"See Tab D","")</f>
      </c>
      <c r="E48" s="967"/>
    </row>
    <row r="49" spans="2:5" ht="15">
      <c r="B49" s="968"/>
      <c r="C49" s="969"/>
      <c r="D49" s="969"/>
      <c r="E49" s="970"/>
    </row>
    <row r="50" spans="2:5" ht="15">
      <c r="B50" s="971"/>
      <c r="C50" s="83"/>
      <c r="D50" s="83"/>
      <c r="E50" s="84"/>
    </row>
    <row r="51" spans="2:5" ht="15">
      <c r="B51" s="44"/>
      <c r="C51" s="44"/>
      <c r="D51" s="44"/>
      <c r="E51" s="44"/>
    </row>
    <row r="52" spans="2:5" ht="15.75">
      <c r="B52" s="126" t="s">
        <v>120</v>
      </c>
      <c r="C52" s="225"/>
      <c r="D52" s="44"/>
      <c r="E52" s="44"/>
    </row>
  </sheetData>
  <sheetProtection/>
  <conditionalFormatting sqref="E16">
    <cfRule type="cellIs" priority="4" dxfId="328" operator="greaterThan" stopIfTrue="1">
      <formula>$E$18*0.1</formula>
    </cfRule>
  </conditionalFormatting>
  <conditionalFormatting sqref="E42">
    <cfRule type="cellIs" priority="5" dxfId="328" operator="greaterThan" stopIfTrue="1">
      <formula>$E$44*0.1</formula>
    </cfRule>
  </conditionalFormatting>
  <conditionalFormatting sqref="C42">
    <cfRule type="cellIs" priority="6" dxfId="3" operator="greaterThan" stopIfTrue="1">
      <formula>$C$44*0.1</formula>
    </cfRule>
  </conditionalFormatting>
  <conditionalFormatting sqref="D42">
    <cfRule type="cellIs" priority="7" dxfId="3" operator="greaterThan" stopIfTrue="1">
      <formula>$D$44*0.1</formula>
    </cfRule>
  </conditionalFormatting>
  <conditionalFormatting sqref="D44">
    <cfRule type="cellIs" priority="8" dxfId="3" operator="greaterThan" stopIfTrue="1">
      <formula>$D$46</formula>
    </cfRule>
  </conditionalFormatting>
  <conditionalFormatting sqref="C44">
    <cfRule type="cellIs" priority="9" dxfId="3" operator="greaterThan" stopIfTrue="1">
      <formula>$C$46</formula>
    </cfRule>
  </conditionalFormatting>
  <conditionalFormatting sqref="C45 E45">
    <cfRule type="cellIs" priority="10" dxfId="3" operator="lessThan" stopIfTrue="1">
      <formula>0</formula>
    </cfRule>
  </conditionalFormatting>
  <conditionalFormatting sqref="D45">
    <cfRule type="cellIs" priority="3" dxfId="0" operator="lessThan" stopIfTrue="1">
      <formula>0</formula>
    </cfRule>
  </conditionalFormatting>
  <conditionalFormatting sqref="D16">
    <cfRule type="cellIs" priority="2" dxfId="0" operator="greaterThan" stopIfTrue="1">
      <formula>$D$18*0.1</formula>
    </cfRule>
  </conditionalFormatting>
  <conditionalFormatting sqref="C16">
    <cfRule type="cellIs" priority="1" dxfId="0" operator="greaterThan" stopIfTrue="1">
      <formula>$C$18*0.1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48"/>
  <sheetViews>
    <sheetView zoomScalePageLayoutView="0" workbookViewId="0" topLeftCell="A1">
      <selection activeCell="E54" sqref="E54"/>
    </sheetView>
  </sheetViews>
  <sheetFormatPr defaultColWidth="8.796875" defaultRowHeight="15"/>
  <cols>
    <col min="1" max="1" width="2.3984375" style="70" customWidth="1"/>
    <col min="2" max="2" width="31.09765625" style="70" customWidth="1"/>
    <col min="3" max="4" width="15.796875" style="70" customWidth="1"/>
    <col min="5" max="5" width="16.19921875" style="70" customWidth="1"/>
    <col min="6" max="16384" width="8.8984375" style="70" customWidth="1"/>
  </cols>
  <sheetData>
    <row r="1" spans="2:5" ht="15.75">
      <c r="B1" s="140">
        <f>(inputPrYr!D3)</f>
        <v>0</v>
      </c>
      <c r="C1" s="32"/>
      <c r="D1" s="32"/>
      <c r="E1" s="161">
        <f>inputPrYr!$C$6</f>
        <v>0</v>
      </c>
    </row>
    <row r="2" spans="2:5" ht="15.75">
      <c r="B2" s="32"/>
      <c r="C2" s="32"/>
      <c r="D2" s="32"/>
      <c r="E2" s="126"/>
    </row>
    <row r="3" spans="2:5" ht="15.75">
      <c r="B3" s="191" t="s">
        <v>170</v>
      </c>
      <c r="C3" s="240"/>
      <c r="D3" s="240"/>
      <c r="E3" s="241"/>
    </row>
    <row r="4" spans="2:5" ht="15.75">
      <c r="B4" s="33" t="s">
        <v>101</v>
      </c>
      <c r="C4" s="365" t="s">
        <v>801</v>
      </c>
      <c r="D4" s="364" t="s">
        <v>802</v>
      </c>
      <c r="E4" s="343" t="s">
        <v>803</v>
      </c>
    </row>
    <row r="5" spans="2:5" ht="15.75">
      <c r="B5" s="488">
        <f>(inputPrYr!B59)</f>
        <v>0</v>
      </c>
      <c r="C5" s="366" t="str">
        <f>CONCATENATE("Actual for ",E1-2,"")</f>
        <v>Actual for -2</v>
      </c>
      <c r="D5" s="366" t="str">
        <f>CONCATENATE("Estimate for ",E1-1,"")</f>
        <v>Estimate for -1</v>
      </c>
      <c r="E5" s="351" t="str">
        <f>CONCATENATE("Year for ",E1,"")</f>
        <v>Year for 0</v>
      </c>
    </row>
    <row r="6" spans="2:5" ht="15.75">
      <c r="B6" s="108" t="s">
        <v>211</v>
      </c>
      <c r="C6" s="43"/>
      <c r="D6" s="170">
        <f>C41</f>
        <v>0</v>
      </c>
      <c r="E6" s="170">
        <f>D41</f>
        <v>0</v>
      </c>
    </row>
    <row r="7" spans="2:5" ht="15.75">
      <c r="B7" s="228" t="s">
        <v>213</v>
      </c>
      <c r="C7" s="58"/>
      <c r="D7" s="58"/>
      <c r="E7" s="58"/>
    </row>
    <row r="8" spans="2:5" ht="15.75">
      <c r="B8" s="217"/>
      <c r="C8" s="204"/>
      <c r="D8" s="204"/>
      <c r="E8" s="204"/>
    </row>
    <row r="9" spans="2:5" ht="15.75">
      <c r="B9" s="217"/>
      <c r="C9" s="204"/>
      <c r="D9" s="204"/>
      <c r="E9" s="204"/>
    </row>
    <row r="10" spans="2:5" ht="15.75">
      <c r="B10" s="217"/>
      <c r="C10" s="204"/>
      <c r="D10" s="204"/>
      <c r="E10" s="204"/>
    </row>
    <row r="11" spans="2:5" ht="15.75">
      <c r="B11" s="217"/>
      <c r="C11" s="204"/>
      <c r="D11" s="204"/>
      <c r="E11" s="204"/>
    </row>
    <row r="12" spans="2:5" ht="15.75">
      <c r="B12" s="235"/>
      <c r="C12" s="72"/>
      <c r="D12" s="72"/>
      <c r="E12" s="72"/>
    </row>
    <row r="13" spans="2:5" ht="15.75">
      <c r="B13" s="217"/>
      <c r="C13" s="204"/>
      <c r="D13" s="204"/>
      <c r="E13" s="204"/>
    </row>
    <row r="14" spans="2:5" ht="15.75">
      <c r="B14" s="242" t="s">
        <v>109</v>
      </c>
      <c r="C14" s="204"/>
      <c r="D14" s="204"/>
      <c r="E14" s="204"/>
    </row>
    <row r="15" spans="2:5" ht="15.75">
      <c r="B15" s="117" t="s">
        <v>13</v>
      </c>
      <c r="C15" s="204"/>
      <c r="D15" s="198"/>
      <c r="E15" s="198"/>
    </row>
    <row r="16" spans="2:5" ht="15.75">
      <c r="B16" s="196" t="s">
        <v>780</v>
      </c>
      <c r="C16" s="243">
        <f>IF(C17*0.1&lt;C15,"Exceed 10% Rule","")</f>
      </c>
      <c r="D16" s="207">
        <f>IF(D17*0.1&lt;D15,"Exceed 10% Rule","")</f>
      </c>
      <c r="E16" s="207">
        <f>IF(E17*0.1&lt;E15,"Exceed 10% Rule","")</f>
      </c>
    </row>
    <row r="17" spans="2:5" ht="15.75">
      <c r="B17" s="208" t="s">
        <v>110</v>
      </c>
      <c r="C17" s="211">
        <f>SUM(C8:C15)</f>
        <v>0</v>
      </c>
      <c r="D17" s="211">
        <f>SUM(D8:D15)</f>
        <v>0</v>
      </c>
      <c r="E17" s="211">
        <f>SUM(E8:E15)</f>
        <v>0</v>
      </c>
    </row>
    <row r="18" spans="2:5" ht="15.75">
      <c r="B18" s="208" t="s">
        <v>111</v>
      </c>
      <c r="C18" s="211">
        <f>C6+C17</f>
        <v>0</v>
      </c>
      <c r="D18" s="211">
        <f>D6+D17</f>
        <v>0</v>
      </c>
      <c r="E18" s="211">
        <f>E6+E17</f>
        <v>0</v>
      </c>
    </row>
    <row r="19" spans="2:5" ht="15.75">
      <c r="B19" s="108" t="s">
        <v>113</v>
      </c>
      <c r="C19" s="58"/>
      <c r="D19" s="58"/>
      <c r="E19" s="58"/>
    </row>
    <row r="20" spans="2:5" ht="15.75">
      <c r="B20" s="217" t="s">
        <v>250</v>
      </c>
      <c r="C20" s="204"/>
      <c r="D20" s="204"/>
      <c r="E20" s="204"/>
    </row>
    <row r="21" spans="2:5" ht="15.75">
      <c r="B21" s="217" t="s">
        <v>21</v>
      </c>
      <c r="C21" s="204"/>
      <c r="D21" s="204"/>
      <c r="E21" s="204"/>
    </row>
    <row r="22" spans="2:5" ht="15.75">
      <c r="B22" s="217"/>
      <c r="C22" s="72"/>
      <c r="D22" s="72"/>
      <c r="E22" s="72"/>
    </row>
    <row r="23" spans="2:5" ht="15.75">
      <c r="B23" s="217"/>
      <c r="C23" s="72"/>
      <c r="D23" s="72"/>
      <c r="E23" s="72"/>
    </row>
    <row r="24" spans="2:5" ht="15.75">
      <c r="B24" s="217"/>
      <c r="C24" s="72"/>
      <c r="D24" s="72"/>
      <c r="E24" s="72"/>
    </row>
    <row r="25" spans="2:5" ht="15.75">
      <c r="B25" s="217"/>
      <c r="C25" s="72"/>
      <c r="D25" s="72"/>
      <c r="E25" s="72"/>
    </row>
    <row r="26" spans="2:5" ht="15.75">
      <c r="B26" s="217"/>
      <c r="C26" s="72"/>
      <c r="D26" s="72"/>
      <c r="E26" s="72"/>
    </row>
    <row r="27" spans="2:5" ht="15.75">
      <c r="B27" s="217"/>
      <c r="C27" s="72"/>
      <c r="D27" s="72"/>
      <c r="E27" s="72"/>
    </row>
    <row r="28" spans="2:5" ht="15.75">
      <c r="B28" s="217"/>
      <c r="C28" s="72"/>
      <c r="D28" s="72"/>
      <c r="E28" s="72"/>
    </row>
    <row r="29" spans="2:5" ht="15.75">
      <c r="B29" s="217"/>
      <c r="C29" s="204"/>
      <c r="D29" s="204"/>
      <c r="E29" s="204"/>
    </row>
    <row r="30" spans="2:5" ht="15.75">
      <c r="B30" s="217"/>
      <c r="C30" s="204"/>
      <c r="D30" s="204"/>
      <c r="E30" s="204"/>
    </row>
    <row r="31" spans="2:5" ht="15.75">
      <c r="B31" s="217"/>
      <c r="C31" s="204"/>
      <c r="D31" s="204"/>
      <c r="E31" s="204"/>
    </row>
    <row r="32" spans="2:5" ht="15.75">
      <c r="B32" s="217"/>
      <c r="C32" s="204"/>
      <c r="D32" s="204"/>
      <c r="E32" s="204"/>
    </row>
    <row r="33" spans="2:5" ht="15.75">
      <c r="B33" s="217"/>
      <c r="C33" s="204"/>
      <c r="D33" s="204"/>
      <c r="E33" s="204"/>
    </row>
    <row r="34" spans="2:5" ht="15.75">
      <c r="B34" s="217"/>
      <c r="C34" s="204"/>
      <c r="D34" s="204"/>
      <c r="E34" s="204"/>
    </row>
    <row r="35" spans="2:5" ht="15.75">
      <c r="B35" s="217"/>
      <c r="C35" s="204"/>
      <c r="D35" s="204"/>
      <c r="E35" s="204"/>
    </row>
    <row r="36" spans="2:5" ht="15.75">
      <c r="B36" s="217"/>
      <c r="C36" s="204"/>
      <c r="D36" s="204"/>
      <c r="E36" s="204"/>
    </row>
    <row r="37" spans="2:5" ht="15.75">
      <c r="B37" s="218" t="str">
        <f>CONCATENATE("Cash Forward (",E1," column)")</f>
        <v>Cash Forward (0 column)</v>
      </c>
      <c r="C37" s="204"/>
      <c r="D37" s="204"/>
      <c r="E37" s="204"/>
    </row>
    <row r="38" spans="2:5" ht="15.75">
      <c r="B38" s="218" t="s">
        <v>13</v>
      </c>
      <c r="C38" s="204"/>
      <c r="D38" s="198"/>
      <c r="E38" s="198"/>
    </row>
    <row r="39" spans="2:5" ht="15.75">
      <c r="B39" s="218" t="s">
        <v>781</v>
      </c>
      <c r="C39" s="243">
        <f>IF(C40*0.1&lt;C38,"Exceed 10% Rule","")</f>
      </c>
      <c r="D39" s="207">
        <f>IF(D40*0.1&lt;D38,"Exceed 10% Rule","")</f>
      </c>
      <c r="E39" s="207">
        <f>IF(E40*0.1&lt;E38,"Exceed 10% Rule","")</f>
      </c>
    </row>
    <row r="40" spans="2:5" ht="15.75">
      <c r="B40" s="208" t="s">
        <v>117</v>
      </c>
      <c r="C40" s="211">
        <f>SUM(C20:C38)</f>
        <v>0</v>
      </c>
      <c r="D40" s="211">
        <f>SUM(D20:D38)</f>
        <v>0</v>
      </c>
      <c r="E40" s="211">
        <f>SUM(E20:E38)</f>
        <v>0</v>
      </c>
    </row>
    <row r="41" spans="2:5" ht="15.75">
      <c r="B41" s="108" t="s">
        <v>212</v>
      </c>
      <c r="C41" s="56">
        <f>C18-C40</f>
        <v>0</v>
      </c>
      <c r="D41" s="56">
        <f>D18-D40</f>
        <v>0</v>
      </c>
      <c r="E41" s="56">
        <f>E18-E40</f>
        <v>0</v>
      </c>
    </row>
    <row r="42" spans="2:5" ht="15.75">
      <c r="B42" s="128" t="str">
        <f>CONCATENATE("",E1-2,"/",E1-1,"/",E1," Budget Authority Amount:")</f>
        <v>-2/-1/0 Budget Authority Amount:</v>
      </c>
      <c r="C42" s="787">
        <f>inputOth!B97</f>
        <v>0</v>
      </c>
      <c r="D42" s="787">
        <f>inputPrYr!D59</f>
        <v>0</v>
      </c>
      <c r="E42" s="834">
        <f>E40</f>
        <v>0</v>
      </c>
    </row>
    <row r="43" spans="2:5" ht="15.75">
      <c r="B43" s="94"/>
      <c r="C43" s="220">
        <f>IF(C40&gt;C42,"See Tab A","")</f>
      </c>
      <c r="D43" s="220">
        <f>IF(D40&gt;D42,"See Tab C","")</f>
      </c>
      <c r="E43" s="835">
        <f>IF(E41&lt;0,"See Tab E","")</f>
      </c>
    </row>
    <row r="44" spans="2:5" ht="15.75">
      <c r="B44" s="982" t="s">
        <v>1034</v>
      </c>
      <c r="C44" s="966">
        <f>IF(C41&lt;0,"See Tab B","")</f>
      </c>
      <c r="D44" s="966">
        <f>IF(D41&lt;0,"See Tab D","")</f>
      </c>
      <c r="E44" s="967"/>
    </row>
    <row r="45" spans="2:5" ht="15">
      <c r="B45" s="968"/>
      <c r="C45" s="969"/>
      <c r="D45" s="969"/>
      <c r="E45" s="970"/>
    </row>
    <row r="46" spans="2:5" ht="15">
      <c r="B46" s="971"/>
      <c r="C46" s="83"/>
      <c r="D46" s="83"/>
      <c r="E46" s="84"/>
    </row>
    <row r="47" spans="2:5" ht="15">
      <c r="B47" s="44"/>
      <c r="C47" s="44"/>
      <c r="D47" s="44"/>
      <c r="E47" s="44"/>
    </row>
    <row r="48" spans="2:5" ht="15.75">
      <c r="B48" s="126" t="s">
        <v>120</v>
      </c>
      <c r="C48" s="225"/>
      <c r="D48" s="44"/>
      <c r="E48" s="44"/>
    </row>
  </sheetData>
  <sheetProtection/>
  <conditionalFormatting sqref="E15">
    <cfRule type="cellIs" priority="2" dxfId="328" operator="greaterThan" stopIfTrue="1">
      <formula>$E$17*0.1</formula>
    </cfRule>
  </conditionalFormatting>
  <conditionalFormatting sqref="E38">
    <cfRule type="cellIs" priority="3" dxfId="328" operator="greaterThan" stopIfTrue="1">
      <formula>$E$40*0.1</formula>
    </cfRule>
  </conditionalFormatting>
  <conditionalFormatting sqref="D15">
    <cfRule type="cellIs" priority="4" dxfId="328" operator="greaterThan" stopIfTrue="1">
      <formula>$D$17*0.1</formula>
    </cfRule>
  </conditionalFormatting>
  <conditionalFormatting sqref="D38">
    <cfRule type="cellIs" priority="5" dxfId="328" operator="greaterThan" stopIfTrue="1">
      <formula>$D$40*0.1</formula>
    </cfRule>
  </conditionalFormatting>
  <conditionalFormatting sqref="C15">
    <cfRule type="cellIs" priority="6" dxfId="328" operator="greaterThan" stopIfTrue="1">
      <formula>$C$17*0.1</formula>
    </cfRule>
  </conditionalFormatting>
  <conditionalFormatting sqref="C38">
    <cfRule type="cellIs" priority="7" dxfId="328" operator="greaterThan" stopIfTrue="1">
      <formula>$C$40*0.1</formula>
    </cfRule>
  </conditionalFormatting>
  <conditionalFormatting sqref="D40">
    <cfRule type="cellIs" priority="8" dxfId="3" operator="greaterThan" stopIfTrue="1">
      <formula>$D$42</formula>
    </cfRule>
  </conditionalFormatting>
  <conditionalFormatting sqref="C40">
    <cfRule type="cellIs" priority="9" dxfId="3" operator="greaterThan" stopIfTrue="1">
      <formula>$C$42</formula>
    </cfRule>
  </conditionalFormatting>
  <conditionalFormatting sqref="C41 E41">
    <cfRule type="cellIs" priority="10" dxfId="3" operator="lessThan" stopIfTrue="1">
      <formula>0</formula>
    </cfRule>
  </conditionalFormatting>
  <conditionalFormatting sqref="D4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7"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F73" sqref="F73"/>
    </sheetView>
  </sheetViews>
  <sheetFormatPr defaultColWidth="8.796875" defaultRowHeight="15"/>
  <cols>
    <col min="1" max="1" width="2.3984375" style="70" customWidth="1"/>
    <col min="2" max="2" width="31.09765625" style="70" customWidth="1"/>
    <col min="3" max="4" width="15.796875" style="70" customWidth="1"/>
    <col min="5" max="5" width="16.3984375" style="70" customWidth="1"/>
    <col min="6" max="16384" width="8.8984375" style="70" customWidth="1"/>
  </cols>
  <sheetData>
    <row r="1" spans="2:5" ht="15.75">
      <c r="B1" s="140">
        <f>(inputPrYr!D3)</f>
        <v>0</v>
      </c>
      <c r="C1" s="32"/>
      <c r="D1" s="32"/>
      <c r="E1" s="161">
        <f>inputPrYr!$C$6</f>
        <v>0</v>
      </c>
    </row>
    <row r="2" spans="2:5" ht="15.75">
      <c r="B2" s="32"/>
      <c r="C2" s="32"/>
      <c r="D2" s="32"/>
      <c r="E2" s="126"/>
    </row>
    <row r="3" spans="2:5" ht="15.75">
      <c r="B3" s="191" t="s">
        <v>170</v>
      </c>
      <c r="C3" s="240"/>
      <c r="D3" s="240"/>
      <c r="E3" s="241"/>
    </row>
    <row r="4" spans="2:5" ht="15.75">
      <c r="B4" s="33" t="s">
        <v>101</v>
      </c>
      <c r="C4" s="365" t="s">
        <v>801</v>
      </c>
      <c r="D4" s="364" t="s">
        <v>802</v>
      </c>
      <c r="E4" s="343" t="s">
        <v>803</v>
      </c>
    </row>
    <row r="5" spans="2:5" ht="15.75">
      <c r="B5" s="488">
        <f>(inputPrYr!B60)</f>
        <v>0</v>
      </c>
      <c r="C5" s="366" t="str">
        <f>CONCATENATE("Actual for ",E1-2,"")</f>
        <v>Actual for -2</v>
      </c>
      <c r="D5" s="366" t="str">
        <f>CONCATENATE("Estimate for ",E1-1,"")</f>
        <v>Estimate for -1</v>
      </c>
      <c r="E5" s="351" t="str">
        <f>CONCATENATE("Year for ",E1,"")</f>
        <v>Year for 0</v>
      </c>
    </row>
    <row r="6" spans="2:5" ht="15.75">
      <c r="B6" s="108" t="s">
        <v>211</v>
      </c>
      <c r="C6" s="201"/>
      <c r="D6" s="199">
        <f>C45</f>
        <v>0</v>
      </c>
      <c r="E6" s="170">
        <f>D45</f>
        <v>0</v>
      </c>
    </row>
    <row r="7" spans="2:5" ht="15.75">
      <c r="B7" s="228" t="s">
        <v>213</v>
      </c>
      <c r="C7" s="117"/>
      <c r="D7" s="117"/>
      <c r="E7" s="58"/>
    </row>
    <row r="8" spans="2:5" ht="15.75">
      <c r="B8" s="217"/>
      <c r="C8" s="201"/>
      <c r="D8" s="201"/>
      <c r="E8" s="204"/>
    </row>
    <row r="9" spans="2:5" ht="15.75">
      <c r="B9" s="217"/>
      <c r="C9" s="201"/>
      <c r="D9" s="201"/>
      <c r="E9" s="204"/>
    </row>
    <row r="10" spans="2:5" ht="15.75">
      <c r="B10" s="217"/>
      <c r="C10" s="201"/>
      <c r="D10" s="201"/>
      <c r="E10" s="204"/>
    </row>
    <row r="11" spans="2:5" ht="15.75">
      <c r="B11" s="217"/>
      <c r="C11" s="201"/>
      <c r="D11" s="201"/>
      <c r="E11" s="204"/>
    </row>
    <row r="12" spans="2:5" ht="15.75">
      <c r="B12" s="217"/>
      <c r="C12" s="201"/>
      <c r="D12" s="201"/>
      <c r="E12" s="204"/>
    </row>
    <row r="13" spans="2:5" ht="15.75">
      <c r="B13" s="235"/>
      <c r="C13" s="201"/>
      <c r="D13" s="201"/>
      <c r="E13" s="72"/>
    </row>
    <row r="14" spans="2:5" ht="15.75">
      <c r="B14" s="217"/>
      <c r="C14" s="201"/>
      <c r="D14" s="201"/>
      <c r="E14" s="204"/>
    </row>
    <row r="15" spans="2:5" ht="15.75">
      <c r="B15" s="242" t="s">
        <v>109</v>
      </c>
      <c r="C15" s="201"/>
      <c r="D15" s="201"/>
      <c r="E15" s="204"/>
    </row>
    <row r="16" spans="2:5" ht="15.75">
      <c r="B16" s="117" t="s">
        <v>13</v>
      </c>
      <c r="C16" s="201"/>
      <c r="D16" s="201"/>
      <c r="E16" s="204"/>
    </row>
    <row r="17" spans="2:5" ht="15.75">
      <c r="B17" s="196" t="s">
        <v>780</v>
      </c>
      <c r="C17" s="206">
        <f>IF(C18*0.1&lt;C16,"Exceed 10% Rule","")</f>
      </c>
      <c r="D17" s="206">
        <f>IF(D18*0.1&lt;D16,"Exceed 10% Rule","")</f>
      </c>
      <c r="E17" s="243">
        <f>IF(E18*0.1&lt;E16,"Exceed 10% Rule","")</f>
      </c>
    </row>
    <row r="18" spans="2:5" ht="15.75">
      <c r="B18" s="208" t="s">
        <v>110</v>
      </c>
      <c r="C18" s="210">
        <f>SUM(C8:C16)</f>
        <v>0</v>
      </c>
      <c r="D18" s="210">
        <f>SUM(D8:D16)</f>
        <v>0</v>
      </c>
      <c r="E18" s="211">
        <f>SUM(E8:E16)</f>
        <v>0</v>
      </c>
    </row>
    <row r="19" spans="2:5" ht="15.75">
      <c r="B19" s="208" t="s">
        <v>111</v>
      </c>
      <c r="C19" s="210">
        <f>C6+C18</f>
        <v>0</v>
      </c>
      <c r="D19" s="210">
        <f>D6+D18</f>
        <v>0</v>
      </c>
      <c r="E19" s="211">
        <f>E6+E18</f>
        <v>0</v>
      </c>
    </row>
    <row r="20" spans="2:5" ht="15.75">
      <c r="B20" s="108" t="s">
        <v>113</v>
      </c>
      <c r="C20" s="117"/>
      <c r="D20" s="117"/>
      <c r="E20" s="58"/>
    </row>
    <row r="21" spans="2:5" ht="15.75">
      <c r="B21" s="217" t="s">
        <v>250</v>
      </c>
      <c r="C21" s="201"/>
      <c r="D21" s="201"/>
      <c r="E21" s="204"/>
    </row>
    <row r="22" spans="2:5" ht="15.75">
      <c r="B22" s="217" t="s">
        <v>20</v>
      </c>
      <c r="C22" s="201"/>
      <c r="D22" s="201"/>
      <c r="E22" s="204"/>
    </row>
    <row r="23" spans="2:5" ht="15.75">
      <c r="B23" s="217"/>
      <c r="C23" s="201"/>
      <c r="D23" s="201"/>
      <c r="E23" s="72"/>
    </row>
    <row r="24" spans="2:5" ht="15.75">
      <c r="B24" s="217"/>
      <c r="C24" s="201"/>
      <c r="D24" s="201"/>
      <c r="E24" s="72"/>
    </row>
    <row r="25" spans="2:5" ht="15.75">
      <c r="B25" s="217"/>
      <c r="C25" s="201"/>
      <c r="D25" s="201"/>
      <c r="E25" s="72"/>
    </row>
    <row r="26" spans="2:5" ht="15.75">
      <c r="B26" s="217"/>
      <c r="C26" s="201"/>
      <c r="D26" s="201"/>
      <c r="E26" s="72"/>
    </row>
    <row r="27" spans="2:5" ht="15.75">
      <c r="B27" s="217"/>
      <c r="C27" s="201"/>
      <c r="D27" s="201"/>
      <c r="E27" s="72"/>
    </row>
    <row r="28" spans="2:5" ht="15.75">
      <c r="B28" s="217"/>
      <c r="C28" s="201"/>
      <c r="D28" s="201"/>
      <c r="E28" s="72"/>
    </row>
    <row r="29" spans="2:5" ht="15.75">
      <c r="B29" s="217"/>
      <c r="C29" s="201"/>
      <c r="D29" s="201"/>
      <c r="E29" s="72"/>
    </row>
    <row r="30" spans="2:5" ht="15.75">
      <c r="B30" s="217"/>
      <c r="C30" s="201"/>
      <c r="D30" s="201"/>
      <c r="E30" s="72"/>
    </row>
    <row r="31" spans="2:5" ht="15.75">
      <c r="B31" s="217"/>
      <c r="C31" s="201"/>
      <c r="D31" s="201"/>
      <c r="E31" s="72"/>
    </row>
    <row r="32" spans="2:5" ht="15.75">
      <c r="B32" s="217"/>
      <c r="C32" s="201"/>
      <c r="D32" s="201"/>
      <c r="E32" s="204"/>
    </row>
    <row r="33" spans="2:5" ht="15.75">
      <c r="B33" s="217"/>
      <c r="C33" s="201"/>
      <c r="D33" s="201"/>
      <c r="E33" s="204"/>
    </row>
    <row r="34" spans="2:5" ht="15.75">
      <c r="B34" s="217"/>
      <c r="C34" s="201"/>
      <c r="D34" s="201"/>
      <c r="E34" s="204"/>
    </row>
    <row r="35" spans="2:5" ht="15.75">
      <c r="B35" s="217"/>
      <c r="C35" s="201"/>
      <c r="D35" s="201"/>
      <c r="E35" s="204"/>
    </row>
    <row r="36" spans="2:5" ht="15.75">
      <c r="B36" s="217"/>
      <c r="C36" s="201"/>
      <c r="D36" s="201"/>
      <c r="E36" s="204"/>
    </row>
    <row r="37" spans="2:5" ht="15.75">
      <c r="B37" s="217"/>
      <c r="C37" s="201"/>
      <c r="D37" s="201"/>
      <c r="E37" s="204"/>
    </row>
    <row r="38" spans="2:5" ht="15.75">
      <c r="B38" s="217"/>
      <c r="C38" s="201"/>
      <c r="D38" s="201"/>
      <c r="E38" s="204"/>
    </row>
    <row r="39" spans="2:5" ht="15.75">
      <c r="B39" s="217"/>
      <c r="C39" s="201"/>
      <c r="D39" s="201"/>
      <c r="E39" s="204"/>
    </row>
    <row r="40" spans="2:5" ht="15.75">
      <c r="B40" s="217"/>
      <c r="C40" s="201"/>
      <c r="D40" s="201"/>
      <c r="E40" s="204"/>
    </row>
    <row r="41" spans="2:5" ht="15.75">
      <c r="B41" s="218" t="str">
        <f>CONCATENATE("Cash Forward (",E1," column)")</f>
        <v>Cash Forward (0 column)</v>
      </c>
      <c r="C41" s="201"/>
      <c r="D41" s="201"/>
      <c r="E41" s="204"/>
    </row>
    <row r="42" spans="2:5" ht="15.75">
      <c r="B42" s="218" t="s">
        <v>13</v>
      </c>
      <c r="C42" s="201"/>
      <c r="D42" s="201"/>
      <c r="E42" s="204"/>
    </row>
    <row r="43" spans="2:5" ht="15.75">
      <c r="B43" s="218" t="s">
        <v>781</v>
      </c>
      <c r="C43" s="206">
        <f>IF(C44*0.1&lt;C42,"Exceed 10% Rule","")</f>
      </c>
      <c r="D43" s="206">
        <f>IF(D44*0.1&lt;D42,"Exceed 10% Rule","")</f>
      </c>
      <c r="E43" s="243">
        <f>IF(E44*0.1&lt;E42,"Exceed 10% Rule","")</f>
      </c>
    </row>
    <row r="44" spans="2:5" ht="15.75">
      <c r="B44" s="208" t="s">
        <v>117</v>
      </c>
      <c r="C44" s="210">
        <f>SUM(C21:C42)</f>
        <v>0</v>
      </c>
      <c r="D44" s="210">
        <f>SUM(D21:D42)</f>
        <v>0</v>
      </c>
      <c r="E44" s="211">
        <f>SUM(E21:E42)</f>
        <v>0</v>
      </c>
    </row>
    <row r="45" spans="2:5" ht="15.75">
      <c r="B45" s="108" t="s">
        <v>212</v>
      </c>
      <c r="C45" s="214">
        <f>C19-C44</f>
        <v>0</v>
      </c>
      <c r="D45" s="214">
        <f>D19-D44</f>
        <v>0</v>
      </c>
      <c r="E45" s="56">
        <f>E19-E44</f>
        <v>0</v>
      </c>
    </row>
    <row r="46" spans="2:5" ht="15.75">
      <c r="B46" s="128" t="str">
        <f>CONCATENATE("",E1-2,"/",E1-1,"/",E1," Budget Authority Amount:")</f>
        <v>-2/-1/0 Budget Authority Amount:</v>
      </c>
      <c r="C46" s="787">
        <f>inputOth!B98</f>
        <v>0</v>
      </c>
      <c r="D46" s="787">
        <f>inputPrYr!D60</f>
        <v>0</v>
      </c>
      <c r="E46" s="834">
        <f>E44</f>
        <v>0</v>
      </c>
    </row>
    <row r="47" spans="2:5" ht="15.75">
      <c r="B47" s="94"/>
      <c r="C47" s="220">
        <f>IF(C44&gt;C46,"See Tab A","")</f>
      </c>
      <c r="D47" s="220">
        <f>IF(D44&gt;D46,"See Tab C","")</f>
      </c>
      <c r="E47" s="835">
        <f>IF(E45&lt;0,"See Tab E","")</f>
      </c>
    </row>
    <row r="48" spans="2:5" ht="15.75">
      <c r="B48" s="982" t="s">
        <v>1034</v>
      </c>
      <c r="C48" s="966">
        <f>IF(C45&lt;0,"See Tab B","")</f>
      </c>
      <c r="D48" s="966">
        <f>IF(D45&lt;0,"See Tab D","")</f>
      </c>
      <c r="E48" s="967"/>
    </row>
    <row r="49" spans="2:5" ht="15">
      <c r="B49" s="968"/>
      <c r="C49" s="969"/>
      <c r="D49" s="969"/>
      <c r="E49" s="970"/>
    </row>
    <row r="50" spans="2:5" ht="15">
      <c r="B50" s="971"/>
      <c r="C50" s="83"/>
      <c r="D50" s="83"/>
      <c r="E50" s="84"/>
    </row>
    <row r="51" spans="2:5" ht="15">
      <c r="B51" s="44"/>
      <c r="C51" s="44"/>
      <c r="D51" s="44"/>
      <c r="E51" s="44"/>
    </row>
    <row r="52" spans="2:5" ht="15.75">
      <c r="B52" s="126" t="s">
        <v>120</v>
      </c>
      <c r="C52" s="225"/>
      <c r="D52" s="44"/>
      <c r="E52" s="44"/>
    </row>
  </sheetData>
  <sheetProtection/>
  <conditionalFormatting sqref="E16">
    <cfRule type="cellIs" priority="4" dxfId="328" operator="greaterThan" stopIfTrue="1">
      <formula>$E$18*0.1</formula>
    </cfRule>
  </conditionalFormatting>
  <conditionalFormatting sqref="E42">
    <cfRule type="cellIs" priority="5" dxfId="328" operator="greaterThan" stopIfTrue="1">
      <formula>$E$44*0.1</formula>
    </cfRule>
  </conditionalFormatting>
  <conditionalFormatting sqref="C42">
    <cfRule type="cellIs" priority="6" dxfId="3" operator="greaterThan" stopIfTrue="1">
      <formula>$C$44*0.1</formula>
    </cfRule>
  </conditionalFormatting>
  <conditionalFormatting sqref="D42">
    <cfRule type="cellIs" priority="7" dxfId="3" operator="greaterThan" stopIfTrue="1">
      <formula>$D$44*0.1</formula>
    </cfRule>
  </conditionalFormatting>
  <conditionalFormatting sqref="D44">
    <cfRule type="cellIs" priority="8" dxfId="3" operator="greaterThan" stopIfTrue="1">
      <formula>$D$46</formula>
    </cfRule>
  </conditionalFormatting>
  <conditionalFormatting sqref="C44">
    <cfRule type="cellIs" priority="9" dxfId="3" operator="greaterThan" stopIfTrue="1">
      <formula>$C$46</formula>
    </cfRule>
  </conditionalFormatting>
  <conditionalFormatting sqref="C45 E45">
    <cfRule type="cellIs" priority="10" dxfId="3" operator="lessThan" stopIfTrue="1">
      <formula>0</formula>
    </cfRule>
  </conditionalFormatting>
  <conditionalFormatting sqref="D45">
    <cfRule type="cellIs" priority="3" dxfId="0" operator="lessThan" stopIfTrue="1">
      <formula>0</formula>
    </cfRule>
  </conditionalFormatting>
  <conditionalFormatting sqref="D16">
    <cfRule type="cellIs" priority="2" dxfId="0" operator="greaterThan" stopIfTrue="1">
      <formula>$D$18*0.1</formula>
    </cfRule>
  </conditionalFormatting>
  <conditionalFormatting sqref="C16">
    <cfRule type="cellIs" priority="1" dxfId="0" operator="greaterThan" stopIfTrue="1">
      <formula>$C$18*0.1</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G63" sqref="G63"/>
    </sheetView>
  </sheetViews>
  <sheetFormatPr defaultColWidth="8.796875" defaultRowHeight="15"/>
  <cols>
    <col min="1" max="1" width="2.3984375" style="70" customWidth="1"/>
    <col min="2" max="2" width="31.09765625" style="70" customWidth="1"/>
    <col min="3" max="4" width="15.796875" style="70" customWidth="1"/>
    <col min="5" max="5" width="16.59765625" style="70" customWidth="1"/>
    <col min="6" max="16384" width="8.8984375" style="70" customWidth="1"/>
  </cols>
  <sheetData>
    <row r="1" spans="2:5" ht="15.75">
      <c r="B1" s="140">
        <f>(inputPrYr!D3)</f>
        <v>0</v>
      </c>
      <c r="C1" s="32"/>
      <c r="D1" s="32"/>
      <c r="E1" s="161">
        <f>inputPrYr!$C$6</f>
        <v>0</v>
      </c>
    </row>
    <row r="2" spans="2:5" ht="15.75">
      <c r="B2" s="32"/>
      <c r="C2" s="32"/>
      <c r="D2" s="32"/>
      <c r="E2" s="126"/>
    </row>
    <row r="3" spans="2:5" ht="15.75">
      <c r="B3" s="191" t="s">
        <v>170</v>
      </c>
      <c r="C3" s="240"/>
      <c r="D3" s="240"/>
      <c r="E3" s="241"/>
    </row>
    <row r="4" spans="2:5" ht="15.75">
      <c r="B4" s="33" t="s">
        <v>101</v>
      </c>
      <c r="C4" s="365" t="s">
        <v>801</v>
      </c>
      <c r="D4" s="364" t="s">
        <v>802</v>
      </c>
      <c r="E4" s="343" t="s">
        <v>803</v>
      </c>
    </row>
    <row r="5" spans="2:5" ht="15.75">
      <c r="B5" s="488">
        <f>(inputPrYr!B61)</f>
        <v>0</v>
      </c>
      <c r="C5" s="366" t="str">
        <f>CONCATENATE("Actual for ",E1-2,"")</f>
        <v>Actual for -2</v>
      </c>
      <c r="D5" s="366" t="str">
        <f>CONCATENATE("Estimate for ",E1-1,"")</f>
        <v>Estimate for -1</v>
      </c>
      <c r="E5" s="351" t="str">
        <f>CONCATENATE("Year for ",E1,"")</f>
        <v>Year for 0</v>
      </c>
    </row>
    <row r="6" spans="2:5" ht="15.75">
      <c r="B6" s="108" t="s">
        <v>211</v>
      </c>
      <c r="C6" s="201"/>
      <c r="D6" s="199">
        <f>C45</f>
        <v>0</v>
      </c>
      <c r="E6" s="170">
        <f>D45</f>
        <v>0</v>
      </c>
    </row>
    <row r="7" spans="2:5" ht="15.75">
      <c r="B7" s="228" t="s">
        <v>213</v>
      </c>
      <c r="C7" s="117"/>
      <c r="D7" s="117"/>
      <c r="E7" s="58"/>
    </row>
    <row r="8" spans="2:5" ht="15.75">
      <c r="B8" s="217"/>
      <c r="C8" s="201"/>
      <c r="D8" s="201"/>
      <c r="E8" s="204"/>
    </row>
    <row r="9" spans="2:5" ht="15.75">
      <c r="B9" s="217"/>
      <c r="C9" s="201"/>
      <c r="D9" s="201"/>
      <c r="E9" s="204"/>
    </row>
    <row r="10" spans="2:5" ht="15.75">
      <c r="B10" s="217"/>
      <c r="C10" s="201"/>
      <c r="D10" s="201"/>
      <c r="E10" s="204"/>
    </row>
    <row r="11" spans="2:5" ht="15.75">
      <c r="B11" s="217"/>
      <c r="C11" s="201"/>
      <c r="D11" s="201"/>
      <c r="E11" s="204"/>
    </row>
    <row r="12" spans="2:5" ht="15.75">
      <c r="B12" s="217"/>
      <c r="C12" s="201"/>
      <c r="D12" s="201"/>
      <c r="E12" s="204"/>
    </row>
    <row r="13" spans="2:5" ht="15.75">
      <c r="B13" s="235"/>
      <c r="C13" s="201"/>
      <c r="D13" s="201"/>
      <c r="E13" s="72"/>
    </row>
    <row r="14" spans="2:5" ht="15.75">
      <c r="B14" s="217"/>
      <c r="C14" s="201"/>
      <c r="D14" s="201"/>
      <c r="E14" s="204"/>
    </row>
    <row r="15" spans="2:5" ht="15.75">
      <c r="B15" s="242" t="s">
        <v>109</v>
      </c>
      <c r="C15" s="201"/>
      <c r="D15" s="201"/>
      <c r="E15" s="204"/>
    </row>
    <row r="16" spans="2:5" ht="15.75">
      <c r="B16" s="117" t="s">
        <v>13</v>
      </c>
      <c r="C16" s="201"/>
      <c r="D16" s="201"/>
      <c r="E16" s="204"/>
    </row>
    <row r="17" spans="2:5" ht="15.75">
      <c r="B17" s="196" t="s">
        <v>780</v>
      </c>
      <c r="C17" s="206">
        <f>IF(C18*0.1&lt;C16,"Exceed 10% Rule","")</f>
      </c>
      <c r="D17" s="206">
        <f>IF(D18*0.1&lt;D16,"Exceed 10% Rule","")</f>
      </c>
      <c r="E17" s="243">
        <f>IF(E18*0.1&lt;E16,"Exceed 10% Rule","")</f>
      </c>
    </row>
    <row r="18" spans="2:5" ht="15.75">
      <c r="B18" s="208" t="s">
        <v>110</v>
      </c>
      <c r="C18" s="210">
        <f>SUM(C8:C16)</f>
        <v>0</v>
      </c>
      <c r="D18" s="210">
        <f>SUM(D8:D16)</f>
        <v>0</v>
      </c>
      <c r="E18" s="211">
        <f>SUM(E8:E16)</f>
        <v>0</v>
      </c>
    </row>
    <row r="19" spans="2:5" ht="15.75">
      <c r="B19" s="208" t="s">
        <v>111</v>
      </c>
      <c r="C19" s="210">
        <f>C6+C18</f>
        <v>0</v>
      </c>
      <c r="D19" s="210">
        <f>D6+D18</f>
        <v>0</v>
      </c>
      <c r="E19" s="211">
        <f>E6+E18</f>
        <v>0</v>
      </c>
    </row>
    <row r="20" spans="2:5" ht="15.75">
      <c r="B20" s="108" t="s">
        <v>113</v>
      </c>
      <c r="C20" s="117"/>
      <c r="D20" s="117"/>
      <c r="E20" s="58"/>
    </row>
    <row r="21" spans="2:5" ht="15.75">
      <c r="B21" s="217" t="s">
        <v>250</v>
      </c>
      <c r="C21" s="201"/>
      <c r="D21" s="201"/>
      <c r="E21" s="204"/>
    </row>
    <row r="22" spans="2:5" ht="15.75">
      <c r="B22" s="217" t="s">
        <v>21</v>
      </c>
      <c r="C22" s="201"/>
      <c r="D22" s="201"/>
      <c r="E22" s="204"/>
    </row>
    <row r="23" spans="2:5" ht="15.75">
      <c r="B23" s="217"/>
      <c r="C23" s="201"/>
      <c r="D23" s="201"/>
      <c r="E23" s="72"/>
    </row>
    <row r="24" spans="2:5" ht="15.75">
      <c r="B24" s="217"/>
      <c r="C24" s="201"/>
      <c r="D24" s="201"/>
      <c r="E24" s="72"/>
    </row>
    <row r="25" spans="2:5" ht="15.75">
      <c r="B25" s="217"/>
      <c r="C25" s="201"/>
      <c r="D25" s="201"/>
      <c r="E25" s="72"/>
    </row>
    <row r="26" spans="2:5" ht="15.75">
      <c r="B26" s="217"/>
      <c r="C26" s="201"/>
      <c r="D26" s="201"/>
      <c r="E26" s="72"/>
    </row>
    <row r="27" spans="2:5" ht="15.75">
      <c r="B27" s="217"/>
      <c r="C27" s="201"/>
      <c r="D27" s="201"/>
      <c r="E27" s="72"/>
    </row>
    <row r="28" spans="2:5" ht="15.75">
      <c r="B28" s="217"/>
      <c r="C28" s="201"/>
      <c r="D28" s="201"/>
      <c r="E28" s="72"/>
    </row>
    <row r="29" spans="2:5" ht="15.75">
      <c r="B29" s="217"/>
      <c r="C29" s="201"/>
      <c r="D29" s="201"/>
      <c r="E29" s="72"/>
    </row>
    <row r="30" spans="2:5" ht="15.75">
      <c r="B30" s="217"/>
      <c r="C30" s="201"/>
      <c r="D30" s="201"/>
      <c r="E30" s="72"/>
    </row>
    <row r="31" spans="2:5" ht="15.75">
      <c r="B31" s="217"/>
      <c r="C31" s="201"/>
      <c r="D31" s="201"/>
      <c r="E31" s="72"/>
    </row>
    <row r="32" spans="2:5" ht="15.75">
      <c r="B32" s="217"/>
      <c r="C32" s="201"/>
      <c r="D32" s="201"/>
      <c r="E32" s="204"/>
    </row>
    <row r="33" spans="2:5" ht="15.75">
      <c r="B33" s="217"/>
      <c r="C33" s="201"/>
      <c r="D33" s="201"/>
      <c r="E33" s="204"/>
    </row>
    <row r="34" spans="2:5" ht="15.75">
      <c r="B34" s="217"/>
      <c r="C34" s="201"/>
      <c r="D34" s="201"/>
      <c r="E34" s="204"/>
    </row>
    <row r="35" spans="2:5" ht="15.75">
      <c r="B35" s="217"/>
      <c r="C35" s="201"/>
      <c r="D35" s="201"/>
      <c r="E35" s="204"/>
    </row>
    <row r="36" spans="2:5" ht="15.75">
      <c r="B36" s="217"/>
      <c r="C36" s="201"/>
      <c r="D36" s="201"/>
      <c r="E36" s="204"/>
    </row>
    <row r="37" spans="2:5" ht="15.75">
      <c r="B37" s="217"/>
      <c r="C37" s="201"/>
      <c r="D37" s="201"/>
      <c r="E37" s="204"/>
    </row>
    <row r="38" spans="2:5" ht="15.75">
      <c r="B38" s="217"/>
      <c r="C38" s="201"/>
      <c r="D38" s="201"/>
      <c r="E38" s="204"/>
    </row>
    <row r="39" spans="2:5" ht="15.75">
      <c r="B39" s="217"/>
      <c r="C39" s="201"/>
      <c r="D39" s="201"/>
      <c r="E39" s="204"/>
    </row>
    <row r="40" spans="2:5" ht="15.75">
      <c r="B40" s="217"/>
      <c r="C40" s="201"/>
      <c r="D40" s="201"/>
      <c r="E40" s="204"/>
    </row>
    <row r="41" spans="2:5" ht="15.75">
      <c r="B41" s="218" t="str">
        <f>CONCATENATE("Cash Forward (",E1," column)")</f>
        <v>Cash Forward (0 column)</v>
      </c>
      <c r="C41" s="201"/>
      <c r="D41" s="201"/>
      <c r="E41" s="204"/>
    </row>
    <row r="42" spans="2:5" ht="15.75">
      <c r="B42" s="218" t="s">
        <v>13</v>
      </c>
      <c r="C42" s="201"/>
      <c r="D42" s="201"/>
      <c r="E42" s="204"/>
    </row>
    <row r="43" spans="2:5" ht="15.75">
      <c r="B43" s="218" t="s">
        <v>781</v>
      </c>
      <c r="C43" s="206">
        <f>IF(C44*0.1&lt;C42,"Exceed 10% Rule","")</f>
      </c>
      <c r="D43" s="206">
        <f>IF(D44*0.1&lt;D42,"Exceed 10% Rule","")</f>
      </c>
      <c r="E43" s="243">
        <f>IF(E44*0.1&lt;E42,"Exceed 10% Rule","")</f>
      </c>
    </row>
    <row r="44" spans="2:5" ht="15.75">
      <c r="B44" s="208" t="s">
        <v>117</v>
      </c>
      <c r="C44" s="210">
        <f>SUM(C21:C42)</f>
        <v>0</v>
      </c>
      <c r="D44" s="210">
        <f>SUM(D21:D42)</f>
        <v>0</v>
      </c>
      <c r="E44" s="211">
        <f>SUM(E21:E42)</f>
        <v>0</v>
      </c>
    </row>
    <row r="45" spans="2:5" ht="15.75">
      <c r="B45" s="108" t="s">
        <v>212</v>
      </c>
      <c r="C45" s="214">
        <f>C19-C44</f>
        <v>0</v>
      </c>
      <c r="D45" s="214">
        <f>D19-D44</f>
        <v>0</v>
      </c>
      <c r="E45" s="56">
        <f>E19-E44</f>
        <v>0</v>
      </c>
    </row>
    <row r="46" spans="2:5" ht="15.75">
      <c r="B46" s="128" t="str">
        <f>CONCATENATE("",E1-2,"/",E1-1,"/",E1," Budget Authority Amount:")</f>
        <v>-2/-1/0 Budget Authority Amount:</v>
      </c>
      <c r="C46" s="787">
        <f>inputOth!B99</f>
        <v>0</v>
      </c>
      <c r="D46" s="787">
        <f>inputPrYr!D61</f>
        <v>0</v>
      </c>
      <c r="E46" s="834">
        <f>E44</f>
        <v>0</v>
      </c>
    </row>
    <row r="47" spans="2:5" ht="15.75">
      <c r="B47" s="94"/>
      <c r="C47" s="220">
        <f>IF(C44&gt;C46,"See Tab A","")</f>
      </c>
      <c r="D47" s="220">
        <f>IF(D44&gt;D46,"See Tab C","")</f>
      </c>
      <c r="E47" s="835">
        <f>IF(E45&lt;0,"See Tab E","")</f>
      </c>
    </row>
    <row r="48" spans="2:5" ht="15.75">
      <c r="B48" s="94"/>
      <c r="C48" s="220">
        <f>IF(C45&lt;0,"See Tab B","")</f>
      </c>
      <c r="D48" s="220">
        <f>IF(D45&lt;0,"See Tab D","")</f>
      </c>
      <c r="E48" s="44"/>
    </row>
    <row r="49" spans="2:5" ht="15.75">
      <c r="B49" s="982" t="s">
        <v>1034</v>
      </c>
      <c r="C49" s="966"/>
      <c r="D49" s="966"/>
      <c r="E49" s="967"/>
    </row>
    <row r="50" spans="2:5" ht="15.75">
      <c r="B50" s="972"/>
      <c r="C50" s="324"/>
      <c r="D50" s="324"/>
      <c r="E50" s="970"/>
    </row>
    <row r="51" spans="2:5" ht="15">
      <c r="B51" s="971"/>
      <c r="C51" s="83"/>
      <c r="D51" s="83"/>
      <c r="E51" s="84"/>
    </row>
    <row r="52" spans="2:5" ht="15">
      <c r="B52" s="44"/>
      <c r="C52" s="44"/>
      <c r="D52" s="44"/>
      <c r="E52" s="44"/>
    </row>
    <row r="53" spans="2:5" ht="15.75">
      <c r="B53" s="126" t="s">
        <v>120</v>
      </c>
      <c r="C53" s="225"/>
      <c r="D53" s="44"/>
      <c r="E53" s="44"/>
    </row>
  </sheetData>
  <sheetProtection/>
  <conditionalFormatting sqref="E16">
    <cfRule type="cellIs" priority="4" dxfId="328" operator="greaterThan" stopIfTrue="1">
      <formula>$E$18*0.1</formula>
    </cfRule>
  </conditionalFormatting>
  <conditionalFormatting sqref="E42">
    <cfRule type="cellIs" priority="5" dxfId="328" operator="greaterThan" stopIfTrue="1">
      <formula>$E$44*0.1</formula>
    </cfRule>
  </conditionalFormatting>
  <conditionalFormatting sqref="E45 C45">
    <cfRule type="cellIs" priority="6" dxfId="3" operator="lessThan" stopIfTrue="1">
      <formula>0</formula>
    </cfRule>
  </conditionalFormatting>
  <conditionalFormatting sqref="D42">
    <cfRule type="cellIs" priority="7" dxfId="3" operator="greaterThan" stopIfTrue="1">
      <formula>$D$44*0.1</formula>
    </cfRule>
  </conditionalFormatting>
  <conditionalFormatting sqref="C42">
    <cfRule type="cellIs" priority="8" dxfId="3" operator="greaterThan" stopIfTrue="1">
      <formula>$C$44*0.1</formula>
    </cfRule>
  </conditionalFormatting>
  <conditionalFormatting sqref="D44">
    <cfRule type="cellIs" priority="9" dxfId="3" operator="greaterThan" stopIfTrue="1">
      <formula>$D$46</formula>
    </cfRule>
  </conditionalFormatting>
  <conditionalFormatting sqref="C44">
    <cfRule type="cellIs" priority="10" dxfId="3" operator="greaterThan" stopIfTrue="1">
      <formula>$C$46</formula>
    </cfRule>
  </conditionalFormatting>
  <conditionalFormatting sqref="D45">
    <cfRule type="cellIs" priority="3" dxfId="0" operator="lessThan" stopIfTrue="1">
      <formula>0</formula>
    </cfRule>
  </conditionalFormatting>
  <conditionalFormatting sqref="D16">
    <cfRule type="cellIs" priority="2" dxfId="0" operator="greaterThan" stopIfTrue="1">
      <formula>$D$198*0.1</formula>
    </cfRule>
  </conditionalFormatting>
  <conditionalFormatting sqref="C16">
    <cfRule type="cellIs" priority="1" dxfId="0" operator="greaterThan" stopIfTrue="1">
      <formula>$C$18*0.1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D60" sqref="D60"/>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31">
        <f>inputPrYr!$D$3</f>
        <v>0</v>
      </c>
      <c r="B1" s="244"/>
      <c r="C1" s="130"/>
      <c r="D1" s="130"/>
      <c r="E1" s="130"/>
      <c r="F1" s="132" t="s">
        <v>227</v>
      </c>
      <c r="G1" s="130"/>
      <c r="H1" s="130"/>
      <c r="I1" s="130"/>
      <c r="J1" s="130"/>
      <c r="K1" s="130">
        <f>inputPrYr!$C$6</f>
        <v>0</v>
      </c>
    </row>
    <row r="2" spans="1:11" ht="15.75">
      <c r="A2" s="130"/>
      <c r="B2" s="130"/>
      <c r="C2" s="130"/>
      <c r="D2" s="130"/>
      <c r="E2" s="130"/>
      <c r="F2" s="245" t="str">
        <f>CONCATENATE("(Only the actual budget year for ",K1-2," is to be shown)")</f>
        <v>(Only the actual budget year for -2 is to be shown)</v>
      </c>
      <c r="G2" s="130"/>
      <c r="H2" s="130"/>
      <c r="I2" s="130"/>
      <c r="J2" s="130"/>
      <c r="K2" s="130"/>
    </row>
    <row r="3" spans="1:11" ht="15.75">
      <c r="A3" s="130" t="s">
        <v>271</v>
      </c>
      <c r="B3" s="130"/>
      <c r="C3" s="130"/>
      <c r="D3" s="130"/>
      <c r="E3" s="130"/>
      <c r="F3" s="246"/>
      <c r="G3" s="130"/>
      <c r="H3" s="130"/>
      <c r="I3" s="130"/>
      <c r="J3" s="130"/>
      <c r="K3" s="130"/>
    </row>
    <row r="4" spans="1:11" ht="15.75">
      <c r="A4" s="130" t="s">
        <v>228</v>
      </c>
      <c r="B4" s="130"/>
      <c r="C4" s="130" t="s">
        <v>229</v>
      </c>
      <c r="D4" s="130"/>
      <c r="E4" s="130" t="s">
        <v>230</v>
      </c>
      <c r="F4" s="244"/>
      <c r="G4" s="130" t="s">
        <v>231</v>
      </c>
      <c r="H4" s="130"/>
      <c r="I4" s="130" t="s">
        <v>232</v>
      </c>
      <c r="J4" s="130"/>
      <c r="K4" s="130"/>
    </row>
    <row r="5" spans="1:11" ht="15.75">
      <c r="A5" s="1172" t="str">
        <f>IF(inputPrYr!B64&gt;" ",(inputPrYr!B64)," ")</f>
        <v> </v>
      </c>
      <c r="B5" s="1173"/>
      <c r="C5" s="1172" t="str">
        <f>IF(inputPrYr!B65&gt;" ",(inputPrYr!B65)," ")</f>
        <v> </v>
      </c>
      <c r="D5" s="1173"/>
      <c r="E5" s="1172" t="str">
        <f>IF(inputPrYr!B66&gt;" ",(inputPrYr!B66)," ")</f>
        <v> </v>
      </c>
      <c r="F5" s="1173"/>
      <c r="G5" s="1172" t="str">
        <f>IF(inputPrYr!B67&gt;" ",(inputPrYr!B67)," ")</f>
        <v> </v>
      </c>
      <c r="H5" s="1173"/>
      <c r="I5" s="1172" t="str">
        <f>IF(inputPrYr!B68&gt;" ",(inputPrYr!B68)," ")</f>
        <v> </v>
      </c>
      <c r="J5" s="1173"/>
      <c r="K5" s="82"/>
    </row>
    <row r="6" spans="1:11" ht="15.75">
      <c r="A6" s="248" t="s">
        <v>233</v>
      </c>
      <c r="B6" s="249"/>
      <c r="C6" s="250" t="s">
        <v>233</v>
      </c>
      <c r="D6" s="251"/>
      <c r="E6" s="250" t="s">
        <v>233</v>
      </c>
      <c r="F6" s="247"/>
      <c r="G6" s="250" t="s">
        <v>233</v>
      </c>
      <c r="H6" s="252"/>
      <c r="I6" s="250" t="s">
        <v>233</v>
      </c>
      <c r="J6" s="130"/>
      <c r="K6" s="253" t="s">
        <v>74</v>
      </c>
    </row>
    <row r="7" spans="1:11" ht="15.75">
      <c r="A7" s="254" t="s">
        <v>18</v>
      </c>
      <c r="B7" s="255"/>
      <c r="C7" s="256" t="s">
        <v>18</v>
      </c>
      <c r="D7" s="255"/>
      <c r="E7" s="256" t="s">
        <v>18</v>
      </c>
      <c r="F7" s="255"/>
      <c r="G7" s="256" t="s">
        <v>18</v>
      </c>
      <c r="H7" s="255"/>
      <c r="I7" s="256" t="s">
        <v>18</v>
      </c>
      <c r="J7" s="255"/>
      <c r="K7" s="257">
        <f>SUM(B7+D7+F7+H7+J7)</f>
        <v>0</v>
      </c>
    </row>
    <row r="8" spans="1:11" ht="15.75">
      <c r="A8" s="258" t="s">
        <v>213</v>
      </c>
      <c r="B8" s="259"/>
      <c r="C8" s="258" t="s">
        <v>213</v>
      </c>
      <c r="D8" s="260"/>
      <c r="E8" s="258" t="s">
        <v>213</v>
      </c>
      <c r="F8" s="244"/>
      <c r="G8" s="258" t="s">
        <v>213</v>
      </c>
      <c r="H8" s="130"/>
      <c r="I8" s="258" t="s">
        <v>213</v>
      </c>
      <c r="J8" s="130"/>
      <c r="K8" s="244"/>
    </row>
    <row r="9" spans="1:11" ht="15.75">
      <c r="A9" s="261"/>
      <c r="B9" s="255"/>
      <c r="C9" s="261"/>
      <c r="D9" s="255"/>
      <c r="E9" s="261"/>
      <c r="F9" s="255"/>
      <c r="G9" s="261"/>
      <c r="H9" s="255"/>
      <c r="I9" s="261"/>
      <c r="J9" s="255"/>
      <c r="K9" s="244"/>
    </row>
    <row r="10" spans="1:11" ht="15.75">
      <c r="A10" s="261"/>
      <c r="B10" s="255"/>
      <c r="C10" s="261"/>
      <c r="D10" s="255"/>
      <c r="E10" s="261"/>
      <c r="F10" s="255"/>
      <c r="G10" s="261"/>
      <c r="H10" s="255"/>
      <c r="I10" s="261"/>
      <c r="J10" s="255"/>
      <c r="K10" s="244"/>
    </row>
    <row r="11" spans="1:11" ht="15.75">
      <c r="A11" s="261"/>
      <c r="B11" s="255"/>
      <c r="C11" s="262"/>
      <c r="D11" s="255"/>
      <c r="E11" s="262"/>
      <c r="F11" s="255"/>
      <c r="G11" s="262"/>
      <c r="H11" s="255"/>
      <c r="I11" s="263"/>
      <c r="J11" s="255"/>
      <c r="K11" s="244"/>
    </row>
    <row r="12" spans="1:11" ht="15.75">
      <c r="A12" s="261"/>
      <c r="B12" s="255"/>
      <c r="C12" s="261"/>
      <c r="D12" s="255"/>
      <c r="E12" s="264"/>
      <c r="F12" s="255"/>
      <c r="G12" s="264"/>
      <c r="H12" s="255"/>
      <c r="I12" s="264"/>
      <c r="J12" s="255"/>
      <c r="K12" s="244"/>
    </row>
    <row r="13" spans="1:11" ht="15.75">
      <c r="A13" s="265"/>
      <c r="B13" s="255"/>
      <c r="C13" s="266"/>
      <c r="D13" s="255"/>
      <c r="E13" s="266"/>
      <c r="F13" s="255"/>
      <c r="G13" s="266"/>
      <c r="H13" s="255"/>
      <c r="I13" s="263"/>
      <c r="J13" s="255"/>
      <c r="K13" s="244"/>
    </row>
    <row r="14" spans="1:11" ht="15.75">
      <c r="A14" s="261"/>
      <c r="B14" s="255"/>
      <c r="C14" s="264"/>
      <c r="D14" s="255"/>
      <c r="E14" s="264"/>
      <c r="F14" s="255"/>
      <c r="G14" s="264"/>
      <c r="H14" s="255"/>
      <c r="I14" s="264"/>
      <c r="J14" s="255"/>
      <c r="K14" s="244"/>
    </row>
    <row r="15" spans="1:11" ht="15.75">
      <c r="A15" s="261"/>
      <c r="B15" s="255"/>
      <c r="C15" s="264"/>
      <c r="D15" s="255"/>
      <c r="E15" s="264"/>
      <c r="F15" s="255"/>
      <c r="G15" s="264"/>
      <c r="H15" s="255"/>
      <c r="I15" s="264"/>
      <c r="J15" s="255"/>
      <c r="K15" s="244"/>
    </row>
    <row r="16" spans="1:11" ht="15.75">
      <c r="A16" s="261"/>
      <c r="B16" s="255"/>
      <c r="C16" s="261"/>
      <c r="D16" s="255"/>
      <c r="E16" s="261"/>
      <c r="F16" s="255"/>
      <c r="G16" s="264"/>
      <c r="H16" s="255"/>
      <c r="I16" s="261"/>
      <c r="J16" s="255"/>
      <c r="K16" s="244"/>
    </row>
    <row r="17" spans="1:11" ht="15.75">
      <c r="A17" s="258" t="s">
        <v>110</v>
      </c>
      <c r="B17" s="257">
        <f>SUM(B9:B16)</f>
        <v>0</v>
      </c>
      <c r="C17" s="258" t="s">
        <v>110</v>
      </c>
      <c r="D17" s="257">
        <f>SUM(D9:D16)</f>
        <v>0</v>
      </c>
      <c r="E17" s="258" t="s">
        <v>110</v>
      </c>
      <c r="F17" s="321">
        <f>SUM(F9:F16)</f>
        <v>0</v>
      </c>
      <c r="G17" s="258" t="s">
        <v>110</v>
      </c>
      <c r="H17" s="257">
        <f>SUM(H9:H16)</f>
        <v>0</v>
      </c>
      <c r="I17" s="258" t="s">
        <v>110</v>
      </c>
      <c r="J17" s="257">
        <f>SUM(J9:J16)</f>
        <v>0</v>
      </c>
      <c r="K17" s="257">
        <f>SUM(B17+D17+F17+H17+J17)</f>
        <v>0</v>
      </c>
    </row>
    <row r="18" spans="1:11" ht="15.75">
      <c r="A18" s="258" t="s">
        <v>111</v>
      </c>
      <c r="B18" s="257">
        <f>SUM(B7+B17)</f>
        <v>0</v>
      </c>
      <c r="C18" s="258" t="s">
        <v>111</v>
      </c>
      <c r="D18" s="257">
        <f>SUM(D7+D17)</f>
        <v>0</v>
      </c>
      <c r="E18" s="258" t="s">
        <v>111</v>
      </c>
      <c r="F18" s="257">
        <f>SUM(F7+F17)</f>
        <v>0</v>
      </c>
      <c r="G18" s="258" t="s">
        <v>111</v>
      </c>
      <c r="H18" s="257">
        <f>SUM(H7+H17)</f>
        <v>0</v>
      </c>
      <c r="I18" s="258" t="s">
        <v>111</v>
      </c>
      <c r="J18" s="257">
        <f>SUM(J7+J17)</f>
        <v>0</v>
      </c>
      <c r="K18" s="257">
        <f>SUM(B18+D18+F18+H18+J18)</f>
        <v>0</v>
      </c>
    </row>
    <row r="19" spans="1:11" ht="15.75">
      <c r="A19" s="258" t="s">
        <v>113</v>
      </c>
      <c r="B19" s="259"/>
      <c r="C19" s="258" t="s">
        <v>113</v>
      </c>
      <c r="D19" s="260"/>
      <c r="E19" s="258" t="s">
        <v>113</v>
      </c>
      <c r="F19" s="244"/>
      <c r="G19" s="258" t="s">
        <v>113</v>
      </c>
      <c r="H19" s="130"/>
      <c r="I19" s="258" t="s">
        <v>113</v>
      </c>
      <c r="J19" s="130"/>
      <c r="K19" s="244"/>
    </row>
    <row r="20" spans="1:11" ht="15.75">
      <c r="A20" s="261"/>
      <c r="B20" s="255"/>
      <c r="C20" s="264"/>
      <c r="D20" s="255"/>
      <c r="E20" s="264"/>
      <c r="F20" s="255"/>
      <c r="G20" s="264"/>
      <c r="H20" s="255"/>
      <c r="I20" s="264"/>
      <c r="J20" s="255"/>
      <c r="K20" s="244"/>
    </row>
    <row r="21" spans="1:11" ht="15.75">
      <c r="A21" s="261"/>
      <c r="B21" s="255"/>
      <c r="C21" s="264"/>
      <c r="D21" s="255"/>
      <c r="E21" s="264"/>
      <c r="F21" s="255"/>
      <c r="G21" s="264"/>
      <c r="H21" s="255"/>
      <c r="I21" s="264"/>
      <c r="J21" s="255"/>
      <c r="K21" s="244"/>
    </row>
    <row r="22" spans="1:11" ht="15.75">
      <c r="A22" s="261"/>
      <c r="B22" s="255"/>
      <c r="C22" s="266"/>
      <c r="D22" s="255"/>
      <c r="E22" s="266"/>
      <c r="F22" s="255"/>
      <c r="G22" s="266"/>
      <c r="H22" s="255"/>
      <c r="I22" s="263"/>
      <c r="J22" s="255"/>
      <c r="K22" s="244"/>
    </row>
    <row r="23" spans="1:11" ht="15.75">
      <c r="A23" s="261"/>
      <c r="B23" s="255"/>
      <c r="C23" s="264"/>
      <c r="D23" s="255"/>
      <c r="E23" s="264"/>
      <c r="F23" s="255"/>
      <c r="G23" s="264"/>
      <c r="H23" s="255"/>
      <c r="I23" s="264"/>
      <c r="J23" s="255"/>
      <c r="K23" s="244"/>
    </row>
    <row r="24" spans="1:11" ht="15.75">
      <c r="A24" s="261"/>
      <c r="B24" s="255"/>
      <c r="C24" s="266"/>
      <c r="D24" s="255"/>
      <c r="E24" s="266"/>
      <c r="F24" s="255"/>
      <c r="G24" s="266"/>
      <c r="H24" s="255"/>
      <c r="I24" s="263"/>
      <c r="J24" s="255"/>
      <c r="K24" s="244"/>
    </row>
    <row r="25" spans="1:11" ht="15.75">
      <c r="A25" s="261"/>
      <c r="B25" s="255"/>
      <c r="C25" s="264"/>
      <c r="D25" s="255"/>
      <c r="E25" s="264"/>
      <c r="F25" s="255"/>
      <c r="G25" s="264"/>
      <c r="H25" s="255"/>
      <c r="I25" s="264"/>
      <c r="J25" s="255"/>
      <c r="K25" s="244"/>
    </row>
    <row r="26" spans="1:11" ht="15.75">
      <c r="A26" s="261"/>
      <c r="B26" s="255"/>
      <c r="C26" s="264"/>
      <c r="D26" s="255"/>
      <c r="E26" s="264"/>
      <c r="F26" s="255"/>
      <c r="G26" s="264"/>
      <c r="H26" s="255"/>
      <c r="I26" s="264"/>
      <c r="J26" s="255"/>
      <c r="K26" s="244"/>
    </row>
    <row r="27" spans="1:11" ht="15.75">
      <c r="A27" s="261"/>
      <c r="B27" s="255"/>
      <c r="C27" s="261"/>
      <c r="D27" s="255"/>
      <c r="E27" s="261"/>
      <c r="F27" s="255"/>
      <c r="G27" s="264"/>
      <c r="H27" s="255"/>
      <c r="I27" s="264"/>
      <c r="J27" s="255"/>
      <c r="K27" s="244"/>
    </row>
    <row r="28" spans="1:11" ht="15.75">
      <c r="A28" s="258" t="s">
        <v>117</v>
      </c>
      <c r="B28" s="257">
        <f>SUM(B20:B27)</f>
        <v>0</v>
      </c>
      <c r="C28" s="258" t="s">
        <v>117</v>
      </c>
      <c r="D28" s="257">
        <f>SUM(D20:D27)</f>
        <v>0</v>
      </c>
      <c r="E28" s="258" t="s">
        <v>117</v>
      </c>
      <c r="F28" s="321">
        <f>SUM(F20:F27)</f>
        <v>0</v>
      </c>
      <c r="G28" s="258" t="s">
        <v>117</v>
      </c>
      <c r="H28" s="321">
        <f>SUM(H20:H27)</f>
        <v>0</v>
      </c>
      <c r="I28" s="258" t="s">
        <v>117</v>
      </c>
      <c r="J28" s="257">
        <f>SUM(J20:J27)</f>
        <v>0</v>
      </c>
      <c r="K28" s="257">
        <f>SUM(B28+D28+F28+H28+J28)</f>
        <v>0</v>
      </c>
    </row>
    <row r="29" spans="1:12" ht="15.75">
      <c r="A29" s="258" t="s">
        <v>234</v>
      </c>
      <c r="B29" s="257">
        <f>SUM(B18-B28)</f>
        <v>0</v>
      </c>
      <c r="C29" s="258" t="s">
        <v>234</v>
      </c>
      <c r="D29" s="257">
        <f>SUM(D18-D28)</f>
        <v>0</v>
      </c>
      <c r="E29" s="258" t="s">
        <v>234</v>
      </c>
      <c r="F29" s="257">
        <f>SUM(F18-F28)</f>
        <v>0</v>
      </c>
      <c r="G29" s="258" t="s">
        <v>234</v>
      </c>
      <c r="H29" s="257">
        <f>SUM(H18-H28)</f>
        <v>0</v>
      </c>
      <c r="I29" s="258" t="s">
        <v>234</v>
      </c>
      <c r="J29" s="257">
        <f>SUM(J18-J28)</f>
        <v>0</v>
      </c>
      <c r="K29" s="267">
        <f>SUM(B29+D29+F29+H29+J29)</f>
        <v>0</v>
      </c>
      <c r="L29" s="18" t="s">
        <v>302</v>
      </c>
    </row>
    <row r="30" spans="1:12" ht="15.75">
      <c r="A30" s="258"/>
      <c r="B30" s="290">
        <f>IF(B29&lt;0,"See Tab B","")</f>
      </c>
      <c r="C30" s="258"/>
      <c r="D30" s="290">
        <f>IF(D29&lt;0,"See Tab B","")</f>
      </c>
      <c r="E30" s="258"/>
      <c r="F30" s="290">
        <f>IF(F29&lt;0,"See Tab B","")</f>
      </c>
      <c r="G30" s="130"/>
      <c r="H30" s="290">
        <f>IF(H29&lt;0,"See Tab B","")</f>
      </c>
      <c r="I30" s="130"/>
      <c r="J30" s="290">
        <f>IF(J29&lt;0,"See Tab B","")</f>
      </c>
      <c r="K30" s="267">
        <f>SUM(K7+K17-K28)</f>
        <v>0</v>
      </c>
      <c r="L30" s="18" t="s">
        <v>302</v>
      </c>
    </row>
    <row r="31" spans="1:11" ht="15.75">
      <c r="A31" s="130"/>
      <c r="B31" s="133"/>
      <c r="C31" s="130"/>
      <c r="D31" s="244"/>
      <c r="E31" s="130"/>
      <c r="F31" s="130"/>
      <c r="G31" s="28" t="s">
        <v>304</v>
      </c>
      <c r="H31" s="28"/>
      <c r="I31" s="28"/>
      <c r="J31" s="28"/>
      <c r="K31" s="130"/>
    </row>
    <row r="32" spans="1:11" ht="15.75">
      <c r="A32" s="130"/>
      <c r="B32" s="133"/>
      <c r="C32" s="130"/>
      <c r="D32" s="244"/>
      <c r="E32" s="130"/>
      <c r="F32" s="130"/>
      <c r="G32" s="130"/>
      <c r="H32" s="130"/>
      <c r="I32" s="130"/>
      <c r="J32" s="130"/>
      <c r="K32" s="130"/>
    </row>
    <row r="33" spans="1:11" ht="15.75">
      <c r="A33" s="1082" t="s">
        <v>1036</v>
      </c>
      <c r="B33" s="137"/>
      <c r="C33" s="138"/>
      <c r="D33" s="1083"/>
      <c r="E33" s="138"/>
      <c r="F33" s="138"/>
      <c r="G33" s="138"/>
      <c r="H33" s="138"/>
      <c r="I33" s="138"/>
      <c r="J33" s="138"/>
      <c r="K33" s="1084"/>
    </row>
    <row r="34" spans="1:11" ht="15.75">
      <c r="A34" s="1085"/>
      <c r="B34" s="135"/>
      <c r="C34" s="139"/>
      <c r="D34" s="1086"/>
      <c r="E34" s="139"/>
      <c r="F34" s="139"/>
      <c r="G34" s="139"/>
      <c r="H34" s="139"/>
      <c r="I34" s="139"/>
      <c r="J34" s="139"/>
      <c r="K34" s="1087"/>
    </row>
    <row r="35" spans="1:11" ht="15.75">
      <c r="A35" s="1088"/>
      <c r="B35" s="134"/>
      <c r="C35" s="82"/>
      <c r="D35" s="1089"/>
      <c r="E35" s="82"/>
      <c r="F35" s="82"/>
      <c r="G35" s="82"/>
      <c r="H35" s="82"/>
      <c r="I35" s="82"/>
      <c r="J35" s="82"/>
      <c r="K35" s="1090"/>
    </row>
    <row r="36" spans="1:11" ht="15.75">
      <c r="A36" s="130"/>
      <c r="B36" s="133"/>
      <c r="C36" s="130"/>
      <c r="D36" s="130"/>
      <c r="E36" s="130"/>
      <c r="F36" s="130"/>
      <c r="G36" s="130"/>
      <c r="H36" s="130"/>
      <c r="I36" s="130"/>
      <c r="J36" s="130"/>
      <c r="K36" s="130"/>
    </row>
    <row r="37" spans="1:11" ht="15.75">
      <c r="A37" s="130"/>
      <c r="B37" s="133"/>
      <c r="C37" s="130"/>
      <c r="D37" s="130"/>
      <c r="E37" s="136" t="s">
        <v>120</v>
      </c>
      <c r="F37" s="225"/>
      <c r="G37" s="130"/>
      <c r="H37" s="130"/>
      <c r="I37" s="130"/>
      <c r="J37" s="130"/>
      <c r="K37" s="130"/>
    </row>
    <row r="38" ht="15.75">
      <c r="B38" s="268"/>
    </row>
    <row r="39" ht="15.75">
      <c r="B39" s="268"/>
    </row>
    <row r="40" ht="15.75">
      <c r="B40" s="268"/>
    </row>
    <row r="41" ht="15.75">
      <c r="B41" s="268"/>
    </row>
    <row r="42" ht="15.75">
      <c r="B42" s="268"/>
    </row>
    <row r="43" ht="15.75">
      <c r="B43" s="268"/>
    </row>
    <row r="44" ht="15.75">
      <c r="B44" s="268"/>
    </row>
    <row r="45" ht="15.75">
      <c r="B45" s="26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E45" sqref="E45"/>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31">
        <f>inputPrYr!$D$3</f>
        <v>0</v>
      </c>
      <c r="B1" s="244"/>
      <c r="C1" s="130"/>
      <c r="D1" s="130"/>
      <c r="E1" s="130"/>
      <c r="F1" s="132" t="s">
        <v>235</v>
      </c>
      <c r="G1" s="130"/>
      <c r="H1" s="130"/>
      <c r="I1" s="130"/>
      <c r="J1" s="130"/>
      <c r="K1" s="130">
        <f>inputPrYr!$C$6</f>
        <v>0</v>
      </c>
    </row>
    <row r="2" spans="1:11" ht="15.75">
      <c r="A2" s="130"/>
      <c r="B2" s="130"/>
      <c r="C2" s="130"/>
      <c r="D2" s="130"/>
      <c r="E2" s="130"/>
      <c r="F2" s="245" t="str">
        <f>CONCATENATE("(Only the actual budget year for ",K1-2," is to be shown)")</f>
        <v>(Only the actual budget year for -2 is to be shown)</v>
      </c>
      <c r="G2" s="130"/>
      <c r="H2" s="130"/>
      <c r="I2" s="130"/>
      <c r="J2" s="130"/>
      <c r="K2" s="130"/>
    </row>
    <row r="3" spans="1:11" ht="15.75">
      <c r="A3" s="130" t="s">
        <v>270</v>
      </c>
      <c r="B3" s="130"/>
      <c r="C3" s="130"/>
      <c r="D3" s="130"/>
      <c r="E3" s="130"/>
      <c r="F3" s="244"/>
      <c r="G3" s="130"/>
      <c r="H3" s="130"/>
      <c r="I3" s="130"/>
      <c r="J3" s="130"/>
      <c r="K3" s="130"/>
    </row>
    <row r="4" spans="1:11" ht="15.75">
      <c r="A4" s="130" t="s">
        <v>228</v>
      </c>
      <c r="B4" s="130"/>
      <c r="C4" s="130" t="s">
        <v>229</v>
      </c>
      <c r="D4" s="130"/>
      <c r="E4" s="130" t="s">
        <v>230</v>
      </c>
      <c r="F4" s="244"/>
      <c r="G4" s="130" t="s">
        <v>231</v>
      </c>
      <c r="H4" s="130"/>
      <c r="I4" s="130" t="s">
        <v>232</v>
      </c>
      <c r="J4" s="130"/>
      <c r="K4" s="130"/>
    </row>
    <row r="5" spans="1:11" ht="15.75">
      <c r="A5" s="1172" t="str">
        <f>IF(inputPrYr!B70&gt;" ",(inputPrYr!B70)," ")</f>
        <v> </v>
      </c>
      <c r="B5" s="1173"/>
      <c r="C5" s="1172" t="str">
        <f>IF(inputPrYr!B71&gt;" ",(inputPrYr!B71)," ")</f>
        <v> </v>
      </c>
      <c r="D5" s="1173"/>
      <c r="E5" s="1172" t="str">
        <f>IF(inputPrYr!B72&gt;" ",(inputPrYr!B72)," ")</f>
        <v> </v>
      </c>
      <c r="F5" s="1173"/>
      <c r="G5" s="1172" t="str">
        <f>IF(inputPrYr!B73&gt;" ",(inputPrYr!B73)," ")</f>
        <v> </v>
      </c>
      <c r="H5" s="1173"/>
      <c r="I5" s="1172" t="str">
        <f>IF(inputPrYr!B74&gt;" ",(inputPrYr!B74)," ")</f>
        <v> </v>
      </c>
      <c r="J5" s="1173"/>
      <c r="K5" s="82"/>
    </row>
    <row r="6" spans="1:11" ht="15.75">
      <c r="A6" s="248" t="s">
        <v>233</v>
      </c>
      <c r="B6" s="249"/>
      <c r="C6" s="250" t="s">
        <v>233</v>
      </c>
      <c r="D6" s="251"/>
      <c r="E6" s="250" t="s">
        <v>233</v>
      </c>
      <c r="F6" s="247"/>
      <c r="G6" s="250" t="s">
        <v>233</v>
      </c>
      <c r="H6" s="252"/>
      <c r="I6" s="250" t="s">
        <v>233</v>
      </c>
      <c r="J6" s="130"/>
      <c r="K6" s="253" t="s">
        <v>74</v>
      </c>
    </row>
    <row r="7" spans="1:11" ht="15.75">
      <c r="A7" s="254" t="s">
        <v>18</v>
      </c>
      <c r="B7" s="255"/>
      <c r="C7" s="256" t="s">
        <v>18</v>
      </c>
      <c r="D7" s="255"/>
      <c r="E7" s="256" t="s">
        <v>18</v>
      </c>
      <c r="F7" s="255"/>
      <c r="G7" s="256" t="s">
        <v>18</v>
      </c>
      <c r="H7" s="255"/>
      <c r="I7" s="256" t="s">
        <v>18</v>
      </c>
      <c r="J7" s="255"/>
      <c r="K7" s="257">
        <f>SUM(B7+D7+F7+H7+J7)</f>
        <v>0</v>
      </c>
    </row>
    <row r="8" spans="1:11" ht="15.75">
      <c r="A8" s="258" t="s">
        <v>213</v>
      </c>
      <c r="B8" s="259"/>
      <c r="C8" s="258" t="s">
        <v>213</v>
      </c>
      <c r="D8" s="260"/>
      <c r="E8" s="258" t="s">
        <v>213</v>
      </c>
      <c r="F8" s="244"/>
      <c r="G8" s="258" t="s">
        <v>213</v>
      </c>
      <c r="H8" s="130"/>
      <c r="I8" s="258" t="s">
        <v>213</v>
      </c>
      <c r="J8" s="130"/>
      <c r="K8" s="244"/>
    </row>
    <row r="9" spans="1:11" ht="15.75">
      <c r="A9" s="261"/>
      <c r="B9" s="255"/>
      <c r="C9" s="261"/>
      <c r="D9" s="255"/>
      <c r="E9" s="261"/>
      <c r="F9" s="255"/>
      <c r="G9" s="261"/>
      <c r="H9" s="255"/>
      <c r="I9" s="261"/>
      <c r="J9" s="255"/>
      <c r="K9" s="244"/>
    </row>
    <row r="10" spans="1:11" ht="15.75">
      <c r="A10" s="261"/>
      <c r="B10" s="255"/>
      <c r="C10" s="261"/>
      <c r="D10" s="255"/>
      <c r="E10" s="261"/>
      <c r="F10" s="255"/>
      <c r="G10" s="261"/>
      <c r="H10" s="255"/>
      <c r="I10" s="261"/>
      <c r="J10" s="255"/>
      <c r="K10" s="244"/>
    </row>
    <row r="11" spans="1:11" ht="15.75">
      <c r="A11" s="261"/>
      <c r="B11" s="255"/>
      <c r="C11" s="262"/>
      <c r="D11" s="255"/>
      <c r="E11" s="262"/>
      <c r="F11" s="255"/>
      <c r="G11" s="262"/>
      <c r="H11" s="255"/>
      <c r="I11" s="263"/>
      <c r="J11" s="255"/>
      <c r="K11" s="244"/>
    </row>
    <row r="12" spans="1:11" ht="15.75">
      <c r="A12" s="261"/>
      <c r="B12" s="255"/>
      <c r="C12" s="261"/>
      <c r="D12" s="255"/>
      <c r="E12" s="264"/>
      <c r="F12" s="255"/>
      <c r="G12" s="264"/>
      <c r="H12" s="255"/>
      <c r="I12" s="264"/>
      <c r="J12" s="255"/>
      <c r="K12" s="244"/>
    </row>
    <row r="13" spans="1:11" ht="15.75">
      <c r="A13" s="265"/>
      <c r="B13" s="255"/>
      <c r="C13" s="266"/>
      <c r="D13" s="255"/>
      <c r="E13" s="266"/>
      <c r="F13" s="255"/>
      <c r="G13" s="266"/>
      <c r="H13" s="255"/>
      <c r="I13" s="263"/>
      <c r="J13" s="255"/>
      <c r="K13" s="244"/>
    </row>
    <row r="14" spans="1:11" ht="15.75">
      <c r="A14" s="261"/>
      <c r="B14" s="255"/>
      <c r="C14" s="264"/>
      <c r="D14" s="255"/>
      <c r="E14" s="264"/>
      <c r="F14" s="255"/>
      <c r="G14" s="264"/>
      <c r="H14" s="255"/>
      <c r="I14" s="264"/>
      <c r="J14" s="255"/>
      <c r="K14" s="244"/>
    </row>
    <row r="15" spans="1:11" ht="15.75">
      <c r="A15" s="261"/>
      <c r="B15" s="255"/>
      <c r="C15" s="264"/>
      <c r="D15" s="255"/>
      <c r="E15" s="264"/>
      <c r="F15" s="255"/>
      <c r="G15" s="264"/>
      <c r="H15" s="255"/>
      <c r="I15" s="264"/>
      <c r="J15" s="255"/>
      <c r="K15" s="244"/>
    </row>
    <row r="16" spans="1:11" ht="15.75">
      <c r="A16" s="261"/>
      <c r="B16" s="255"/>
      <c r="C16" s="261"/>
      <c r="D16" s="255"/>
      <c r="E16" s="261"/>
      <c r="F16" s="255"/>
      <c r="G16" s="264"/>
      <c r="H16" s="255"/>
      <c r="I16" s="261"/>
      <c r="J16" s="255"/>
      <c r="K16" s="244"/>
    </row>
    <row r="17" spans="1:11" ht="15.75">
      <c r="A17" s="258" t="s">
        <v>110</v>
      </c>
      <c r="B17" s="257">
        <f>SUM(B9:B16)</f>
        <v>0</v>
      </c>
      <c r="C17" s="258" t="s">
        <v>110</v>
      </c>
      <c r="D17" s="257">
        <f>SUM(D9:D16)</f>
        <v>0</v>
      </c>
      <c r="E17" s="258" t="s">
        <v>110</v>
      </c>
      <c r="F17" s="321">
        <f>SUM(F9:F16)</f>
        <v>0</v>
      </c>
      <c r="G17" s="258" t="s">
        <v>110</v>
      </c>
      <c r="H17" s="257">
        <f>SUM(H9:H16)</f>
        <v>0</v>
      </c>
      <c r="I17" s="258" t="s">
        <v>110</v>
      </c>
      <c r="J17" s="257">
        <f>SUM(J9:J16)</f>
        <v>0</v>
      </c>
      <c r="K17" s="257">
        <f>SUM(B17+D17+F17+H17+J17)</f>
        <v>0</v>
      </c>
    </row>
    <row r="18" spans="1:11" ht="15.75">
      <c r="A18" s="258" t="s">
        <v>111</v>
      </c>
      <c r="B18" s="257">
        <f>SUM(B7+B17)</f>
        <v>0</v>
      </c>
      <c r="C18" s="258" t="s">
        <v>111</v>
      </c>
      <c r="D18" s="257">
        <f>SUM(D7+D17)</f>
        <v>0</v>
      </c>
      <c r="E18" s="258" t="s">
        <v>111</v>
      </c>
      <c r="F18" s="257">
        <f>SUM(F7+F17)</f>
        <v>0</v>
      </c>
      <c r="G18" s="258" t="s">
        <v>111</v>
      </c>
      <c r="H18" s="257">
        <f>SUM(H7+H17)</f>
        <v>0</v>
      </c>
      <c r="I18" s="258" t="s">
        <v>111</v>
      </c>
      <c r="J18" s="257">
        <f>SUM(J7+J17)</f>
        <v>0</v>
      </c>
      <c r="K18" s="257">
        <f>SUM(B18+D18+F18+H18+J18)</f>
        <v>0</v>
      </c>
    </row>
    <row r="19" spans="1:11" ht="15.75">
      <c r="A19" s="258" t="s">
        <v>113</v>
      </c>
      <c r="B19" s="259"/>
      <c r="C19" s="258" t="s">
        <v>113</v>
      </c>
      <c r="D19" s="260"/>
      <c r="E19" s="258" t="s">
        <v>113</v>
      </c>
      <c r="F19" s="244"/>
      <c r="G19" s="258" t="s">
        <v>113</v>
      </c>
      <c r="H19" s="130"/>
      <c r="I19" s="258" t="s">
        <v>113</v>
      </c>
      <c r="J19" s="130"/>
      <c r="K19" s="244"/>
    </row>
    <row r="20" spans="1:11" ht="15.75">
      <c r="A20" s="261"/>
      <c r="B20" s="255"/>
      <c r="C20" s="264"/>
      <c r="D20" s="255"/>
      <c r="E20" s="264"/>
      <c r="F20" s="255"/>
      <c r="G20" s="264"/>
      <c r="H20" s="255"/>
      <c r="I20" s="264"/>
      <c r="J20" s="255"/>
      <c r="K20" s="244"/>
    </row>
    <row r="21" spans="1:11" ht="15.75">
      <c r="A21" s="261"/>
      <c r="B21" s="255"/>
      <c r="C21" s="264"/>
      <c r="D21" s="255"/>
      <c r="E21" s="264"/>
      <c r="F21" s="255"/>
      <c r="G21" s="264"/>
      <c r="H21" s="255"/>
      <c r="I21" s="264"/>
      <c r="J21" s="255"/>
      <c r="K21" s="244"/>
    </row>
    <row r="22" spans="1:11" ht="15.75">
      <c r="A22" s="261"/>
      <c r="B22" s="255"/>
      <c r="C22" s="266"/>
      <c r="D22" s="255"/>
      <c r="E22" s="266"/>
      <c r="F22" s="255"/>
      <c r="G22" s="266"/>
      <c r="H22" s="255"/>
      <c r="I22" s="263"/>
      <c r="J22" s="255"/>
      <c r="K22" s="244"/>
    </row>
    <row r="23" spans="1:11" ht="15.75">
      <c r="A23" s="261"/>
      <c r="B23" s="255"/>
      <c r="C23" s="264"/>
      <c r="D23" s="255"/>
      <c r="E23" s="264"/>
      <c r="F23" s="255"/>
      <c r="G23" s="264"/>
      <c r="H23" s="255"/>
      <c r="I23" s="264"/>
      <c r="J23" s="255"/>
      <c r="K23" s="244"/>
    </row>
    <row r="24" spans="1:11" ht="15.75">
      <c r="A24" s="261"/>
      <c r="B24" s="255"/>
      <c r="C24" s="266"/>
      <c r="D24" s="255"/>
      <c r="E24" s="266"/>
      <c r="F24" s="255"/>
      <c r="G24" s="266"/>
      <c r="H24" s="255"/>
      <c r="I24" s="263"/>
      <c r="J24" s="255"/>
      <c r="K24" s="244"/>
    </row>
    <row r="25" spans="1:11" ht="15.75">
      <c r="A25" s="261"/>
      <c r="B25" s="255"/>
      <c r="C25" s="264"/>
      <c r="D25" s="255"/>
      <c r="E25" s="264"/>
      <c r="F25" s="255"/>
      <c r="G25" s="264"/>
      <c r="H25" s="255"/>
      <c r="I25" s="264"/>
      <c r="J25" s="255"/>
      <c r="K25" s="244"/>
    </row>
    <row r="26" spans="1:11" ht="15.75">
      <c r="A26" s="261"/>
      <c r="B26" s="255"/>
      <c r="C26" s="264"/>
      <c r="D26" s="255"/>
      <c r="E26" s="264"/>
      <c r="F26" s="255"/>
      <c r="G26" s="264"/>
      <c r="H26" s="255"/>
      <c r="I26" s="264"/>
      <c r="J26" s="255"/>
      <c r="K26" s="244"/>
    </row>
    <row r="27" spans="1:11" ht="15.75">
      <c r="A27" s="261"/>
      <c r="B27" s="255"/>
      <c r="C27" s="261"/>
      <c r="D27" s="255"/>
      <c r="E27" s="261"/>
      <c r="F27" s="255"/>
      <c r="G27" s="264"/>
      <c r="H27" s="255"/>
      <c r="I27" s="264"/>
      <c r="J27" s="255"/>
      <c r="K27" s="244"/>
    </row>
    <row r="28" spans="1:11" ht="15.75">
      <c r="A28" s="258" t="s">
        <v>117</v>
      </c>
      <c r="B28" s="257">
        <f>SUM(B20:B27)</f>
        <v>0</v>
      </c>
      <c r="C28" s="258" t="s">
        <v>117</v>
      </c>
      <c r="D28" s="257">
        <f>SUM(D20:D27)</f>
        <v>0</v>
      </c>
      <c r="E28" s="258" t="s">
        <v>117</v>
      </c>
      <c r="F28" s="321">
        <f>SUM(F20:F27)</f>
        <v>0</v>
      </c>
      <c r="G28" s="258" t="s">
        <v>117</v>
      </c>
      <c r="H28" s="321">
        <f>SUM(H20:H27)</f>
        <v>0</v>
      </c>
      <c r="I28" s="258" t="s">
        <v>117</v>
      </c>
      <c r="J28" s="257">
        <f>SUM(J20:J27)</f>
        <v>0</v>
      </c>
      <c r="K28" s="257">
        <f>SUM(B28+D28+F28+H28+J28)</f>
        <v>0</v>
      </c>
    </row>
    <row r="29" spans="1:12" ht="15.75">
      <c r="A29" s="258" t="s">
        <v>234</v>
      </c>
      <c r="B29" s="257">
        <f>SUM(B18-B28)</f>
        <v>0</v>
      </c>
      <c r="C29" s="258" t="s">
        <v>234</v>
      </c>
      <c r="D29" s="257">
        <f>SUM(D18-D28)</f>
        <v>0</v>
      </c>
      <c r="E29" s="258" t="s">
        <v>234</v>
      </c>
      <c r="F29" s="257">
        <f>SUM(F18-F28)</f>
        <v>0</v>
      </c>
      <c r="G29" s="258" t="s">
        <v>234</v>
      </c>
      <c r="H29" s="257">
        <f>SUM(H18-H28)</f>
        <v>0</v>
      </c>
      <c r="I29" s="258" t="s">
        <v>234</v>
      </c>
      <c r="J29" s="257">
        <f>SUM(J18-J28)</f>
        <v>0</v>
      </c>
      <c r="K29" s="267">
        <f>SUM(B29+D29+F29+H29+J29)</f>
        <v>0</v>
      </c>
      <c r="L29" s="18" t="s">
        <v>302</v>
      </c>
    </row>
    <row r="30" spans="1:12" ht="15.75">
      <c r="A30" s="258"/>
      <c r="B30" s="290">
        <f>IF(B29&lt;0,"See Tab B","")</f>
      </c>
      <c r="C30" s="258"/>
      <c r="D30" s="290">
        <f>IF(D29&lt;0,"See Tab B","")</f>
      </c>
      <c r="E30" s="258"/>
      <c r="F30" s="290">
        <f>IF(F29&lt;0,"See Tab B","")</f>
      </c>
      <c r="G30" s="130"/>
      <c r="H30" s="290">
        <f>IF(H29&lt;0,"See Tab B","")</f>
      </c>
      <c r="I30" s="130"/>
      <c r="J30" s="290">
        <f>IF(J29&lt;0,"See Tab B","")</f>
      </c>
      <c r="K30" s="267">
        <f>SUM(K7+K17-K28)</f>
        <v>0</v>
      </c>
      <c r="L30" s="18" t="s">
        <v>302</v>
      </c>
    </row>
    <row r="31" spans="1:11" ht="15.75">
      <c r="A31" s="130"/>
      <c r="B31" s="133"/>
      <c r="C31" s="130"/>
      <c r="D31" s="244"/>
      <c r="E31" s="130"/>
      <c r="F31" s="130"/>
      <c r="G31" s="28" t="s">
        <v>304</v>
      </c>
      <c r="H31" s="28"/>
      <c r="I31" s="28"/>
      <c r="J31" s="28"/>
      <c r="K31" s="130"/>
    </row>
    <row r="32" spans="1:11" ht="15.75">
      <c r="A32" s="130"/>
      <c r="B32" s="133"/>
      <c r="C32" s="130"/>
      <c r="D32" s="244"/>
      <c r="E32" s="130"/>
      <c r="F32" s="130"/>
      <c r="G32" s="130"/>
      <c r="H32" s="130"/>
      <c r="I32" s="130"/>
      <c r="J32" s="130"/>
      <c r="K32" s="130"/>
    </row>
    <row r="33" spans="1:11" ht="15.75">
      <c r="A33" s="1082" t="s">
        <v>1036</v>
      </c>
      <c r="B33" s="137"/>
      <c r="C33" s="138"/>
      <c r="D33" s="1083"/>
      <c r="E33" s="138"/>
      <c r="F33" s="138"/>
      <c r="G33" s="138"/>
      <c r="H33" s="138"/>
      <c r="I33" s="138"/>
      <c r="J33" s="138"/>
      <c r="K33" s="1084"/>
    </row>
    <row r="34" spans="1:11" ht="15.75">
      <c r="A34" s="1085"/>
      <c r="B34" s="135"/>
      <c r="C34" s="139"/>
      <c r="D34" s="1086"/>
      <c r="E34" s="139"/>
      <c r="F34" s="139"/>
      <c r="G34" s="139"/>
      <c r="H34" s="139"/>
      <c r="I34" s="139"/>
      <c r="J34" s="139"/>
      <c r="K34" s="1087"/>
    </row>
    <row r="35" spans="1:11" ht="15.75">
      <c r="A35" s="1088"/>
      <c r="B35" s="134"/>
      <c r="C35" s="82"/>
      <c r="D35" s="1089"/>
      <c r="E35" s="82"/>
      <c r="F35" s="82"/>
      <c r="G35" s="82"/>
      <c r="H35" s="82"/>
      <c r="I35" s="82"/>
      <c r="J35" s="82"/>
      <c r="K35" s="1090"/>
    </row>
    <row r="36" spans="1:11" ht="15.75">
      <c r="A36" s="130"/>
      <c r="B36" s="133"/>
      <c r="C36" s="130"/>
      <c r="D36" s="130"/>
      <c r="E36" s="130"/>
      <c r="F36" s="130"/>
      <c r="G36" s="130"/>
      <c r="H36" s="130"/>
      <c r="I36" s="130"/>
      <c r="J36" s="130"/>
      <c r="K36" s="130"/>
    </row>
    <row r="37" spans="1:11" ht="15.75">
      <c r="A37" s="130"/>
      <c r="B37" s="133"/>
      <c r="C37" s="130"/>
      <c r="D37" s="130"/>
      <c r="E37" s="136" t="s">
        <v>120</v>
      </c>
      <c r="F37" s="225"/>
      <c r="G37" s="130"/>
      <c r="H37" s="130"/>
      <c r="I37" s="130"/>
      <c r="J37" s="130"/>
      <c r="K37" s="130"/>
    </row>
    <row r="38" ht="15.75">
      <c r="B38" s="268"/>
    </row>
    <row r="39" ht="15.75">
      <c r="B39" s="268"/>
    </row>
    <row r="40" ht="15.75">
      <c r="B40" s="268"/>
    </row>
    <row r="41" ht="15.75">
      <c r="B41" s="268"/>
    </row>
    <row r="42" ht="15.75">
      <c r="B42" s="268"/>
    </row>
    <row r="43" ht="15.75">
      <c r="B43" s="268"/>
    </row>
    <row r="44" ht="15.75">
      <c r="B44" s="268"/>
    </row>
    <row r="45" ht="15.75">
      <c r="B45" s="26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B56" sqref="B56"/>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31">
        <f>inputPrYr!$D$3</f>
        <v>0</v>
      </c>
      <c r="B1" s="244"/>
      <c r="C1" s="130"/>
      <c r="D1" s="130"/>
      <c r="E1" s="130"/>
      <c r="F1" s="132" t="s">
        <v>236</v>
      </c>
      <c r="G1" s="130"/>
      <c r="H1" s="130"/>
      <c r="I1" s="130"/>
      <c r="J1" s="130"/>
      <c r="K1" s="130">
        <f>inputPrYr!$C$6</f>
        <v>0</v>
      </c>
    </row>
    <row r="2" spans="1:11" ht="15.75">
      <c r="A2" s="130"/>
      <c r="B2" s="130"/>
      <c r="C2" s="130"/>
      <c r="D2" s="130"/>
      <c r="E2" s="130"/>
      <c r="F2" s="245" t="str">
        <f>CONCATENATE("(Only the actual budget year for ",K1-2," is to be shown)")</f>
        <v>(Only the actual budget year for -2 is to be shown)</v>
      </c>
      <c r="G2" s="130"/>
      <c r="H2" s="130"/>
      <c r="I2" s="130"/>
      <c r="J2" s="130"/>
      <c r="K2" s="130"/>
    </row>
    <row r="3" spans="1:11" ht="15.75">
      <c r="A3" s="130" t="s">
        <v>268</v>
      </c>
      <c r="B3" s="130"/>
      <c r="C3" s="130"/>
      <c r="D3" s="130"/>
      <c r="E3" s="130"/>
      <c r="F3" s="244"/>
      <c r="G3" s="130"/>
      <c r="H3" s="130"/>
      <c r="I3" s="130"/>
      <c r="J3" s="130"/>
      <c r="K3" s="130"/>
    </row>
    <row r="4" spans="1:11" ht="15.75">
      <c r="A4" s="130" t="s">
        <v>228</v>
      </c>
      <c r="B4" s="130"/>
      <c r="C4" s="130" t="s">
        <v>229</v>
      </c>
      <c r="D4" s="130"/>
      <c r="E4" s="130" t="s">
        <v>230</v>
      </c>
      <c r="F4" s="244"/>
      <c r="G4" s="130" t="s">
        <v>231</v>
      </c>
      <c r="H4" s="130"/>
      <c r="I4" s="130" t="s">
        <v>232</v>
      </c>
      <c r="J4" s="130"/>
      <c r="K4" s="130"/>
    </row>
    <row r="5" spans="1:11" ht="15.75">
      <c r="A5" s="1172" t="str">
        <f>IF(inputPrYr!B76&gt;" ",(inputPrYr!B76)," ")</f>
        <v> </v>
      </c>
      <c r="B5" s="1173"/>
      <c r="C5" s="1172" t="str">
        <f>IF(inputPrYr!B77&gt;" ",(inputPrYr!B77)," ")</f>
        <v> </v>
      </c>
      <c r="D5" s="1173"/>
      <c r="E5" s="1172" t="str">
        <f>IF(inputPrYr!B78&gt;" ",(inputPrYr!B78)," ")</f>
        <v> </v>
      </c>
      <c r="F5" s="1173"/>
      <c r="G5" s="1172" t="str">
        <f>IF(inputPrYr!B79&gt;" ",(inputPrYr!B79)," ")</f>
        <v> </v>
      </c>
      <c r="H5" s="1173"/>
      <c r="I5" s="1172" t="str">
        <f>IF(inputPrYr!B80&gt;" ",(inputPrYr!B80)," ")</f>
        <v> </v>
      </c>
      <c r="J5" s="1173"/>
      <c r="K5" s="82"/>
    </row>
    <row r="6" spans="1:11" ht="15.75">
      <c r="A6" s="248" t="s">
        <v>233</v>
      </c>
      <c r="B6" s="249"/>
      <c r="C6" s="250" t="s">
        <v>233</v>
      </c>
      <c r="D6" s="251"/>
      <c r="E6" s="250" t="s">
        <v>233</v>
      </c>
      <c r="F6" s="247"/>
      <c r="G6" s="250" t="s">
        <v>233</v>
      </c>
      <c r="H6" s="252"/>
      <c r="I6" s="250" t="s">
        <v>233</v>
      </c>
      <c r="J6" s="130"/>
      <c r="K6" s="253" t="s">
        <v>74</v>
      </c>
    </row>
    <row r="7" spans="1:11" ht="15.75">
      <c r="A7" s="254" t="s">
        <v>18</v>
      </c>
      <c r="B7" s="255"/>
      <c r="C7" s="256" t="s">
        <v>18</v>
      </c>
      <c r="D7" s="255"/>
      <c r="E7" s="256" t="s">
        <v>18</v>
      </c>
      <c r="F7" s="255"/>
      <c r="G7" s="256" t="s">
        <v>18</v>
      </c>
      <c r="H7" s="255"/>
      <c r="I7" s="256" t="s">
        <v>18</v>
      </c>
      <c r="J7" s="255"/>
      <c r="K7" s="257">
        <f>SUM(B7+D7+F7+H7+J7)</f>
        <v>0</v>
      </c>
    </row>
    <row r="8" spans="1:11" ht="15.75">
      <c r="A8" s="258" t="s">
        <v>213</v>
      </c>
      <c r="B8" s="259"/>
      <c r="C8" s="258" t="s">
        <v>213</v>
      </c>
      <c r="D8" s="260"/>
      <c r="E8" s="258" t="s">
        <v>213</v>
      </c>
      <c r="F8" s="244"/>
      <c r="G8" s="258" t="s">
        <v>213</v>
      </c>
      <c r="H8" s="130"/>
      <c r="I8" s="258" t="s">
        <v>213</v>
      </c>
      <c r="J8" s="130"/>
      <c r="K8" s="244"/>
    </row>
    <row r="9" spans="1:11" ht="15.75">
      <c r="A9" s="261"/>
      <c r="B9" s="255"/>
      <c r="C9" s="261"/>
      <c r="D9" s="255"/>
      <c r="E9" s="261"/>
      <c r="F9" s="255"/>
      <c r="G9" s="261"/>
      <c r="H9" s="255"/>
      <c r="I9" s="261"/>
      <c r="J9" s="255"/>
      <c r="K9" s="244"/>
    </row>
    <row r="10" spans="1:11" ht="15.75">
      <c r="A10" s="261"/>
      <c r="B10" s="255"/>
      <c r="C10" s="261"/>
      <c r="D10" s="255"/>
      <c r="E10" s="261"/>
      <c r="F10" s="255"/>
      <c r="G10" s="261"/>
      <c r="H10" s="255"/>
      <c r="I10" s="261"/>
      <c r="J10" s="255"/>
      <c r="K10" s="244"/>
    </row>
    <row r="11" spans="1:11" ht="15.75">
      <c r="A11" s="261"/>
      <c r="B11" s="255"/>
      <c r="C11" s="262"/>
      <c r="D11" s="255"/>
      <c r="E11" s="262"/>
      <c r="F11" s="255"/>
      <c r="G11" s="262"/>
      <c r="H11" s="255"/>
      <c r="I11" s="263"/>
      <c r="J11" s="255"/>
      <c r="K11" s="244"/>
    </row>
    <row r="12" spans="1:11" ht="15.75">
      <c r="A12" s="261"/>
      <c r="B12" s="255"/>
      <c r="C12" s="261"/>
      <c r="D12" s="255"/>
      <c r="E12" s="264"/>
      <c r="F12" s="255"/>
      <c r="G12" s="264"/>
      <c r="H12" s="255"/>
      <c r="I12" s="264"/>
      <c r="J12" s="255"/>
      <c r="K12" s="244"/>
    </row>
    <row r="13" spans="1:11" ht="15.75">
      <c r="A13" s="265"/>
      <c r="B13" s="255"/>
      <c r="C13" s="266"/>
      <c r="D13" s="255"/>
      <c r="E13" s="266"/>
      <c r="F13" s="255"/>
      <c r="G13" s="266"/>
      <c r="H13" s="255"/>
      <c r="I13" s="263"/>
      <c r="J13" s="255"/>
      <c r="K13" s="244"/>
    </row>
    <row r="14" spans="1:11" ht="15.75">
      <c r="A14" s="261"/>
      <c r="B14" s="255"/>
      <c r="C14" s="264"/>
      <c r="D14" s="255"/>
      <c r="E14" s="264"/>
      <c r="F14" s="255"/>
      <c r="G14" s="264"/>
      <c r="H14" s="255"/>
      <c r="I14" s="264"/>
      <c r="J14" s="255"/>
      <c r="K14" s="244"/>
    </row>
    <row r="15" spans="1:11" ht="15.75">
      <c r="A15" s="261"/>
      <c r="B15" s="255"/>
      <c r="C15" s="264"/>
      <c r="D15" s="255"/>
      <c r="E15" s="264"/>
      <c r="F15" s="255"/>
      <c r="G15" s="264"/>
      <c r="H15" s="255"/>
      <c r="I15" s="264"/>
      <c r="J15" s="255"/>
      <c r="K15" s="244"/>
    </row>
    <row r="16" spans="1:11" ht="15.75">
      <c r="A16" s="261"/>
      <c r="B16" s="255"/>
      <c r="C16" s="261"/>
      <c r="D16" s="255"/>
      <c r="E16" s="261"/>
      <c r="F16" s="255"/>
      <c r="G16" s="264"/>
      <c r="H16" s="255"/>
      <c r="I16" s="261"/>
      <c r="J16" s="255"/>
      <c r="K16" s="244"/>
    </row>
    <row r="17" spans="1:11" ht="15.75">
      <c r="A17" s="258" t="s">
        <v>110</v>
      </c>
      <c r="B17" s="257">
        <f>SUM(B9:B16)</f>
        <v>0</v>
      </c>
      <c r="C17" s="258" t="s">
        <v>110</v>
      </c>
      <c r="D17" s="257">
        <f>SUM(D9:D16)</f>
        <v>0</v>
      </c>
      <c r="E17" s="258" t="s">
        <v>110</v>
      </c>
      <c r="F17" s="321">
        <f>SUM(F9:F16)</f>
        <v>0</v>
      </c>
      <c r="G17" s="258" t="s">
        <v>110</v>
      </c>
      <c r="H17" s="257">
        <f>SUM(H9:H16)</f>
        <v>0</v>
      </c>
      <c r="I17" s="258" t="s">
        <v>110</v>
      </c>
      <c r="J17" s="257">
        <f>SUM(J9:J16)</f>
        <v>0</v>
      </c>
      <c r="K17" s="257">
        <f>SUM(B17+D17+F17+H17+J17)</f>
        <v>0</v>
      </c>
    </row>
    <row r="18" spans="1:11" ht="15.75">
      <c r="A18" s="258" t="s">
        <v>111</v>
      </c>
      <c r="B18" s="257">
        <f>SUM(B7+B17)</f>
        <v>0</v>
      </c>
      <c r="C18" s="258" t="s">
        <v>111</v>
      </c>
      <c r="D18" s="257">
        <f>SUM(D7+D17)</f>
        <v>0</v>
      </c>
      <c r="E18" s="258" t="s">
        <v>111</v>
      </c>
      <c r="F18" s="257">
        <f>SUM(F7+F17)</f>
        <v>0</v>
      </c>
      <c r="G18" s="258" t="s">
        <v>111</v>
      </c>
      <c r="H18" s="257">
        <f>SUM(H7+H17)</f>
        <v>0</v>
      </c>
      <c r="I18" s="258" t="s">
        <v>111</v>
      </c>
      <c r="J18" s="257">
        <f>SUM(J7+J17)</f>
        <v>0</v>
      </c>
      <c r="K18" s="257">
        <f>SUM(B18+D18+F18+H18+J18)</f>
        <v>0</v>
      </c>
    </row>
    <row r="19" spans="1:11" ht="15.75">
      <c r="A19" s="258" t="s">
        <v>113</v>
      </c>
      <c r="B19" s="259"/>
      <c r="C19" s="258" t="s">
        <v>113</v>
      </c>
      <c r="D19" s="260"/>
      <c r="E19" s="258" t="s">
        <v>113</v>
      </c>
      <c r="F19" s="244"/>
      <c r="G19" s="258" t="s">
        <v>113</v>
      </c>
      <c r="H19" s="130"/>
      <c r="I19" s="258" t="s">
        <v>113</v>
      </c>
      <c r="J19" s="130"/>
      <c r="K19" s="244"/>
    </row>
    <row r="20" spans="1:11" ht="15.75">
      <c r="A20" s="261"/>
      <c r="B20" s="255"/>
      <c r="C20" s="264"/>
      <c r="D20" s="255"/>
      <c r="E20" s="264"/>
      <c r="F20" s="255"/>
      <c r="G20" s="264"/>
      <c r="H20" s="255"/>
      <c r="I20" s="264"/>
      <c r="J20" s="255"/>
      <c r="K20" s="244"/>
    </row>
    <row r="21" spans="1:11" ht="15.75">
      <c r="A21" s="261"/>
      <c r="B21" s="255"/>
      <c r="C21" s="264"/>
      <c r="D21" s="255"/>
      <c r="E21" s="264"/>
      <c r="F21" s="255"/>
      <c r="G21" s="264"/>
      <c r="H21" s="255"/>
      <c r="I21" s="264"/>
      <c r="J21" s="255"/>
      <c r="K21" s="244"/>
    </row>
    <row r="22" spans="1:11" ht="15.75">
      <c r="A22" s="261"/>
      <c r="B22" s="255"/>
      <c r="C22" s="266"/>
      <c r="D22" s="255"/>
      <c r="E22" s="266"/>
      <c r="F22" s="255"/>
      <c r="G22" s="266"/>
      <c r="H22" s="255"/>
      <c r="I22" s="263"/>
      <c r="J22" s="255"/>
      <c r="K22" s="244"/>
    </row>
    <row r="23" spans="1:11" ht="15.75">
      <c r="A23" s="261"/>
      <c r="B23" s="255"/>
      <c r="C23" s="264"/>
      <c r="D23" s="255"/>
      <c r="E23" s="264"/>
      <c r="F23" s="255"/>
      <c r="G23" s="264"/>
      <c r="H23" s="255"/>
      <c r="I23" s="264"/>
      <c r="J23" s="255"/>
      <c r="K23" s="244"/>
    </row>
    <row r="24" spans="1:11" ht="15.75">
      <c r="A24" s="261"/>
      <c r="B24" s="255"/>
      <c r="C24" s="266"/>
      <c r="D24" s="255"/>
      <c r="E24" s="266"/>
      <c r="F24" s="255"/>
      <c r="G24" s="266"/>
      <c r="H24" s="255"/>
      <c r="I24" s="263"/>
      <c r="J24" s="255"/>
      <c r="K24" s="244"/>
    </row>
    <row r="25" spans="1:11" ht="15.75">
      <c r="A25" s="261"/>
      <c r="B25" s="255"/>
      <c r="C25" s="264"/>
      <c r="D25" s="255"/>
      <c r="E25" s="264"/>
      <c r="F25" s="255"/>
      <c r="G25" s="264"/>
      <c r="H25" s="255"/>
      <c r="I25" s="264"/>
      <c r="J25" s="255"/>
      <c r="K25" s="244"/>
    </row>
    <row r="26" spans="1:11" ht="15.75">
      <c r="A26" s="261"/>
      <c r="B26" s="255"/>
      <c r="C26" s="264"/>
      <c r="D26" s="255"/>
      <c r="E26" s="264"/>
      <c r="F26" s="255"/>
      <c r="G26" s="264"/>
      <c r="H26" s="255"/>
      <c r="I26" s="264"/>
      <c r="J26" s="255"/>
      <c r="K26" s="244"/>
    </row>
    <row r="27" spans="1:11" ht="15.75">
      <c r="A27" s="261"/>
      <c r="B27" s="255"/>
      <c r="C27" s="261"/>
      <c r="D27" s="255"/>
      <c r="E27" s="261"/>
      <c r="F27" s="255"/>
      <c r="G27" s="264"/>
      <c r="H27" s="255"/>
      <c r="I27" s="264"/>
      <c r="J27" s="255"/>
      <c r="K27" s="244"/>
    </row>
    <row r="28" spans="1:11" ht="15.75">
      <c r="A28" s="258" t="s">
        <v>117</v>
      </c>
      <c r="B28" s="257">
        <f>SUM(B20:B27)</f>
        <v>0</v>
      </c>
      <c r="C28" s="258" t="s">
        <v>117</v>
      </c>
      <c r="D28" s="257">
        <f>SUM(D20:D27)</f>
        <v>0</v>
      </c>
      <c r="E28" s="258" t="s">
        <v>117</v>
      </c>
      <c r="F28" s="321">
        <f>SUM(F20:F27)</f>
        <v>0</v>
      </c>
      <c r="G28" s="258" t="s">
        <v>117</v>
      </c>
      <c r="H28" s="321">
        <f>SUM(H20:H27)</f>
        <v>0</v>
      </c>
      <c r="I28" s="258" t="s">
        <v>117</v>
      </c>
      <c r="J28" s="257">
        <f>SUM(J20:J27)</f>
        <v>0</v>
      </c>
      <c r="K28" s="257">
        <f>SUM(B28+D28+F28+H28+J28)</f>
        <v>0</v>
      </c>
    </row>
    <row r="29" spans="1:12" ht="15.75">
      <c r="A29" s="258" t="s">
        <v>234</v>
      </c>
      <c r="B29" s="257">
        <f>SUM(B18-B28)</f>
        <v>0</v>
      </c>
      <c r="C29" s="258" t="s">
        <v>234</v>
      </c>
      <c r="D29" s="257">
        <f>SUM(D18-D28)</f>
        <v>0</v>
      </c>
      <c r="E29" s="258" t="s">
        <v>234</v>
      </c>
      <c r="F29" s="257">
        <f>SUM(F18-F28)</f>
        <v>0</v>
      </c>
      <c r="G29" s="258" t="s">
        <v>234</v>
      </c>
      <c r="H29" s="257">
        <f>SUM(H18-H28)</f>
        <v>0</v>
      </c>
      <c r="I29" s="258" t="s">
        <v>234</v>
      </c>
      <c r="J29" s="257">
        <f>SUM(J18-J28)</f>
        <v>0</v>
      </c>
      <c r="K29" s="267">
        <f>SUM(B29+D29+F29+H29+J29)</f>
        <v>0</v>
      </c>
      <c r="L29" s="18" t="s">
        <v>302</v>
      </c>
    </row>
    <row r="30" spans="1:12" ht="15.75">
      <c r="A30" s="258"/>
      <c r="B30" s="290">
        <f>IF(B29&lt;0,"See Tab B","")</f>
      </c>
      <c r="C30" s="258"/>
      <c r="D30" s="290">
        <f>IF(D29&lt;0,"See Tab B","")</f>
      </c>
      <c r="E30" s="258"/>
      <c r="F30" s="290">
        <f>IF(F29&lt;0,"See Tab B","")</f>
      </c>
      <c r="G30" s="130"/>
      <c r="H30" s="290">
        <f>IF(H29&lt;0,"See Tab B","")</f>
      </c>
      <c r="I30" s="130"/>
      <c r="J30" s="290">
        <f>IF(J29&lt;0,"See Tab B","")</f>
      </c>
      <c r="K30" s="267">
        <f>SUM(K7+K17-K28)</f>
        <v>0</v>
      </c>
      <c r="L30" s="18" t="s">
        <v>302</v>
      </c>
    </row>
    <row r="31" spans="1:11" ht="15.75">
      <c r="A31" s="130"/>
      <c r="B31" s="133"/>
      <c r="C31" s="130"/>
      <c r="D31" s="244"/>
      <c r="E31" s="130"/>
      <c r="F31" s="130"/>
      <c r="G31" s="28" t="s">
        <v>304</v>
      </c>
      <c r="H31" s="28"/>
      <c r="I31" s="28"/>
      <c r="J31" s="28"/>
      <c r="K31" s="130"/>
    </row>
    <row r="32" spans="1:11" ht="15.75">
      <c r="A32" s="130"/>
      <c r="B32" s="133"/>
      <c r="C32" s="130"/>
      <c r="D32" s="130"/>
      <c r="E32" s="130"/>
      <c r="F32" s="130"/>
      <c r="G32" s="130"/>
      <c r="H32" s="130"/>
      <c r="I32" s="130"/>
      <c r="J32" s="130"/>
      <c r="K32" s="130"/>
    </row>
    <row r="33" spans="1:11" ht="15.75">
      <c r="A33" s="1082" t="s">
        <v>1036</v>
      </c>
      <c r="B33" s="137"/>
      <c r="C33" s="138"/>
      <c r="D33" s="138"/>
      <c r="E33" s="138"/>
      <c r="F33" s="138"/>
      <c r="G33" s="138"/>
      <c r="H33" s="138"/>
      <c r="I33" s="138"/>
      <c r="J33" s="138"/>
      <c r="K33" s="1084"/>
    </row>
    <row r="34" spans="1:11" ht="15.75">
      <c r="A34" s="1085"/>
      <c r="B34" s="135"/>
      <c r="C34" s="139"/>
      <c r="D34" s="139"/>
      <c r="E34" s="139"/>
      <c r="F34" s="139"/>
      <c r="G34" s="139"/>
      <c r="H34" s="139"/>
      <c r="I34" s="139"/>
      <c r="J34" s="139"/>
      <c r="K34" s="1087"/>
    </row>
    <row r="35" spans="1:11" ht="15.75">
      <c r="A35" s="1088"/>
      <c r="B35" s="134"/>
      <c r="C35" s="82"/>
      <c r="D35" s="82"/>
      <c r="E35" s="82"/>
      <c r="F35" s="82"/>
      <c r="G35" s="82"/>
      <c r="H35" s="82"/>
      <c r="I35" s="82"/>
      <c r="J35" s="82"/>
      <c r="K35" s="1090"/>
    </row>
    <row r="36" spans="1:11" ht="15.75">
      <c r="A36" s="130"/>
      <c r="B36" s="133"/>
      <c r="C36" s="130"/>
      <c r="D36" s="130"/>
      <c r="E36" s="130"/>
      <c r="F36" s="130"/>
      <c r="G36" s="130"/>
      <c r="H36" s="130"/>
      <c r="I36" s="130"/>
      <c r="J36" s="130"/>
      <c r="K36" s="130"/>
    </row>
    <row r="37" spans="1:11" ht="15.75">
      <c r="A37" s="130"/>
      <c r="B37" s="133"/>
      <c r="C37" s="130"/>
      <c r="D37" s="130"/>
      <c r="E37" s="136" t="s">
        <v>120</v>
      </c>
      <c r="F37" s="225"/>
      <c r="G37" s="130"/>
      <c r="H37" s="130"/>
      <c r="I37" s="130"/>
      <c r="J37" s="130"/>
      <c r="K37" s="130"/>
    </row>
    <row r="38" ht="15.75">
      <c r="B38" s="268"/>
    </row>
    <row r="39" ht="15.75">
      <c r="B39" s="268"/>
    </row>
    <row r="40" ht="15.75">
      <c r="B40" s="268"/>
    </row>
    <row r="41" ht="15.75">
      <c r="B41" s="268"/>
    </row>
    <row r="42" ht="15.75">
      <c r="B42" s="268"/>
    </row>
    <row r="43" ht="15.75">
      <c r="B43" s="268"/>
    </row>
    <row r="44" ht="15.75">
      <c r="B44" s="268"/>
    </row>
    <row r="45" ht="15.75">
      <c r="B45" s="26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S72" sqref="S72"/>
    </sheetView>
  </sheetViews>
  <sheetFormatPr defaultColWidth="8.796875" defaultRowHeight="15"/>
  <cols>
    <col min="1" max="1" width="13.796875" style="0" customWidth="1"/>
    <col min="2" max="2" width="16.09765625" style="0" customWidth="1"/>
  </cols>
  <sheetData>
    <row r="1" ht="15">
      <c r="J1" s="532" t="s">
        <v>787</v>
      </c>
    </row>
    <row r="2" spans="1:10" ht="54" customHeight="1">
      <c r="A2" s="1111" t="s">
        <v>382</v>
      </c>
      <c r="B2" s="1112"/>
      <c r="C2" s="1112"/>
      <c r="D2" s="1112"/>
      <c r="E2" s="1112"/>
      <c r="F2" s="1112"/>
      <c r="J2" s="532" t="s">
        <v>788</v>
      </c>
    </row>
    <row r="3" spans="1:10" ht="15.75">
      <c r="A3" s="1" t="s">
        <v>789</v>
      </c>
      <c r="B3" s="839"/>
      <c r="C3" s="840"/>
      <c r="J3" s="532" t="s">
        <v>790</v>
      </c>
    </row>
    <row r="4" spans="1:10" ht="15.75">
      <c r="A4" s="1"/>
      <c r="B4" s="531"/>
      <c r="J4" s="532" t="s">
        <v>791</v>
      </c>
    </row>
    <row r="5" spans="1:10" ht="15.75">
      <c r="A5" s="1" t="s">
        <v>761</v>
      </c>
      <c r="B5" s="841"/>
      <c r="J5" s="532" t="s">
        <v>792</v>
      </c>
    </row>
    <row r="6" spans="1:10" ht="15.75">
      <c r="A6" s="297"/>
      <c r="B6" s="297"/>
      <c r="C6" s="297"/>
      <c r="D6" s="298" t="s">
        <v>793</v>
      </c>
      <c r="E6" s="297"/>
      <c r="F6" s="297"/>
      <c r="J6" s="532" t="s">
        <v>794</v>
      </c>
    </row>
    <row r="7" spans="1:10" ht="15.75">
      <c r="A7" s="298" t="s">
        <v>383</v>
      </c>
      <c r="B7" s="841"/>
      <c r="C7" s="299"/>
      <c r="D7" s="298">
        <f>IF(B7="","",CONCATENATE("Latest date for notice to be published in your newspaper: ",G18," ",G22,", ",G23))</f>
      </c>
      <c r="E7" s="297"/>
      <c r="F7" s="297"/>
      <c r="J7" s="532" t="s">
        <v>795</v>
      </c>
    </row>
    <row r="8" spans="1:10" ht="15.75">
      <c r="A8" s="298"/>
      <c r="B8" s="300"/>
      <c r="C8" s="301"/>
      <c r="D8" s="298"/>
      <c r="E8" s="297"/>
      <c r="F8" s="297"/>
      <c r="J8" s="532" t="s">
        <v>796</v>
      </c>
    </row>
    <row r="9" spans="1:10" ht="15.75">
      <c r="A9" s="298" t="s">
        <v>384</v>
      </c>
      <c r="B9" s="841"/>
      <c r="C9" s="302"/>
      <c r="D9" s="298"/>
      <c r="E9" s="297"/>
      <c r="F9" s="297"/>
      <c r="J9" s="532" t="s">
        <v>797</v>
      </c>
    </row>
    <row r="10" spans="1:10" ht="15.75">
      <c r="A10" s="298"/>
      <c r="B10" s="298"/>
      <c r="C10" s="298"/>
      <c r="D10" s="298"/>
      <c r="E10" s="297"/>
      <c r="F10" s="297"/>
      <c r="J10" s="532" t="s">
        <v>798</v>
      </c>
    </row>
    <row r="11" spans="1:10" ht="15.75">
      <c r="A11" s="298" t="s">
        <v>385</v>
      </c>
      <c r="B11" s="842"/>
      <c r="C11" s="843"/>
      <c r="D11" s="843"/>
      <c r="E11" s="844"/>
      <c r="F11" s="297"/>
      <c r="J11" s="532" t="s">
        <v>799</v>
      </c>
    </row>
    <row r="12" spans="1:10" ht="15.75">
      <c r="A12" s="298"/>
      <c r="B12" s="298"/>
      <c r="C12" s="298"/>
      <c r="D12" s="298"/>
      <c r="E12" s="297"/>
      <c r="F12" s="297"/>
      <c r="J12" s="532" t="s">
        <v>800</v>
      </c>
    </row>
    <row r="13" spans="1:6" ht="15.75">
      <c r="A13" s="298"/>
      <c r="B13" s="298"/>
      <c r="C13" s="298"/>
      <c r="D13" s="298"/>
      <c r="E13" s="297"/>
      <c r="F13" s="297"/>
    </row>
    <row r="14" spans="1:6" ht="15.75">
      <c r="A14" s="298" t="s">
        <v>386</v>
      </c>
      <c r="B14" s="842"/>
      <c r="C14" s="843"/>
      <c r="D14" s="843"/>
      <c r="E14" s="844"/>
      <c r="F14" s="297"/>
    </row>
    <row r="17" spans="1:6" ht="15.75">
      <c r="A17" s="1113" t="s">
        <v>387</v>
      </c>
      <c r="B17" s="1113"/>
      <c r="C17" s="298"/>
      <c r="D17" s="298"/>
      <c r="E17" s="298"/>
      <c r="F17" s="297"/>
    </row>
    <row r="18" spans="1:7" ht="15.75">
      <c r="A18" s="298"/>
      <c r="B18" s="298"/>
      <c r="C18" s="298"/>
      <c r="D18" s="298"/>
      <c r="E18" s="298"/>
      <c r="F18" s="297"/>
      <c r="G18" s="532">
        <f ca="1">IF(B7="","",INDIRECT(G19))</f>
      </c>
    </row>
    <row r="19" spans="1:7" ht="15.75">
      <c r="A19" s="298" t="s">
        <v>761</v>
      </c>
      <c r="B19" s="298" t="s">
        <v>762</v>
      </c>
      <c r="C19" s="298"/>
      <c r="D19" s="298"/>
      <c r="E19" s="298"/>
      <c r="F19" s="297"/>
      <c r="G19" s="533">
        <f>IF(B7="","",CONCATENATE("J",G21))</f>
      </c>
    </row>
    <row r="20" spans="1:7" ht="15.75">
      <c r="A20" s="298"/>
      <c r="B20" s="298"/>
      <c r="C20" s="298"/>
      <c r="D20" s="298"/>
      <c r="E20" s="298"/>
      <c r="F20" s="297"/>
      <c r="G20" s="534">
        <f>B7-10</f>
        <v>-10</v>
      </c>
    </row>
    <row r="21" spans="1:7" ht="15.75">
      <c r="A21" s="298" t="s">
        <v>383</v>
      </c>
      <c r="B21" s="300" t="s">
        <v>388</v>
      </c>
      <c r="C21" s="298"/>
      <c r="D21" s="298"/>
      <c r="E21" s="298"/>
      <c r="G21" s="535">
        <f>IF(B7="","",MONTH(G20))</f>
      </c>
    </row>
    <row r="22" spans="1:7" ht="15.75">
      <c r="A22" s="298"/>
      <c r="B22" s="298"/>
      <c r="C22" s="298"/>
      <c r="D22" s="298"/>
      <c r="E22" s="298"/>
      <c r="G22" s="536">
        <f>IF(B7="","",DAY(G20))</f>
      </c>
    </row>
    <row r="23" spans="1:7" ht="15.75">
      <c r="A23" s="298" t="s">
        <v>384</v>
      </c>
      <c r="B23" s="298" t="s">
        <v>389</v>
      </c>
      <c r="C23" s="298"/>
      <c r="D23" s="298"/>
      <c r="E23" s="298"/>
      <c r="G23" s="537">
        <f>IF(B7="","",YEAR(G20))</f>
      </c>
    </row>
    <row r="24" spans="1:5" ht="15.75">
      <c r="A24" s="298"/>
      <c r="B24" s="298"/>
      <c r="C24" s="298"/>
      <c r="D24" s="298"/>
      <c r="E24" s="298"/>
    </row>
    <row r="25" spans="1:5" ht="15.75">
      <c r="A25" s="298" t="s">
        <v>385</v>
      </c>
      <c r="B25" s="298" t="s">
        <v>390</v>
      </c>
      <c r="C25" s="298"/>
      <c r="D25" s="298"/>
      <c r="E25" s="298"/>
    </row>
    <row r="26" spans="1:5" ht="15.75">
      <c r="A26" s="298"/>
      <c r="B26" s="298"/>
      <c r="C26" s="298"/>
      <c r="D26" s="298"/>
      <c r="E26" s="298"/>
    </row>
    <row r="27" spans="1:5" ht="15.75">
      <c r="A27" s="298" t="s">
        <v>386</v>
      </c>
      <c r="B27" s="298" t="s">
        <v>390</v>
      </c>
      <c r="C27" s="298"/>
      <c r="D27" s="298"/>
      <c r="E27" s="29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56" sqref="A56"/>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31">
        <f>inputPrYr!$D$3</f>
        <v>0</v>
      </c>
      <c r="B1" s="244"/>
      <c r="C1" s="130"/>
      <c r="D1" s="130"/>
      <c r="E1" s="130"/>
      <c r="F1" s="132" t="s">
        <v>237</v>
      </c>
      <c r="G1" s="130"/>
      <c r="H1" s="130"/>
      <c r="I1" s="130"/>
      <c r="J1" s="130"/>
      <c r="K1" s="130">
        <f>inputPrYr!$C$6</f>
        <v>0</v>
      </c>
    </row>
    <row r="2" spans="1:11" ht="15.75">
      <c r="A2" s="130"/>
      <c r="B2" s="130"/>
      <c r="C2" s="130"/>
      <c r="D2" s="130"/>
      <c r="E2" s="130"/>
      <c r="F2" s="245" t="str">
        <f>CONCATENATE("(Only the actual budget year for ",K1-2," is to be shown)")</f>
        <v>(Only the actual budget year for -2 is to be shown)</v>
      </c>
      <c r="G2" s="130"/>
      <c r="H2" s="130"/>
      <c r="I2" s="130"/>
      <c r="J2" s="130"/>
      <c r="K2" s="130"/>
    </row>
    <row r="3" spans="1:11" ht="15.75">
      <c r="A3" s="130" t="s">
        <v>269</v>
      </c>
      <c r="B3" s="130"/>
      <c r="C3" s="130"/>
      <c r="D3" s="130"/>
      <c r="E3" s="130"/>
      <c r="F3" s="244"/>
      <c r="G3" s="130"/>
      <c r="H3" s="130"/>
      <c r="I3" s="130"/>
      <c r="J3" s="130"/>
      <c r="K3" s="130"/>
    </row>
    <row r="4" spans="1:11" ht="15.75">
      <c r="A4" s="130" t="s">
        <v>228</v>
      </c>
      <c r="B4" s="130"/>
      <c r="C4" s="130" t="s">
        <v>229</v>
      </c>
      <c r="D4" s="130"/>
      <c r="E4" s="130" t="s">
        <v>230</v>
      </c>
      <c r="F4" s="244"/>
      <c r="G4" s="130" t="s">
        <v>231</v>
      </c>
      <c r="H4" s="130"/>
      <c r="I4" s="130" t="s">
        <v>232</v>
      </c>
      <c r="J4" s="130"/>
      <c r="K4" s="130"/>
    </row>
    <row r="5" spans="1:11" ht="15.75">
      <c r="A5" s="1172" t="str">
        <f>IF(inputPrYr!B82&gt;" ",(inputPrYr!B82)," ")</f>
        <v> </v>
      </c>
      <c r="B5" s="1173"/>
      <c r="C5" s="1172" t="str">
        <f>IF(inputPrYr!B83&gt;" ",(inputPrYr!B83)," ")</f>
        <v> </v>
      </c>
      <c r="D5" s="1173"/>
      <c r="E5" s="1172" t="str">
        <f>IF(inputPrYr!B84&gt;" ",(inputPrYr!B84)," ")</f>
        <v> </v>
      </c>
      <c r="F5" s="1173"/>
      <c r="G5" s="1172" t="str">
        <f>IF(inputPrYr!B85&gt;" ",(inputPrYr!B85)," ")</f>
        <v> </v>
      </c>
      <c r="H5" s="1173"/>
      <c r="I5" s="1172" t="str">
        <f>IF(inputPrYr!B86&gt;" ",(inputPrYr!B86)," ")</f>
        <v> </v>
      </c>
      <c r="J5" s="1173"/>
      <c r="K5" s="82"/>
    </row>
    <row r="6" spans="1:11" ht="15.75">
      <c r="A6" s="248" t="s">
        <v>233</v>
      </c>
      <c r="B6" s="249"/>
      <c r="C6" s="250" t="s">
        <v>233</v>
      </c>
      <c r="D6" s="251"/>
      <c r="E6" s="250" t="s">
        <v>233</v>
      </c>
      <c r="F6" s="247"/>
      <c r="G6" s="250" t="s">
        <v>233</v>
      </c>
      <c r="H6" s="252"/>
      <c r="I6" s="250" t="s">
        <v>233</v>
      </c>
      <c r="J6" s="130"/>
      <c r="K6" s="253" t="s">
        <v>74</v>
      </c>
    </row>
    <row r="7" spans="1:11" ht="15.75">
      <c r="A7" s="254" t="s">
        <v>18</v>
      </c>
      <c r="B7" s="255"/>
      <c r="C7" s="256" t="s">
        <v>18</v>
      </c>
      <c r="D7" s="255"/>
      <c r="E7" s="256" t="s">
        <v>18</v>
      </c>
      <c r="F7" s="255"/>
      <c r="G7" s="256" t="s">
        <v>18</v>
      </c>
      <c r="H7" s="255"/>
      <c r="I7" s="256" t="s">
        <v>18</v>
      </c>
      <c r="J7" s="255"/>
      <c r="K7" s="257">
        <f>SUM(B7+D7+F7+H7+J7)</f>
        <v>0</v>
      </c>
    </row>
    <row r="8" spans="1:11" ht="15.75">
      <c r="A8" s="258" t="s">
        <v>213</v>
      </c>
      <c r="B8" s="259"/>
      <c r="C8" s="258" t="s">
        <v>213</v>
      </c>
      <c r="D8" s="260"/>
      <c r="E8" s="258" t="s">
        <v>213</v>
      </c>
      <c r="F8" s="244"/>
      <c r="G8" s="258" t="s">
        <v>213</v>
      </c>
      <c r="H8" s="130"/>
      <c r="I8" s="258" t="s">
        <v>213</v>
      </c>
      <c r="J8" s="130"/>
      <c r="K8" s="244"/>
    </row>
    <row r="9" spans="1:11" ht="15.75">
      <c r="A9" s="261"/>
      <c r="B9" s="255"/>
      <c r="C9" s="261"/>
      <c r="D9" s="255"/>
      <c r="E9" s="261"/>
      <c r="F9" s="255"/>
      <c r="G9" s="261"/>
      <c r="H9" s="255"/>
      <c r="I9" s="261"/>
      <c r="J9" s="255"/>
      <c r="K9" s="244"/>
    </row>
    <row r="10" spans="1:11" ht="15.75">
      <c r="A10" s="261"/>
      <c r="B10" s="255"/>
      <c r="C10" s="261"/>
      <c r="D10" s="255"/>
      <c r="E10" s="261"/>
      <c r="F10" s="255"/>
      <c r="G10" s="261"/>
      <c r="H10" s="255"/>
      <c r="I10" s="261"/>
      <c r="J10" s="255"/>
      <c r="K10" s="244"/>
    </row>
    <row r="11" spans="1:11" ht="15.75">
      <c r="A11" s="261"/>
      <c r="B11" s="255"/>
      <c r="C11" s="262"/>
      <c r="D11" s="255"/>
      <c r="E11" s="262"/>
      <c r="F11" s="255"/>
      <c r="G11" s="262"/>
      <c r="H11" s="255"/>
      <c r="I11" s="263"/>
      <c r="J11" s="255"/>
      <c r="K11" s="244"/>
    </row>
    <row r="12" spans="1:11" ht="15.75">
      <c r="A12" s="261"/>
      <c r="B12" s="255"/>
      <c r="C12" s="261"/>
      <c r="D12" s="255"/>
      <c r="E12" s="264"/>
      <c r="F12" s="255"/>
      <c r="G12" s="264"/>
      <c r="H12" s="255"/>
      <c r="I12" s="264"/>
      <c r="J12" s="255"/>
      <c r="K12" s="244"/>
    </row>
    <row r="13" spans="1:11" ht="15.75">
      <c r="A13" s="265"/>
      <c r="B13" s="255"/>
      <c r="C13" s="266"/>
      <c r="D13" s="255"/>
      <c r="E13" s="266"/>
      <c r="F13" s="255"/>
      <c r="G13" s="266"/>
      <c r="H13" s="255"/>
      <c r="I13" s="263"/>
      <c r="J13" s="255"/>
      <c r="K13" s="244"/>
    </row>
    <row r="14" spans="1:11" ht="15.75">
      <c r="A14" s="261"/>
      <c r="B14" s="255"/>
      <c r="C14" s="264"/>
      <c r="D14" s="255"/>
      <c r="E14" s="264"/>
      <c r="F14" s="255"/>
      <c r="G14" s="264"/>
      <c r="H14" s="255"/>
      <c r="I14" s="264"/>
      <c r="J14" s="255"/>
      <c r="K14" s="244"/>
    </row>
    <row r="15" spans="1:11" ht="15.75">
      <c r="A15" s="261"/>
      <c r="B15" s="255"/>
      <c r="C15" s="264"/>
      <c r="D15" s="255"/>
      <c r="E15" s="264"/>
      <c r="F15" s="255"/>
      <c r="G15" s="264"/>
      <c r="H15" s="255"/>
      <c r="I15" s="264"/>
      <c r="J15" s="255"/>
      <c r="K15" s="244"/>
    </row>
    <row r="16" spans="1:11" ht="15.75">
      <c r="A16" s="261"/>
      <c r="B16" s="255"/>
      <c r="C16" s="261"/>
      <c r="D16" s="255"/>
      <c r="E16" s="261"/>
      <c r="F16" s="255"/>
      <c r="G16" s="264"/>
      <c r="H16" s="255"/>
      <c r="I16" s="261"/>
      <c r="J16" s="255"/>
      <c r="K16" s="244"/>
    </row>
    <row r="17" spans="1:11" ht="15.75">
      <c r="A17" s="258" t="s">
        <v>110</v>
      </c>
      <c r="B17" s="257">
        <f>SUM(B9:B16)</f>
        <v>0</v>
      </c>
      <c r="C17" s="258" t="s">
        <v>110</v>
      </c>
      <c r="D17" s="257">
        <f>SUM(D9:D16)</f>
        <v>0</v>
      </c>
      <c r="E17" s="258" t="s">
        <v>110</v>
      </c>
      <c r="F17" s="321">
        <f>SUM(F9:F16)</f>
        <v>0</v>
      </c>
      <c r="G17" s="258" t="s">
        <v>110</v>
      </c>
      <c r="H17" s="257">
        <f>SUM(H9:H16)</f>
        <v>0</v>
      </c>
      <c r="I17" s="258" t="s">
        <v>110</v>
      </c>
      <c r="J17" s="257">
        <f>SUM(J9:J16)</f>
        <v>0</v>
      </c>
      <c r="K17" s="257">
        <f>SUM(B17+D17+F17+H17+J17)</f>
        <v>0</v>
      </c>
    </row>
    <row r="18" spans="1:11" ht="15.75">
      <c r="A18" s="258" t="s">
        <v>111</v>
      </c>
      <c r="B18" s="257">
        <f>SUM(B7+B17)</f>
        <v>0</v>
      </c>
      <c r="C18" s="258" t="s">
        <v>111</v>
      </c>
      <c r="D18" s="257">
        <f>SUM(D7+D17)</f>
        <v>0</v>
      </c>
      <c r="E18" s="258" t="s">
        <v>111</v>
      </c>
      <c r="F18" s="257">
        <f>SUM(F7+F17)</f>
        <v>0</v>
      </c>
      <c r="G18" s="258" t="s">
        <v>111</v>
      </c>
      <c r="H18" s="257">
        <f>SUM(H7+H17)</f>
        <v>0</v>
      </c>
      <c r="I18" s="258" t="s">
        <v>111</v>
      </c>
      <c r="J18" s="257">
        <f>SUM(J7+J17)</f>
        <v>0</v>
      </c>
      <c r="K18" s="257">
        <f>SUM(B18+D18+F18+H18+J18)</f>
        <v>0</v>
      </c>
    </row>
    <row r="19" spans="1:11" ht="15.75">
      <c r="A19" s="258" t="s">
        <v>113</v>
      </c>
      <c r="B19" s="259"/>
      <c r="C19" s="258" t="s">
        <v>113</v>
      </c>
      <c r="D19" s="260"/>
      <c r="E19" s="258" t="s">
        <v>113</v>
      </c>
      <c r="F19" s="244"/>
      <c r="G19" s="258" t="s">
        <v>113</v>
      </c>
      <c r="H19" s="130"/>
      <c r="I19" s="258" t="s">
        <v>113</v>
      </c>
      <c r="J19" s="130"/>
      <c r="K19" s="244"/>
    </row>
    <row r="20" spans="1:11" ht="15.75">
      <c r="A20" s="261"/>
      <c r="B20" s="255"/>
      <c r="C20" s="264"/>
      <c r="D20" s="255"/>
      <c r="E20" s="264"/>
      <c r="F20" s="255"/>
      <c r="G20" s="264"/>
      <c r="H20" s="255"/>
      <c r="I20" s="264"/>
      <c r="J20" s="255"/>
      <c r="K20" s="244"/>
    </row>
    <row r="21" spans="1:11" ht="15.75">
      <c r="A21" s="261"/>
      <c r="B21" s="255"/>
      <c r="C21" s="264"/>
      <c r="D21" s="255"/>
      <c r="E21" s="264"/>
      <c r="F21" s="255"/>
      <c r="G21" s="264"/>
      <c r="H21" s="255"/>
      <c r="I21" s="264"/>
      <c r="J21" s="255"/>
      <c r="K21" s="244"/>
    </row>
    <row r="22" spans="1:11" ht="15.75">
      <c r="A22" s="261"/>
      <c r="B22" s="255"/>
      <c r="C22" s="266"/>
      <c r="D22" s="255"/>
      <c r="E22" s="266"/>
      <c r="F22" s="255"/>
      <c r="G22" s="266"/>
      <c r="H22" s="255"/>
      <c r="I22" s="263"/>
      <c r="J22" s="255"/>
      <c r="K22" s="244"/>
    </row>
    <row r="23" spans="1:11" ht="15.75">
      <c r="A23" s="261"/>
      <c r="B23" s="255"/>
      <c r="C23" s="264"/>
      <c r="D23" s="255"/>
      <c r="E23" s="264"/>
      <c r="F23" s="255"/>
      <c r="G23" s="264"/>
      <c r="H23" s="255"/>
      <c r="I23" s="264"/>
      <c r="J23" s="255"/>
      <c r="K23" s="244"/>
    </row>
    <row r="24" spans="1:11" ht="15.75">
      <c r="A24" s="261"/>
      <c r="B24" s="255"/>
      <c r="C24" s="266"/>
      <c r="D24" s="255"/>
      <c r="E24" s="266"/>
      <c r="F24" s="255"/>
      <c r="G24" s="266"/>
      <c r="H24" s="255"/>
      <c r="I24" s="263"/>
      <c r="J24" s="255"/>
      <c r="K24" s="244"/>
    </row>
    <row r="25" spans="1:11" ht="15.75">
      <c r="A25" s="261"/>
      <c r="B25" s="255"/>
      <c r="C25" s="264"/>
      <c r="D25" s="255"/>
      <c r="E25" s="264"/>
      <c r="F25" s="255"/>
      <c r="G25" s="264"/>
      <c r="H25" s="255"/>
      <c r="I25" s="264"/>
      <c r="J25" s="255"/>
      <c r="K25" s="244"/>
    </row>
    <row r="26" spans="1:11" ht="15.75">
      <c r="A26" s="261"/>
      <c r="B26" s="255"/>
      <c r="C26" s="264"/>
      <c r="D26" s="255"/>
      <c r="E26" s="264"/>
      <c r="F26" s="255"/>
      <c r="G26" s="264"/>
      <c r="H26" s="255"/>
      <c r="I26" s="264"/>
      <c r="J26" s="255"/>
      <c r="K26" s="244"/>
    </row>
    <row r="27" spans="1:11" ht="15.75">
      <c r="A27" s="261"/>
      <c r="B27" s="255"/>
      <c r="C27" s="261"/>
      <c r="D27" s="255"/>
      <c r="E27" s="261"/>
      <c r="F27" s="255"/>
      <c r="G27" s="264"/>
      <c r="H27" s="255"/>
      <c r="I27" s="264"/>
      <c r="J27" s="255"/>
      <c r="K27" s="244"/>
    </row>
    <row r="28" spans="1:11" ht="15.75">
      <c r="A28" s="258" t="s">
        <v>117</v>
      </c>
      <c r="B28" s="257">
        <f>SUM(B20:B27)</f>
        <v>0</v>
      </c>
      <c r="C28" s="258" t="s">
        <v>117</v>
      </c>
      <c r="D28" s="257">
        <f>SUM(D20:D27)</f>
        <v>0</v>
      </c>
      <c r="E28" s="258" t="s">
        <v>117</v>
      </c>
      <c r="F28" s="321">
        <f>SUM(F20:F27)</f>
        <v>0</v>
      </c>
      <c r="G28" s="258" t="s">
        <v>117</v>
      </c>
      <c r="H28" s="321">
        <f>SUM(H20:H27)</f>
        <v>0</v>
      </c>
      <c r="I28" s="258" t="s">
        <v>117</v>
      </c>
      <c r="J28" s="257">
        <f>SUM(J20:J27)</f>
        <v>0</v>
      </c>
      <c r="K28" s="257">
        <f>SUM(B28+D28+F28+H28+J28)</f>
        <v>0</v>
      </c>
    </row>
    <row r="29" spans="1:12" ht="15.75">
      <c r="A29" s="258" t="s">
        <v>234</v>
      </c>
      <c r="B29" s="257">
        <f>SUM(B18-B28)</f>
        <v>0</v>
      </c>
      <c r="C29" s="258" t="s">
        <v>234</v>
      </c>
      <c r="D29" s="257">
        <f>SUM(D18-D28)</f>
        <v>0</v>
      </c>
      <c r="E29" s="258" t="s">
        <v>234</v>
      </c>
      <c r="F29" s="257">
        <f>SUM(F18-F28)</f>
        <v>0</v>
      </c>
      <c r="G29" s="258" t="s">
        <v>234</v>
      </c>
      <c r="H29" s="257">
        <f>SUM(H18-H28)</f>
        <v>0</v>
      </c>
      <c r="I29" s="258" t="s">
        <v>234</v>
      </c>
      <c r="J29" s="257">
        <f>SUM(J18-J28)</f>
        <v>0</v>
      </c>
      <c r="K29" s="267">
        <f>SUM(B29+D29+F29+H29+J29)</f>
        <v>0</v>
      </c>
      <c r="L29" s="18" t="s">
        <v>302</v>
      </c>
    </row>
    <row r="30" spans="1:12" ht="15.75">
      <c r="A30" s="258"/>
      <c r="B30" s="290">
        <f>IF(B29&lt;0,"See Tab B","")</f>
      </c>
      <c r="C30" s="258"/>
      <c r="D30" s="290">
        <f>IF(D29&lt;0,"See Tab B","")</f>
      </c>
      <c r="E30" s="258"/>
      <c r="F30" s="290">
        <f>IF(F29&lt;0,"See Tab B","")</f>
      </c>
      <c r="G30" s="130"/>
      <c r="H30" s="290">
        <f>IF(H29&lt;0,"See Tab B","")</f>
      </c>
      <c r="I30" s="130"/>
      <c r="J30" s="290">
        <f>IF(J29&lt;0,"See Tab B","")</f>
      </c>
      <c r="K30" s="267">
        <f>SUM(K7+K17-K28)</f>
        <v>0</v>
      </c>
      <c r="L30" s="18" t="s">
        <v>302</v>
      </c>
    </row>
    <row r="31" spans="1:11" ht="15.75">
      <c r="A31" s="130"/>
      <c r="B31" s="133"/>
      <c r="C31" s="130"/>
      <c r="D31" s="244"/>
      <c r="E31" s="130"/>
      <c r="F31" s="130"/>
      <c r="G31" s="28" t="s">
        <v>303</v>
      </c>
      <c r="H31" s="28"/>
      <c r="I31" s="28"/>
      <c r="J31" s="28"/>
      <c r="K31" s="130"/>
    </row>
    <row r="32" spans="1:11" ht="15.75">
      <c r="A32" s="130"/>
      <c r="B32" s="133"/>
      <c r="C32" s="130"/>
      <c r="D32" s="130"/>
      <c r="E32" s="130"/>
      <c r="F32" s="130"/>
      <c r="G32" s="130"/>
      <c r="H32" s="130"/>
      <c r="I32" s="130"/>
      <c r="J32" s="130"/>
      <c r="K32" s="130"/>
    </row>
    <row r="33" spans="1:11" ht="15.75">
      <c r="A33" s="1082" t="s">
        <v>1036</v>
      </c>
      <c r="B33" s="137"/>
      <c r="C33" s="138"/>
      <c r="D33" s="138"/>
      <c r="E33" s="138"/>
      <c r="F33" s="138"/>
      <c r="G33" s="138"/>
      <c r="H33" s="138"/>
      <c r="I33" s="138"/>
      <c r="J33" s="138"/>
      <c r="K33" s="1084"/>
    </row>
    <row r="34" spans="1:11" ht="15.75">
      <c r="A34" s="1085"/>
      <c r="B34" s="135"/>
      <c r="C34" s="139"/>
      <c r="D34" s="139"/>
      <c r="E34" s="139"/>
      <c r="F34" s="139"/>
      <c r="G34" s="139"/>
      <c r="H34" s="139"/>
      <c r="I34" s="139"/>
      <c r="J34" s="139"/>
      <c r="K34" s="1087"/>
    </row>
    <row r="35" spans="1:11" ht="15.75">
      <c r="A35" s="1088"/>
      <c r="B35" s="134"/>
      <c r="C35" s="82"/>
      <c r="D35" s="82"/>
      <c r="E35" s="82"/>
      <c r="F35" s="82"/>
      <c r="G35" s="82"/>
      <c r="H35" s="82"/>
      <c r="I35" s="82"/>
      <c r="J35" s="82"/>
      <c r="K35" s="1090"/>
    </row>
    <row r="36" spans="1:11" ht="15.75">
      <c r="A36" s="130"/>
      <c r="B36" s="133"/>
      <c r="C36" s="130"/>
      <c r="D36" s="130"/>
      <c r="E36" s="130"/>
      <c r="F36" s="130"/>
      <c r="G36" s="130"/>
      <c r="H36" s="130"/>
      <c r="I36" s="130"/>
      <c r="J36" s="130"/>
      <c r="K36" s="130"/>
    </row>
    <row r="37" spans="1:11" ht="15.75">
      <c r="A37" s="130"/>
      <c r="B37" s="133"/>
      <c r="C37" s="130"/>
      <c r="D37" s="130"/>
      <c r="E37" s="136" t="s">
        <v>120</v>
      </c>
      <c r="F37" s="225"/>
      <c r="G37" s="130"/>
      <c r="H37" s="130"/>
      <c r="I37" s="130"/>
      <c r="J37" s="130"/>
      <c r="K37" s="130"/>
    </row>
    <row r="38" ht="15.75">
      <c r="B38" s="268"/>
    </row>
    <row r="39" ht="15.75">
      <c r="B39" s="268"/>
    </row>
    <row r="40" ht="15.75">
      <c r="B40" s="268"/>
    </row>
    <row r="41" ht="15.75">
      <c r="B41" s="268"/>
    </row>
    <row r="42" ht="15.75">
      <c r="B42" s="268"/>
    </row>
    <row r="43" ht="15.75">
      <c r="B43" s="268"/>
    </row>
    <row r="44" ht="15.75">
      <c r="B44" s="268"/>
    </row>
    <row r="45" ht="15.75">
      <c r="B45" s="26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dimension ref="A1:A66"/>
  <sheetViews>
    <sheetView zoomScalePageLayoutView="0" workbookViewId="0" topLeftCell="A1">
      <selection activeCell="N109" sqref="N109"/>
    </sheetView>
  </sheetViews>
  <sheetFormatPr defaultColWidth="8.796875" defaultRowHeight="15"/>
  <cols>
    <col min="1" max="1" width="70.59765625" style="70" customWidth="1"/>
    <col min="2" max="16384" width="8.8984375" style="70" customWidth="1"/>
  </cols>
  <sheetData>
    <row r="1" ht="18.75">
      <c r="A1" s="450" t="s">
        <v>324</v>
      </c>
    </row>
    <row r="2" ht="15.75">
      <c r="A2" s="1"/>
    </row>
    <row r="3" ht="57" customHeight="1">
      <c r="A3" s="451" t="s">
        <v>325</v>
      </c>
    </row>
    <row r="4" ht="15.75">
      <c r="A4" s="449"/>
    </row>
    <row r="5" ht="15.75">
      <c r="A5" s="1"/>
    </row>
    <row r="6" ht="44.25" customHeight="1">
      <c r="A6" s="451" t="s">
        <v>326</v>
      </c>
    </row>
    <row r="7" ht="15.75">
      <c r="A7" s="1"/>
    </row>
    <row r="8" ht="15.75">
      <c r="A8" s="449"/>
    </row>
    <row r="9" ht="46.5" customHeight="1">
      <c r="A9" s="451" t="s">
        <v>327</v>
      </c>
    </row>
    <row r="10" ht="15.75">
      <c r="A10" s="1"/>
    </row>
    <row r="11" ht="15.75">
      <c r="A11" s="449"/>
    </row>
    <row r="12" ht="60" customHeight="1">
      <c r="A12" s="451" t="s">
        <v>328</v>
      </c>
    </row>
    <row r="13" ht="15.75">
      <c r="A13" s="1"/>
    </row>
    <row r="14" ht="15.75">
      <c r="A14" s="1"/>
    </row>
    <row r="15" ht="61.5" customHeight="1">
      <c r="A15" s="451" t="s">
        <v>329</v>
      </c>
    </row>
    <row r="16" ht="15.75">
      <c r="A16" s="1"/>
    </row>
    <row r="17" ht="15.75">
      <c r="A17" s="1"/>
    </row>
    <row r="18" ht="59.25" customHeight="1">
      <c r="A18" s="451" t="s">
        <v>330</v>
      </c>
    </row>
    <row r="19" ht="15.75">
      <c r="A19" s="1"/>
    </row>
    <row r="20" ht="15.75">
      <c r="A20" s="1"/>
    </row>
    <row r="21" ht="61.5" customHeight="1">
      <c r="A21" s="451" t="s">
        <v>331</v>
      </c>
    </row>
    <row r="22" ht="15.75">
      <c r="A22" s="449"/>
    </row>
    <row r="23" ht="15.75">
      <c r="A23" s="449"/>
    </row>
    <row r="24" ht="63" customHeight="1">
      <c r="A24" s="451" t="s">
        <v>332</v>
      </c>
    </row>
    <row r="25" ht="15.75">
      <c r="A25" s="1"/>
    </row>
    <row r="26" ht="15.75">
      <c r="A26" s="1"/>
    </row>
    <row r="27" ht="52.5" customHeight="1">
      <c r="A27" s="462" t="s">
        <v>750</v>
      </c>
    </row>
    <row r="28" ht="15.75">
      <c r="A28" s="1"/>
    </row>
    <row r="29" ht="15.75">
      <c r="A29" s="1"/>
    </row>
    <row r="30" ht="44.25" customHeight="1">
      <c r="A30" s="451" t="s">
        <v>333</v>
      </c>
    </row>
    <row r="31" ht="15.75">
      <c r="A31" s="1"/>
    </row>
    <row r="32" ht="15.75">
      <c r="A32" s="1"/>
    </row>
    <row r="33" ht="42.75" customHeight="1">
      <c r="A33" s="451" t="s">
        <v>334</v>
      </c>
    </row>
    <row r="34" ht="15.75">
      <c r="A34" s="449"/>
    </row>
    <row r="35" ht="15.75">
      <c r="A35" s="449"/>
    </row>
    <row r="36" ht="38.25" customHeight="1">
      <c r="A36" s="451" t="s">
        <v>335</v>
      </c>
    </row>
    <row r="37" ht="15.75">
      <c r="A37" s="449"/>
    </row>
    <row r="38" ht="15.75">
      <c r="A38" s="1"/>
    </row>
    <row r="39" ht="75.75" customHeight="1">
      <c r="A39" s="451" t="s">
        <v>336</v>
      </c>
    </row>
    <row r="40" ht="15.75">
      <c r="A40" s="1"/>
    </row>
    <row r="41" ht="15.75">
      <c r="A41" s="1"/>
    </row>
    <row r="42" ht="57.75" customHeight="1">
      <c r="A42" s="451" t="s">
        <v>337</v>
      </c>
    </row>
    <row r="43" ht="15.75">
      <c r="A43" s="449"/>
    </row>
    <row r="44" ht="15.75">
      <c r="A44" s="1"/>
    </row>
    <row r="45" ht="57.75" customHeight="1">
      <c r="A45" s="451" t="s">
        <v>338</v>
      </c>
    </row>
    <row r="46" ht="15.75">
      <c r="A46" s="1"/>
    </row>
    <row r="47" ht="15.75">
      <c r="A47" s="1"/>
    </row>
    <row r="48" ht="41.25" customHeight="1">
      <c r="A48" s="451" t="s">
        <v>339</v>
      </c>
    </row>
    <row r="49" ht="15.75">
      <c r="A49" s="1"/>
    </row>
    <row r="50" ht="15.75">
      <c r="A50" s="1"/>
    </row>
    <row r="51" ht="75" customHeight="1">
      <c r="A51" s="451" t="s">
        <v>340</v>
      </c>
    </row>
    <row r="52" ht="15.75">
      <c r="A52" s="449"/>
    </row>
    <row r="53" ht="15.75">
      <c r="A53" s="449"/>
    </row>
    <row r="54" ht="57.75" customHeight="1">
      <c r="A54" s="451" t="s">
        <v>341</v>
      </c>
    </row>
    <row r="55" ht="15.75">
      <c r="A55" s="1"/>
    </row>
    <row r="56" ht="15.75">
      <c r="A56" s="1"/>
    </row>
    <row r="57" ht="44.25" customHeight="1">
      <c r="A57" s="451" t="s">
        <v>342</v>
      </c>
    </row>
    <row r="58" ht="15.75">
      <c r="A58" s="1"/>
    </row>
    <row r="59" ht="15.75">
      <c r="A59" s="1"/>
    </row>
    <row r="60" ht="60" customHeight="1">
      <c r="A60" s="451" t="s">
        <v>343</v>
      </c>
    </row>
    <row r="61" ht="15.75">
      <c r="A61" s="449"/>
    </row>
    <row r="62" ht="15.75">
      <c r="A62" s="449"/>
    </row>
    <row r="63" ht="57.75" customHeight="1">
      <c r="A63" s="451" t="s">
        <v>344</v>
      </c>
    </row>
    <row r="64" ht="15.75">
      <c r="A64" s="1"/>
    </row>
    <row r="65" ht="15.75">
      <c r="A65" s="1"/>
    </row>
    <row r="66" ht="60" customHeight="1">
      <c r="A66" s="451" t="s">
        <v>345</v>
      </c>
    </row>
  </sheetData>
  <sheetProtection sheet="1" objects="1" scenarios="1"/>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O130" sqref="O130"/>
    </sheetView>
  </sheetViews>
  <sheetFormatPr defaultColWidth="8.796875" defaultRowHeight="15"/>
  <cols>
    <col min="1" max="1" width="20.796875" style="18" customWidth="1"/>
    <col min="2" max="2" width="15.796875" style="18" customWidth="1"/>
    <col min="3" max="3" width="10.796875" style="18" customWidth="1"/>
    <col min="4" max="4" width="15.796875" style="18" customWidth="1"/>
    <col min="5" max="5" width="10.796875" style="18" customWidth="1"/>
    <col min="6" max="6" width="15.796875" style="18" customWidth="1"/>
    <col min="7" max="7" width="12.796875" style="18" customWidth="1"/>
    <col min="8" max="8" width="10.796875" style="18" customWidth="1"/>
    <col min="9" max="9" width="8.8984375" style="18" customWidth="1"/>
    <col min="10" max="10" width="12.3984375" style="18" customWidth="1"/>
    <col min="11" max="11" width="12.296875" style="18" customWidth="1"/>
    <col min="12" max="12" width="10.59765625" style="18" customWidth="1"/>
    <col min="13" max="13" width="12.09765625" style="18" customWidth="1"/>
    <col min="14" max="16384" width="8.8984375" style="18" customWidth="1"/>
  </cols>
  <sheetData>
    <row r="1" spans="1:9" ht="15.75">
      <c r="A1" s="1132" t="s">
        <v>166</v>
      </c>
      <c r="B1" s="1132"/>
      <c r="C1" s="1132"/>
      <c r="D1" s="1132"/>
      <c r="E1" s="1132"/>
      <c r="F1" s="1132"/>
      <c r="G1" s="1132"/>
      <c r="H1" s="1132"/>
      <c r="I1" s="269"/>
    </row>
    <row r="2" spans="1:8" ht="18" customHeight="1">
      <c r="A2" s="32"/>
      <c r="B2" s="32"/>
      <c r="C2" s="32"/>
      <c r="D2" s="32"/>
      <c r="E2" s="32"/>
      <c r="F2" s="32"/>
      <c r="G2" s="32"/>
      <c r="H2" s="32">
        <f>inputPrYr!$C$6</f>
        <v>0</v>
      </c>
    </row>
    <row r="3" spans="1:8" ht="18" customHeight="1">
      <c r="A3" s="1115" t="s">
        <v>122</v>
      </c>
      <c r="B3" s="1115"/>
      <c r="C3" s="1115"/>
      <c r="D3" s="1115"/>
      <c r="E3" s="1115"/>
      <c r="F3" s="1115"/>
      <c r="G3" s="1115"/>
      <c r="H3" s="1115"/>
    </row>
    <row r="4" spans="1:8" ht="15.75">
      <c r="A4" s="1093">
        <f>inputPrYr!D3</f>
        <v>0</v>
      </c>
      <c r="B4" s="1093"/>
      <c r="C4" s="1093"/>
      <c r="D4" s="1093"/>
      <c r="E4" s="1093"/>
      <c r="F4" s="1093"/>
      <c r="G4" s="1093"/>
      <c r="H4" s="1093"/>
    </row>
    <row r="5" spans="1:8" ht="18" customHeight="1">
      <c r="A5" s="1183" t="str">
        <f>CONCATENATE("will meet on ",inputBudSum!B7," at ",inputBudSum!B9," at ",inputBudSum!B11," for the purpose of hearing and")</f>
        <v>will meet on  at  at  for the purpose of hearing and</v>
      </c>
      <c r="B5" s="1183"/>
      <c r="C5" s="1183"/>
      <c r="D5" s="1183"/>
      <c r="E5" s="1183"/>
      <c r="F5" s="1183"/>
      <c r="G5" s="1183"/>
      <c r="H5" s="1183"/>
    </row>
    <row r="6" spans="1:8" ht="16.5" customHeight="1">
      <c r="A6" s="1115" t="s">
        <v>609</v>
      </c>
      <c r="B6" s="1115"/>
      <c r="C6" s="1115"/>
      <c r="D6" s="1115"/>
      <c r="E6" s="1115"/>
      <c r="F6" s="1115"/>
      <c r="G6" s="1115"/>
      <c r="H6" s="1115"/>
    </row>
    <row r="7" spans="1:8" ht="16.5" customHeight="1">
      <c r="A7" s="1181" t="str">
        <f>CONCATENATE("Detailed budget information is available at ",inputBudSum!B14," and will be available at this hearing.")</f>
        <v>Detailed budget information is available at  and will be available at this hearing.</v>
      </c>
      <c r="B7" s="1181"/>
      <c r="C7" s="1181"/>
      <c r="D7" s="1181"/>
      <c r="E7" s="1181"/>
      <c r="F7" s="1181"/>
      <c r="G7" s="1181"/>
      <c r="H7" s="1181"/>
    </row>
    <row r="8" spans="1:8" ht="15.75">
      <c r="A8" s="36" t="s">
        <v>167</v>
      </c>
      <c r="B8" s="37"/>
      <c r="C8" s="37"/>
      <c r="D8" s="37"/>
      <c r="E8" s="37"/>
      <c r="F8" s="37"/>
      <c r="G8" s="37"/>
      <c r="H8" s="37"/>
    </row>
    <row r="9" spans="1:8" ht="15.75">
      <c r="A9" s="96" t="str">
        <f>CONCATENATE("Proposed Budget ",H2," Expenditures and Amount of ",H2-1," Ad Valorem Tax establish the maximum limits of the ",H2," budget.")</f>
        <v>Proposed Budget 0 Expenditures and Amount of -1 Ad Valorem Tax establish the maximum limits of the 0 budget.</v>
      </c>
      <c r="B9" s="37"/>
      <c r="C9" s="37"/>
      <c r="D9" s="37"/>
      <c r="E9" s="37"/>
      <c r="F9" s="37"/>
      <c r="G9" s="37"/>
      <c r="H9" s="37"/>
    </row>
    <row r="10" spans="1:8" ht="15.75">
      <c r="A10" s="96" t="s">
        <v>218</v>
      </c>
      <c r="B10" s="37"/>
      <c r="C10" s="37"/>
      <c r="D10" s="37"/>
      <c r="E10" s="37"/>
      <c r="F10" s="37"/>
      <c r="G10" s="37"/>
      <c r="H10" s="37"/>
    </row>
    <row r="11" spans="1:8" ht="15.75">
      <c r="A11" s="32"/>
      <c r="B11" s="232"/>
      <c r="C11" s="232"/>
      <c r="D11" s="232"/>
      <c r="E11" s="232"/>
      <c r="F11" s="232"/>
      <c r="G11" s="232"/>
      <c r="H11" s="232"/>
    </row>
    <row r="12" spans="1:8" ht="15.75">
      <c r="A12" s="32"/>
      <c r="B12" s="270" t="str">
        <f>CONCATENATE("Prior Year Actual for ",H2-2,"")</f>
        <v>Prior Year Actual for -2</v>
      </c>
      <c r="C12" s="99"/>
      <c r="D12" s="270" t="str">
        <f>CONCATENATE("Current Year Estimate for ",H2-1,"")</f>
        <v>Current Year Estimate for -1</v>
      </c>
      <c r="E12" s="99"/>
      <c r="F12" s="97" t="str">
        <f>CONCATENATE("Proposed Budget for ",H2,"")</f>
        <v>Proposed Budget for 0</v>
      </c>
      <c r="G12" s="98"/>
      <c r="H12" s="99"/>
    </row>
    <row r="13" spans="1:8" ht="21" customHeight="1">
      <c r="A13" s="32"/>
      <c r="B13" s="222"/>
      <c r="C13" s="102" t="s">
        <v>124</v>
      </c>
      <c r="D13" s="102"/>
      <c r="E13" s="102" t="s">
        <v>124</v>
      </c>
      <c r="F13" s="491" t="s">
        <v>9</v>
      </c>
      <c r="G13" s="102" t="str">
        <f>CONCATENATE("Amount of ",H2-1,"")</f>
        <v>Amount of -1</v>
      </c>
      <c r="H13" s="102" t="s">
        <v>272</v>
      </c>
    </row>
    <row r="14" spans="1:8" ht="15.75">
      <c r="A14" s="41" t="s">
        <v>125</v>
      </c>
      <c r="B14" s="106" t="s">
        <v>126</v>
      </c>
      <c r="C14" s="106" t="s">
        <v>127</v>
      </c>
      <c r="D14" s="106" t="s">
        <v>126</v>
      </c>
      <c r="E14" s="106" t="s">
        <v>127</v>
      </c>
      <c r="F14" s="492" t="s">
        <v>639</v>
      </c>
      <c r="G14" s="107" t="s">
        <v>102</v>
      </c>
      <c r="H14" s="106" t="s">
        <v>127</v>
      </c>
    </row>
    <row r="15" spans="1:8" ht="15.75">
      <c r="A15" s="58" t="str">
        <f>inputPrYr!B22</f>
        <v>General</v>
      </c>
      <c r="B15" s="58" t="str">
        <f>IF(general!$C$110&lt;&gt;0,general!$C$110,"  ")</f>
        <v>  </v>
      </c>
      <c r="C15" s="271" t="str">
        <f>IF(inputPrYr!D91&gt;0,inputPrYr!D91,"  ")</f>
        <v>  </v>
      </c>
      <c r="D15" s="58" t="str">
        <f>IF(general!$D$110&lt;&gt;0,general!$D$110,"  ")</f>
        <v>  </v>
      </c>
      <c r="E15" s="271" t="str">
        <f>IF(inputOth!D24&gt;0,inputOth!D24,"  ")</f>
        <v>  </v>
      </c>
      <c r="F15" s="58" t="str">
        <f>IF(general!$E$110&lt;&gt;0,general!$E$110,"  ")</f>
        <v>  </v>
      </c>
      <c r="G15" s="58" t="str">
        <f>IF(general!$E$117&lt;&gt;0,general!$E$117,"  ")</f>
        <v>  </v>
      </c>
      <c r="H15" s="271" t="str">
        <f>IF(general!E117&gt;0,ROUND(G15/$F$59*1000,3),"  ")</f>
        <v>  </v>
      </c>
    </row>
    <row r="16" spans="1:8" ht="15.75">
      <c r="A16" s="58" t="str">
        <f>inputPrYr!B23</f>
        <v>Debt Service</v>
      </c>
      <c r="B16" s="58" t="str">
        <f>IF(DebtService!C53&lt;&gt;0,DebtService!C53,"  ")</f>
        <v>  </v>
      </c>
      <c r="C16" s="271" t="str">
        <f>IF(inputPrYr!D92&gt;0,inputPrYr!D92,"  ")</f>
        <v>  </v>
      </c>
      <c r="D16" s="58" t="str">
        <f>IF(DebtService!D53&lt;&gt;0,DebtService!D53,"  ")</f>
        <v>  </v>
      </c>
      <c r="E16" s="271" t="str">
        <f>IF(inputOth!D25&gt;0,inputOth!D25,"  ")</f>
        <v>  </v>
      </c>
      <c r="F16" s="58" t="str">
        <f>IF(DebtService!E53&lt;&gt;0,DebtService!E53,"  ")</f>
        <v>  </v>
      </c>
      <c r="G16" s="58" t="str">
        <f>IF(DebtService!E60&lt;&gt;0,DebtService!E60,"  ")</f>
        <v>  </v>
      </c>
      <c r="H16" s="271" t="str">
        <f>IF(DebtService!E60&gt;0,ROUND(G16/$F$59*1000,3),"  ")</f>
        <v>  </v>
      </c>
    </row>
    <row r="17" spans="1:8" ht="15.75">
      <c r="A17" s="58" t="str">
        <f>inputPrYr!B24</f>
        <v>Library</v>
      </c>
      <c r="B17" s="790" t="str">
        <f>IF(('Library-Rec'!C33)&lt;&gt;0,('Library-Rec'!C33),"  ")</f>
        <v>  </v>
      </c>
      <c r="C17" s="271" t="str">
        <f>IF(inputPrYr!D93&gt;0,inputPrYr!D93,"  ")</f>
        <v>  </v>
      </c>
      <c r="D17" s="790" t="str">
        <f>IF(('Library-Rec'!D33)&lt;&gt;0,('Library-Rec'!D33),"  ")</f>
        <v>  </v>
      </c>
      <c r="E17" s="271" t="str">
        <f>IF(inputOth!D26&gt;0,inputOth!D26,"  ")</f>
        <v>  </v>
      </c>
      <c r="F17" s="790" t="str">
        <f>IF(('Library-Rec'!E33)&lt;&gt;0,('Library-Rec'!E33),"  ")</f>
        <v>  </v>
      </c>
      <c r="G17" s="791" t="str">
        <f>IF('Library-Rec'!E40&lt;&gt;0,'Library-Rec'!E40,"  ")</f>
        <v>  </v>
      </c>
      <c r="H17" s="792">
        <f>IF('Library-Rec'!E40&gt;0,ROUND(G17/$F$59*1000,3),"")</f>
      </c>
    </row>
    <row r="18" spans="1:8" ht="15.75">
      <c r="A18" s="58" t="str">
        <f>IF(inputPrYr!$B26&gt;"  ",(inputPrYr!$B26),"  ")</f>
        <v>  </v>
      </c>
      <c r="B18" s="58" t="str">
        <f>IF('levy page9'!$C$31&gt;0,'levy page9'!$C$31,"  ")</f>
        <v>  </v>
      </c>
      <c r="C18" s="271" t="str">
        <f>IF(inputPrYr!D94&gt;0,inputPrYr!D94,"  ")</f>
        <v>  </v>
      </c>
      <c r="D18" s="58" t="str">
        <f>IF('levy page9'!$D$31&gt;0,'levy page9'!$D$31,"  ")</f>
        <v>  </v>
      </c>
      <c r="E18" s="271" t="str">
        <f>IF(inputOth!D27&gt;0,inputOth!D27,"  ")</f>
        <v>  </v>
      </c>
      <c r="F18" s="58" t="str">
        <f>IF('levy page9'!$E$31&gt;0,'levy page9'!$E$31,"  ")</f>
        <v>  </v>
      </c>
      <c r="G18" s="58" t="str">
        <f>IF('levy page9'!$E$38&lt;&gt;0,'levy page9'!$E$38,"  ")</f>
        <v>  </v>
      </c>
      <c r="H18" s="271" t="str">
        <f>IF('levy page9'!E38&lt;&gt;0,ROUND(G18/$F$59*1000,3),"  ")</f>
        <v>  </v>
      </c>
    </row>
    <row r="19" spans="1:8" ht="15.75">
      <c r="A19" s="58" t="str">
        <f>IF(inputPrYr!$B27&gt;"  ",(inputPrYr!$B27),"  ")</f>
        <v>  </v>
      </c>
      <c r="B19" s="58" t="str">
        <f>IF('levy page9'!$C$70&gt;0,'levy page9'!$C$70,"  ")</f>
        <v>  </v>
      </c>
      <c r="C19" s="271" t="str">
        <f>IF(inputPrYr!D95&gt;0,inputPrYr!D95,"  ")</f>
        <v>  </v>
      </c>
      <c r="D19" s="58" t="str">
        <f>IF('levy page9'!$D$70&gt;0,'levy page9'!$D$70,"  ")</f>
        <v>  </v>
      </c>
      <c r="E19" s="271" t="str">
        <f>IF(inputOth!D28&gt;0,inputOth!D28,"  ")</f>
        <v>  </v>
      </c>
      <c r="F19" s="58" t="str">
        <f>IF('levy page9'!$E$70&gt;0,'levy page9'!$E$70,"  ")</f>
        <v>  </v>
      </c>
      <c r="G19" s="58" t="str">
        <f>IF('levy page9'!$E$77&lt;&gt;0,'levy page9'!$E$77,"  ")</f>
        <v>  </v>
      </c>
      <c r="H19" s="271" t="str">
        <f>IF('levy page9'!E77&lt;&gt;0,ROUND(G19/$F$59*1000,3),"  ")</f>
        <v>  </v>
      </c>
    </row>
    <row r="20" spans="1:8" ht="15.75">
      <c r="A20" s="58" t="str">
        <f>IF(inputPrYr!$B28&gt;"  ",(inputPrYr!$B28),"  ")</f>
        <v>  </v>
      </c>
      <c r="B20" s="58" t="str">
        <f>IF('levy page10'!$C$32&gt;0,'levy page10'!$C$32,"  ")</f>
        <v>  </v>
      </c>
      <c r="C20" s="271" t="str">
        <f>IF(inputPrYr!D96&gt;0,inputPrYr!D96,"  ")</f>
        <v>  </v>
      </c>
      <c r="D20" s="58" t="str">
        <f>IF('levy page10'!$D$32&gt;0,'levy page10'!$D$32,"  ")</f>
        <v>  </v>
      </c>
      <c r="E20" s="271" t="str">
        <f>IF(inputOth!D29&gt;0,inputOth!D29,"  ")</f>
        <v>  </v>
      </c>
      <c r="F20" s="58" t="str">
        <f>IF('levy page10'!$E$32&gt;0,'levy page10'!$E$32,"  ")</f>
        <v>  </v>
      </c>
      <c r="G20" s="58" t="str">
        <f>IF('levy page10'!$E$39&lt;&gt;0,'levy page10'!$E$39,"  ")</f>
        <v>  </v>
      </c>
      <c r="H20" s="271" t="str">
        <f>IF('levy page10'!E39&lt;&gt;0,ROUND(G20/$F$59*1000,3),"  ")</f>
        <v>  </v>
      </c>
    </row>
    <row r="21" spans="1:8" ht="15.75">
      <c r="A21" s="58" t="str">
        <f>IF(inputPrYr!$B29&gt;"  ",(inputPrYr!$B29),"  ")</f>
        <v>  </v>
      </c>
      <c r="B21" s="58" t="str">
        <f>IF('levy page10'!$C$73&gt;0,'levy page10'!$C$73,"  ")</f>
        <v>  </v>
      </c>
      <c r="C21" s="271" t="str">
        <f>IF(inputPrYr!D97&gt;0,inputPrYr!D97,"  ")</f>
        <v>  </v>
      </c>
      <c r="D21" s="58" t="str">
        <f>IF('levy page10'!$D$73&gt;0,'levy page10'!$D$73,"  ")</f>
        <v>  </v>
      </c>
      <c r="E21" s="271" t="str">
        <f>IF(inputOth!D30&gt;0,inputOth!D30,"  ")</f>
        <v>  </v>
      </c>
      <c r="F21" s="58" t="str">
        <f>IF('levy page10'!$E$73&gt;0,'levy page10'!$E$73,"  ")</f>
        <v>  </v>
      </c>
      <c r="G21" s="58" t="str">
        <f>IF('levy page10'!$E$80&lt;&gt;0,'levy page10'!$E$80,"  ")</f>
        <v>  </v>
      </c>
      <c r="H21" s="271" t="str">
        <f>IF('levy page10'!E80&lt;&gt;0,ROUND(G21/$F$59*1000,3),"  ")</f>
        <v>  </v>
      </c>
    </row>
    <row r="22" spans="1:8" ht="15.75">
      <c r="A22" s="58" t="str">
        <f>IF(inputPrYr!$B30&gt;"  ",(inputPrYr!$B30),"  ")</f>
        <v>  </v>
      </c>
      <c r="B22" s="58" t="str">
        <f>IF('levy page11'!$C$32&gt;0,'levy page11'!$C$32,"  ")</f>
        <v>  </v>
      </c>
      <c r="C22" s="271" t="str">
        <f>IF(inputPrYr!D98&gt;0,inputPrYr!D98,"  ")</f>
        <v>  </v>
      </c>
      <c r="D22" s="58" t="str">
        <f>IF('levy page11'!$D$32&gt;0,'levy page11'!$D$32,"  ")</f>
        <v>  </v>
      </c>
      <c r="E22" s="271" t="str">
        <f>IF(inputOth!D31&gt;0,inputOth!D31,"  ")</f>
        <v>  </v>
      </c>
      <c r="F22" s="58" t="str">
        <f>IF('levy page11'!$E$32&gt;0,'levy page11'!$E$32,"  ")</f>
        <v>  </v>
      </c>
      <c r="G22" s="58" t="str">
        <f>IF('levy page11'!$E$39&lt;&gt;0,'levy page11'!$E$39,"  ")</f>
        <v>  </v>
      </c>
      <c r="H22" s="271" t="str">
        <f>IF('levy page11'!E39&lt;&gt;0,ROUND(G22/$F$59*1000,3),"  ")</f>
        <v>  </v>
      </c>
    </row>
    <row r="23" spans="1:8" ht="15.75">
      <c r="A23" s="58" t="str">
        <f>IF(inputPrYr!$B31&gt;"  ",(inputPrYr!$B31),"  ")</f>
        <v>  </v>
      </c>
      <c r="B23" s="58" t="str">
        <f>IF('levy page11'!$C$70&gt;0,'levy page11'!$C$70,"  ")</f>
        <v>  </v>
      </c>
      <c r="C23" s="271" t="str">
        <f>IF(inputPrYr!D99&gt;0,inputPrYr!D99,"  ")</f>
        <v>  </v>
      </c>
      <c r="D23" s="58" t="str">
        <f>IF('levy page11'!$D$70&gt;0,'levy page11'!$D$70,"  ")</f>
        <v>  </v>
      </c>
      <c r="E23" s="271" t="str">
        <f>IF(inputOth!D32&gt;0,inputOth!D32,"  ")</f>
        <v>  </v>
      </c>
      <c r="F23" s="58" t="str">
        <f>IF('levy page11'!$E$70&gt;0,'levy page11'!$E$70,"  ")</f>
        <v>  </v>
      </c>
      <c r="G23" s="58" t="str">
        <f>IF('levy page11'!$E$77&lt;&gt;0,'levy page11'!$E$77,"  ")</f>
        <v>  </v>
      </c>
      <c r="H23" s="271" t="str">
        <f>IF('levy page11'!E77&lt;&gt;0,ROUND(G23/$F$59*1000,3),"  ")</f>
        <v>  </v>
      </c>
    </row>
    <row r="24" spans="1:8" ht="15.75">
      <c r="A24" s="58" t="str">
        <f>IF(inputPrYr!$B32&gt;"  ",(inputPrYr!$B32),"  ")</f>
        <v>  </v>
      </c>
      <c r="B24" s="58" t="str">
        <f>IF('levy page12'!$C$32&gt;0,'levy page12'!$C$32,"  ")</f>
        <v>  </v>
      </c>
      <c r="C24" s="271" t="str">
        <f>IF(inputPrYr!D100&gt;0,inputPrYr!D100,"  ")</f>
        <v>  </v>
      </c>
      <c r="D24" s="58" t="str">
        <f>IF('levy page12'!$D$32&gt;0,'levy page12'!$D$32,"  ")</f>
        <v>  </v>
      </c>
      <c r="E24" s="271" t="str">
        <f>IF(inputOth!D33&gt;0,inputOth!D33,"  ")</f>
        <v>  </v>
      </c>
      <c r="F24" s="58" t="str">
        <f>IF('levy page12'!$E$32&gt;0,'levy page12'!$E$32,"  ")</f>
        <v>  </v>
      </c>
      <c r="G24" s="58" t="str">
        <f>IF('levy page12'!$E$39&lt;&gt;0,'levy page12'!$E$39,"  ")</f>
        <v>  </v>
      </c>
      <c r="H24" s="271" t="str">
        <f>IF('levy page12'!E39&lt;&gt;0,ROUND(G24/$F$59*1000,3),"  ")</f>
        <v>  </v>
      </c>
    </row>
    <row r="25" spans="1:8" ht="15.75">
      <c r="A25" s="58" t="str">
        <f>IF(inputPrYr!$B33&gt;"  ",(inputPrYr!$B33),"  ")</f>
        <v>  </v>
      </c>
      <c r="B25" s="58" t="str">
        <f>IF('levy page12'!$C$71&gt;0,'levy page12'!$C$71,"  ")</f>
        <v>  </v>
      </c>
      <c r="C25" s="271" t="str">
        <f>IF(inputPrYr!D101&gt;0,inputPrYr!D101,"  ")</f>
        <v>  </v>
      </c>
      <c r="D25" s="58" t="str">
        <f>IF('levy page12'!$D$71&gt;0,'levy page12'!$D$71,"  ")</f>
        <v>  </v>
      </c>
      <c r="E25" s="271" t="str">
        <f>IF(inputOth!D34&gt;0,inputOth!D34,"  ")</f>
        <v>  </v>
      </c>
      <c r="F25" s="58" t="str">
        <f>IF('levy page12'!$E$71&gt;0,'levy page12'!$E$71,"  ")</f>
        <v>  </v>
      </c>
      <c r="G25" s="58" t="str">
        <f>IF('levy page12'!$E$78&lt;&gt;0,'levy page12'!$E$78,"  ")</f>
        <v>  </v>
      </c>
      <c r="H25" s="271" t="str">
        <f>IF('levy page12'!E78&lt;&gt;0,ROUND(G25/$F$59*1000,3),"  ")</f>
        <v>  </v>
      </c>
    </row>
    <row r="26" spans="1:8" ht="15.75">
      <c r="A26" s="58" t="str">
        <f>IF(inputPrYr!$B34&gt;"  ",(inputPrYr!$B34),"  ")</f>
        <v>  </v>
      </c>
      <c r="B26" s="58" t="str">
        <f>IF('levy page13'!$C$33&gt;0,'levy page13'!$C$33,"  ")</f>
        <v>  </v>
      </c>
      <c r="C26" s="271" t="str">
        <f>IF(inputPrYr!D102&gt;0,inputPrYr!D102,"  ")</f>
        <v>  </v>
      </c>
      <c r="D26" s="58" t="str">
        <f>IF('levy page13'!$D$33&gt;0,'levy page13'!$D$33,"  ")</f>
        <v>  </v>
      </c>
      <c r="E26" s="271" t="str">
        <f>IF(inputOth!D35&gt;0,inputOth!D35,"  ")</f>
        <v>  </v>
      </c>
      <c r="F26" s="58" t="str">
        <f>IF('levy page13'!$E$33&gt;0,'levy page13'!$E$33,"  ")</f>
        <v>  </v>
      </c>
      <c r="G26" s="58" t="str">
        <f>IF('levy page13'!$E$40&lt;&gt;0,'levy page13'!$E$40,"  ")</f>
        <v>  </v>
      </c>
      <c r="H26" s="271" t="str">
        <f>IF('levy page13'!E40&lt;&gt;0,ROUND(G26/$F$59*1000,3),"  ")</f>
        <v>  </v>
      </c>
    </row>
    <row r="27" spans="1:8" ht="15.75">
      <c r="A27" s="58" t="str">
        <f>IF(inputPrYr!$B35&gt;"  ",(inputPrYr!$B35),"  ")</f>
        <v>  </v>
      </c>
      <c r="B27" s="58" t="str">
        <f>IF('levy page13'!$C$72&gt;0,'levy page13'!$C$72,"  ")</f>
        <v>  </v>
      </c>
      <c r="C27" s="271" t="str">
        <f>IF(inputPrYr!D103&gt;0,inputPrYr!D103,"  ")</f>
        <v>  </v>
      </c>
      <c r="D27" s="58" t="str">
        <f>IF('levy page13'!$D$72&gt;0,'levy page13'!$D$72,"  ")</f>
        <v>  </v>
      </c>
      <c r="E27" s="271" t="str">
        <f>IF(inputOth!D36&gt;0,inputOth!D36,"  ")</f>
        <v>  </v>
      </c>
      <c r="F27" s="58" t="str">
        <f>IF('levy page13'!$E$72&gt;0,'levy page13'!$E$72,"  ")</f>
        <v>  </v>
      </c>
      <c r="G27" s="58" t="str">
        <f>IF('levy page13'!$E$79&lt;&gt;0,'levy page13'!$E$79,"  ")</f>
        <v>  </v>
      </c>
      <c r="H27" s="271" t="str">
        <f>IF('levy page13'!E79&lt;&gt;0,ROUND(G27/$F$59*1000,3),"  ")</f>
        <v>  </v>
      </c>
    </row>
    <row r="28" spans="1:8" ht="15.75">
      <c r="A28" s="58" t="str">
        <f>IF(inputPrYr!$B41&gt;"  ",(inputPrYr!$B41),"  ")</f>
        <v>Special Highway</v>
      </c>
      <c r="B28" s="58" t="str">
        <f>IF('Sp Hiway'!$C$26&gt;0,'Sp Hiway'!$C$26,"  ")</f>
        <v>  </v>
      </c>
      <c r="C28" s="42"/>
      <c r="D28" s="58" t="str">
        <f>IF('Sp Hiway'!$D$26&gt;0,'Sp Hiway'!$D$26,"  ")</f>
        <v>  </v>
      </c>
      <c r="E28" s="42"/>
      <c r="F28" s="58" t="str">
        <f>IF('Sp Hiway'!$E$26&gt;0,'Sp Hiway'!$E$26,"  ")</f>
        <v>  </v>
      </c>
      <c r="G28" s="58"/>
      <c r="H28" s="271"/>
    </row>
    <row r="29" spans="1:8" ht="15.75">
      <c r="A29" s="58" t="str">
        <f>IF(inputPrYr!$B42&gt;"  ",(inputPrYr!$B42),"  ")</f>
        <v>  </v>
      </c>
      <c r="B29" s="58" t="str">
        <f>IF('Sp Hiway'!$C$57&gt;0,'Sp Hiway'!$C$57,"  ")</f>
        <v>  </v>
      </c>
      <c r="C29" s="42"/>
      <c r="D29" s="58" t="str">
        <f>IF('Sp Hiway'!$D$57&gt;0,'Sp Hiway'!$D$57,"  ")</f>
        <v>  </v>
      </c>
      <c r="E29" s="42"/>
      <c r="F29" s="58" t="str">
        <f>IF('Sp Hiway'!$E$57&gt;0,'Sp Hiway'!$E$57,"  ")</f>
        <v>  </v>
      </c>
      <c r="G29" s="58"/>
      <c r="H29" s="271"/>
    </row>
    <row r="30" spans="1:8" ht="15.75">
      <c r="A30" s="58" t="str">
        <f>IF(inputPrYr!$B43&gt;"  ",(inputPrYr!$B43),"  ")</f>
        <v>  </v>
      </c>
      <c r="B30" s="58" t="str">
        <f>IF('no levy page15'!$C$26&gt;0,'no levy page15'!$C$26,"  ")</f>
        <v>  </v>
      </c>
      <c r="C30" s="42"/>
      <c r="D30" s="58" t="str">
        <f>IF('no levy page15'!$D$26&gt;0,'no levy page15'!$D$26,"  ")</f>
        <v>  </v>
      </c>
      <c r="E30" s="42"/>
      <c r="F30" s="58" t="str">
        <f>IF('no levy page15'!$E$26&gt;0,'no levy page15'!$E$26,"  ")</f>
        <v>  </v>
      </c>
      <c r="G30" s="58"/>
      <c r="H30" s="271"/>
    </row>
    <row r="31" spans="1:8" ht="15.75">
      <c r="A31" s="58" t="str">
        <f>IF(inputPrYr!$B44&gt;"  ",(inputPrYr!$B44),"  ")</f>
        <v>  </v>
      </c>
      <c r="B31" s="58" t="str">
        <f>IF('no levy page15'!$C$56&gt;0,'no levy page15'!$C$56,"  ")</f>
        <v>  </v>
      </c>
      <c r="C31" s="42"/>
      <c r="D31" s="58" t="str">
        <f>IF('no levy page15'!$D$56&gt;0,'no levy page15'!$D$56,"  ")</f>
        <v>  </v>
      </c>
      <c r="E31" s="42"/>
      <c r="F31" s="58" t="str">
        <f>IF('no levy page15'!$E$56&gt;0,'no levy page15'!$E$56,"  ")</f>
        <v>  </v>
      </c>
      <c r="G31" s="58"/>
      <c r="H31" s="271"/>
    </row>
    <row r="32" spans="1:8" ht="15.75">
      <c r="A32" s="58" t="str">
        <f>IF(inputPrYr!$B45&gt;"  ",(inputPrYr!$B45),"  ")</f>
        <v>  </v>
      </c>
      <c r="B32" s="58" t="str">
        <f>IF('no levy page16'!$C$26&gt;0,'no levy page16'!$C$26,"  ")</f>
        <v>  </v>
      </c>
      <c r="C32" s="42"/>
      <c r="D32" s="58" t="str">
        <f>IF('no levy page16'!$D$26&gt;0,'no levy page16'!$D$26,"  ")</f>
        <v>  </v>
      </c>
      <c r="E32" s="42"/>
      <c r="F32" s="58" t="str">
        <f>IF('no levy page16'!$E$26&gt;0,'no levy page16'!$E$26,"  ")</f>
        <v>  </v>
      </c>
      <c r="G32" s="42"/>
      <c r="H32" s="42"/>
    </row>
    <row r="33" spans="1:8" ht="15.75">
      <c r="A33" s="58" t="str">
        <f>IF(inputPrYr!$B46&gt;"  ",(inputPrYr!$B46),"  ")</f>
        <v>  </v>
      </c>
      <c r="B33" s="58" t="str">
        <f>IF('no levy page16'!$C$57&gt;0,'no levy page16'!$C$57,"  ")</f>
        <v>  </v>
      </c>
      <c r="C33" s="42"/>
      <c r="D33" s="58" t="str">
        <f>IF('no levy page16'!$D$57&gt;0,'no levy page16'!$D$57,"  ")</f>
        <v>  </v>
      </c>
      <c r="E33" s="42"/>
      <c r="F33" s="58" t="str">
        <f>IF('no levy page16'!$E$57&gt;0,'no levy page16'!$E$57,"  ")</f>
        <v>  </v>
      </c>
      <c r="G33" s="42"/>
      <c r="H33" s="42"/>
    </row>
    <row r="34" spans="1:8" ht="15.75">
      <c r="A34" s="58" t="str">
        <f>IF(inputPrYr!$B47&gt;"  ",(inputPrYr!$B47),"  ")</f>
        <v>  </v>
      </c>
      <c r="B34" s="58" t="str">
        <f>IF('no levy page17'!$C$26&gt;0,'no levy page17'!$C$26,"  ")</f>
        <v>  </v>
      </c>
      <c r="C34" s="42"/>
      <c r="D34" s="58" t="str">
        <f>IF('no levy page17'!$D$26&gt;0,'no levy page17'!$D$26,"  ")</f>
        <v>  </v>
      </c>
      <c r="E34" s="42"/>
      <c r="F34" s="58" t="str">
        <f>IF('no levy page17'!$E$26&gt;0,'no levy page17'!$E$26,"  ")</f>
        <v>  </v>
      </c>
      <c r="G34" s="42"/>
      <c r="H34" s="42"/>
    </row>
    <row r="35" spans="1:8" ht="15.75">
      <c r="A35" s="58" t="str">
        <f>IF(inputPrYr!$B48&gt;"  ",(inputPrYr!$B48),"  ")</f>
        <v>  </v>
      </c>
      <c r="B35" s="58" t="str">
        <f>IF('no levy page17'!$C$57&gt;0,'no levy page17'!$C$57,"  ")</f>
        <v>  </v>
      </c>
      <c r="C35" s="42"/>
      <c r="D35" s="58" t="str">
        <f>IF('no levy page17'!$D$57&gt;0,'no levy page17'!$D$57,"  ")</f>
        <v>  </v>
      </c>
      <c r="E35" s="42"/>
      <c r="F35" s="58" t="str">
        <f>IF('no levy page17'!$E$57&gt;0,'no levy page17'!$E$57,"  ")</f>
        <v>  </v>
      </c>
      <c r="G35" s="42"/>
      <c r="H35" s="42"/>
    </row>
    <row r="36" spans="1:8" ht="15.75">
      <c r="A36" s="58" t="str">
        <f>IF(inputPrYr!$B49&gt;"  ",(inputPrYr!$B49),"  ")</f>
        <v>  </v>
      </c>
      <c r="B36" s="58" t="str">
        <f>IF('no levy page18'!$C$28&gt;0,'no levy page18'!$C$28,"  ")</f>
        <v>  </v>
      </c>
      <c r="C36" s="42"/>
      <c r="D36" s="58" t="str">
        <f>IF('no levy page18'!$D$28&gt;0,'no levy page18'!$D$28,"  ")</f>
        <v>  </v>
      </c>
      <c r="E36" s="42"/>
      <c r="F36" s="58" t="str">
        <f>IF('no levy page18'!$E$28&gt;0,'no levy page18'!$E$28,"  ")</f>
        <v>  </v>
      </c>
      <c r="G36" s="42"/>
      <c r="H36" s="42"/>
    </row>
    <row r="37" spans="1:8" ht="15.75">
      <c r="A37" s="58" t="str">
        <f>IF(inputPrYr!$B50&gt;"  ",(inputPrYr!$B50),"  ")</f>
        <v>  </v>
      </c>
      <c r="B37" s="58" t="str">
        <f>IF('no levy page18'!$C$58&gt;0,'no levy page18'!$C$58,"  ")</f>
        <v>  </v>
      </c>
      <c r="C37" s="42"/>
      <c r="D37" s="58" t="str">
        <f>IF('no levy page18'!$D$58&gt;0,'no levy page18'!$D$58,"  ")</f>
        <v>  </v>
      </c>
      <c r="E37" s="42"/>
      <c r="F37" s="58" t="str">
        <f>IF('no levy page18'!$E$58&gt;0,'no levy page18'!$E$58,"  ")</f>
        <v>  </v>
      </c>
      <c r="G37" s="42"/>
      <c r="H37" s="42"/>
    </row>
    <row r="38" spans="1:8" ht="15.75">
      <c r="A38" s="58" t="str">
        <f>IF(inputPrYr!$B51&gt;"  ",(inputPrYr!$B51),"  ")</f>
        <v>  </v>
      </c>
      <c r="B38" s="58" t="str">
        <f>IF('no levy page19'!$C$28&gt;0,'no levy page19'!$C$28,"  ")</f>
        <v>  </v>
      </c>
      <c r="C38" s="42"/>
      <c r="D38" s="58" t="str">
        <f>IF('no levy page19'!$D$28&gt;0,'no levy page19'!$D$28,"  ")</f>
        <v>  </v>
      </c>
      <c r="E38" s="42"/>
      <c r="F38" s="58" t="str">
        <f>IF('no levy page19'!$E$28&gt;0,'no levy page19'!$E$28,"  ")</f>
        <v>  </v>
      </c>
      <c r="G38" s="42"/>
      <c r="H38" s="42"/>
    </row>
    <row r="39" spans="1:8" ht="15.75">
      <c r="A39" s="58" t="str">
        <f>IF(inputPrYr!$B52&gt;"  ",(inputPrYr!$B52),"  ")</f>
        <v>  </v>
      </c>
      <c r="B39" s="58" t="str">
        <f>IF('no levy page19'!$C$58&gt;0,'no levy page19'!$C$58,"  ")</f>
        <v>  </v>
      </c>
      <c r="C39" s="42"/>
      <c r="D39" s="58" t="str">
        <f>IF('no levy page19'!$D$58&gt;0,'no levy page19'!$D$58,"  ")</f>
        <v>  </v>
      </c>
      <c r="E39" s="42"/>
      <c r="F39" s="58" t="str">
        <f>IF('no levy page19'!$E$58&gt;0,'no levy page19'!$E$58,"  ")</f>
        <v>  </v>
      </c>
      <c r="G39" s="42"/>
      <c r="H39" s="42"/>
    </row>
    <row r="40" spans="1:8" ht="15.75">
      <c r="A40" s="58" t="str">
        <f>IF(inputPrYr!$B53&gt;"  ",(inputPrYr!$B53),"  ")</f>
        <v>  </v>
      </c>
      <c r="B40" s="58" t="str">
        <f>IF('no levy page20'!$C$28&gt;0,'no levy page20'!$C$28,"  ")</f>
        <v>  </v>
      </c>
      <c r="C40" s="42"/>
      <c r="D40" s="58" t="str">
        <f>IF('no levy page20'!$D$28&gt;0,'no levy page20'!$D$28,"  ")</f>
        <v>  </v>
      </c>
      <c r="E40" s="42"/>
      <c r="F40" s="58" t="str">
        <f>IF('no levy page20'!$E$28&gt;0,'no levy page20'!$E$28,"  ")</f>
        <v>  </v>
      </c>
      <c r="G40" s="42"/>
      <c r="H40" s="42"/>
    </row>
    <row r="41" spans="1:13" ht="15.75">
      <c r="A41" s="58" t="str">
        <f>IF(inputPrYr!$B54&gt;"  ",(inputPrYr!$B54),"  ")</f>
        <v>  </v>
      </c>
      <c r="B41" s="58" t="str">
        <f>IF('no levy page20'!$C$58&gt;0,'no levy page20'!$C$58,"  ")</f>
        <v>  </v>
      </c>
      <c r="C41" s="42"/>
      <c r="D41" s="58" t="str">
        <f>IF('no levy page20'!$D$58&gt;0,'no levy page20'!$D$58,"  ")</f>
        <v>  </v>
      </c>
      <c r="E41" s="42"/>
      <c r="F41" s="58" t="str">
        <f>IF('no levy page20'!$E$58&gt;0,'no levy page20'!$E$58,"  ")</f>
        <v>  </v>
      </c>
      <c r="G41" s="42"/>
      <c r="H41" s="42"/>
      <c r="J41" s="1174" t="str">
        <f>CONCATENATE("Estimated Value Of One Mill For ",H2,"")</f>
        <v>Estimated Value Of One Mill For 0</v>
      </c>
      <c r="K41" s="1179"/>
      <c r="L41" s="1179"/>
      <c r="M41" s="1180"/>
    </row>
    <row r="42" spans="1:13" ht="15.75">
      <c r="A42" s="58" t="str">
        <f>IF(inputPrYr!$B55&gt;"  ",(inputPrYr!$B55),"  ")</f>
        <v>  </v>
      </c>
      <c r="B42" s="58" t="str">
        <f>IF('no levy page21'!$C$28&gt;0,'no levy page21'!$C$28,"  ")</f>
        <v>  </v>
      </c>
      <c r="C42" s="42"/>
      <c r="D42" s="58" t="str">
        <f>IF('no levy page21'!$D$28&gt;0,'no levy page21'!$D$28,"  ")</f>
        <v>  </v>
      </c>
      <c r="E42" s="42"/>
      <c r="F42" s="58" t="str">
        <f>IF('no levy page21'!$E$28&gt;0,'no levy page21'!$E$28,"  ")</f>
        <v>  </v>
      </c>
      <c r="G42" s="42"/>
      <c r="H42" s="42"/>
      <c r="J42" s="465"/>
      <c r="K42" s="466"/>
      <c r="L42" s="466"/>
      <c r="M42" s="467"/>
    </row>
    <row r="43" spans="1:13" ht="15.75">
      <c r="A43" s="58" t="str">
        <f>IF(inputPrYr!$B56&gt;"  ",(inputPrYr!$B56),"  ")</f>
        <v>  </v>
      </c>
      <c r="B43" s="58" t="str">
        <f>IF('no levy page21'!$C$58&gt;0,'no levy page21'!$C$58,"  ")</f>
        <v>  </v>
      </c>
      <c r="C43" s="42"/>
      <c r="D43" s="58" t="str">
        <f>IF('no levy page21'!$D$58&gt;0,'no levy page21'!$D$58,"  ")</f>
        <v>  </v>
      </c>
      <c r="E43" s="42"/>
      <c r="F43" s="58" t="str">
        <f>IF('no levy page21'!$E$58&gt;0,'no levy page21'!$E$58,"  ")</f>
        <v>  </v>
      </c>
      <c r="G43" s="42"/>
      <c r="H43" s="42"/>
      <c r="J43" s="468" t="s">
        <v>758</v>
      </c>
      <c r="K43" s="469"/>
      <c r="L43" s="469"/>
      <c r="M43" s="882">
        <f>ROUND(F59/1000,0)</f>
        <v>0</v>
      </c>
    </row>
    <row r="44" spans="1:8" ht="15.75">
      <c r="A44" s="58" t="str">
        <f>IF(inputPrYr!$B58&gt;"  ",(inputPrYr!$B58),"  ")</f>
        <v>  </v>
      </c>
      <c r="B44" s="58" t="str">
        <f>IF(SinNoLevy22!$C$44&gt;0,SinNoLevy22!$C$44,"  ")</f>
        <v>  </v>
      </c>
      <c r="C44" s="42"/>
      <c r="D44" s="58" t="str">
        <f>IF(SinNoLevy22!$D$44&gt;0,SinNoLevy22!$D$44,"  ")</f>
        <v>  </v>
      </c>
      <c r="E44" s="42"/>
      <c r="F44" s="58" t="str">
        <f>IF(SinNoLevy22!$E$44&gt;0,SinNoLevy22!$E$44,"  ")</f>
        <v>  </v>
      </c>
      <c r="G44" s="42"/>
      <c r="H44" s="42"/>
    </row>
    <row r="45" spans="1:13" ht="15.75">
      <c r="A45" s="58" t="str">
        <f>IF(inputPrYr!$B59&gt;"  ",(inputPrYr!$B59),"  ")</f>
        <v>  </v>
      </c>
      <c r="B45" s="58" t="str">
        <f>IF(SinNoLevy23!$C$40&gt;0,SinNoLevy23!$C$40,"  ")</f>
        <v>  </v>
      </c>
      <c r="C45" s="42"/>
      <c r="D45" s="58" t="str">
        <f>IF(SinNoLevy23!$D$40&gt;0,SinNoLevy23!$D$40,"  ")</f>
        <v>  </v>
      </c>
      <c r="E45" s="42"/>
      <c r="F45" s="58" t="str">
        <f>IF(SinNoLevy23!$E$40&gt;0,SinNoLevy23!$E$40,"  ")</f>
        <v>  </v>
      </c>
      <c r="G45" s="42"/>
      <c r="H45" s="42"/>
      <c r="J45" s="1174" t="str">
        <f>CONCATENATE("Want The Mill Rate The Same As For ",H2-1,"?")</f>
        <v>Want The Mill Rate The Same As For -1?</v>
      </c>
      <c r="K45" s="1179"/>
      <c r="L45" s="1179"/>
      <c r="M45" s="1180"/>
    </row>
    <row r="46" spans="1:13" ht="15.75">
      <c r="A46" s="58" t="str">
        <f>IF(inputPrYr!$B60&gt;"  ",(inputPrYr!$B60),"  ")</f>
        <v>  </v>
      </c>
      <c r="B46" s="58" t="str">
        <f>IF(SinNoLevy24!$C$44&gt;0,SinNoLevy24!$C$44,"  ")</f>
        <v>  </v>
      </c>
      <c r="C46" s="42"/>
      <c r="D46" s="58" t="str">
        <f>IF(SinNoLevy24!$D$44&gt;0,SinNoLevy24!$D$44,"  ")</f>
        <v>  </v>
      </c>
      <c r="E46" s="42"/>
      <c r="F46" s="58" t="str">
        <f>IF(SinNoLevy24!$E$44&gt;0,SinNoLevy24!$E$44,"  ")</f>
        <v>  </v>
      </c>
      <c r="G46" s="42"/>
      <c r="H46" s="42"/>
      <c r="J46" s="472"/>
      <c r="K46" s="466"/>
      <c r="L46" s="466"/>
      <c r="M46" s="473"/>
    </row>
    <row r="47" spans="1:13" ht="15.75">
      <c r="A47" s="58" t="str">
        <f>IF(inputPrYr!$B61&gt;"  ",(inputPrYr!$B61),"  ")</f>
        <v>  </v>
      </c>
      <c r="B47" s="58" t="str">
        <f>IF(SinNoLevy25!$C$44&gt;0,SinNoLevy25!$C$44,"  ")</f>
        <v>  </v>
      </c>
      <c r="C47" s="42"/>
      <c r="D47" s="58" t="str">
        <f>IF(SinNoLevy25!$D$44&gt;0,SinNoLevy25!$D$44,"  ")</f>
        <v>  </v>
      </c>
      <c r="E47" s="42"/>
      <c r="F47" s="58" t="str">
        <f>IF(SinNoLevy25!$E$44&gt;0,SinNoLevy25!$E$44,"  ")</f>
        <v>  </v>
      </c>
      <c r="G47" s="42"/>
      <c r="H47" s="42"/>
      <c r="J47" s="472" t="str">
        <f>CONCATENATE("",H2-1," Mill Rate Was:")</f>
        <v>-1 Mill Rate Was:</v>
      </c>
      <c r="K47" s="466"/>
      <c r="L47" s="466"/>
      <c r="M47" s="474">
        <f>E52</f>
        <v>0</v>
      </c>
    </row>
    <row r="48" spans="1:13" ht="15.75">
      <c r="A48" s="58" t="str">
        <f>IF(inputPrYr!$B64&gt;"  ",(NonBudA!$A3),"  ")</f>
        <v>  </v>
      </c>
      <c r="B48" s="58" t="str">
        <f>IF(NonBudA!$K$28&gt;0,NonBudA!$K$28,"  ")</f>
        <v>  </v>
      </c>
      <c r="C48" s="42"/>
      <c r="D48" s="58"/>
      <c r="E48" s="42"/>
      <c r="F48" s="58"/>
      <c r="G48" s="42"/>
      <c r="H48" s="42"/>
      <c r="J48" s="475" t="str">
        <f>CONCATENATE("",H2," Tax Levy Fund Expenditures Must Be")</f>
        <v>0 Tax Levy Fund Expenditures Must Be</v>
      </c>
      <c r="K48" s="476"/>
      <c r="L48" s="476"/>
      <c r="M48" s="473"/>
    </row>
    <row r="49" spans="1:13" ht="15.75">
      <c r="A49" s="58" t="str">
        <f>IF(inputPrYr!$B70&gt;"  ",(NonBudB!$A3),"  ")</f>
        <v>  </v>
      </c>
      <c r="B49" s="58" t="str">
        <f>IF(NonBudB!$K$28&gt;0,NonBudB!$K$28,"  ")</f>
        <v>  </v>
      </c>
      <c r="C49" s="42"/>
      <c r="D49" s="58"/>
      <c r="E49" s="42"/>
      <c r="F49" s="58"/>
      <c r="G49" s="42"/>
      <c r="H49" s="42"/>
      <c r="J49" s="475">
        <f>IF(M49&gt;0,"Increased By:","")</f>
      </c>
      <c r="K49" s="476"/>
      <c r="L49" s="476"/>
      <c r="M49" s="515">
        <f>IF(M56&lt;0,M56*-1,0)</f>
        <v>0</v>
      </c>
    </row>
    <row r="50" spans="1:13" ht="15.75">
      <c r="A50" s="58" t="str">
        <f>IF(inputPrYr!$B76&gt;"  ",(NonBudC!$A3),"  ")</f>
        <v>  </v>
      </c>
      <c r="B50" s="58" t="str">
        <f>IF(NonBudC!$K$28&gt;0,NonBudC!$K$28,"  ")</f>
        <v>  </v>
      </c>
      <c r="C50" s="42"/>
      <c r="D50" s="58"/>
      <c r="E50" s="42"/>
      <c r="F50" s="58"/>
      <c r="G50" s="42"/>
      <c r="H50" s="42"/>
      <c r="J50" s="516">
        <f>IF(M50&lt;0,"Reduced By:","")</f>
      </c>
      <c r="K50" s="517"/>
      <c r="L50" s="517"/>
      <c r="M50" s="518">
        <f>IF(M56&gt;0,M56*-1,0)</f>
        <v>0</v>
      </c>
    </row>
    <row r="51" spans="1:13" ht="16.5" thickBot="1">
      <c r="A51" s="58" t="str">
        <f>IF(inputPrYr!$B82&gt;"  ",(NonBudD!$A3),"  ")</f>
        <v>  </v>
      </c>
      <c r="B51" s="485" t="str">
        <f>IF(NonBudD!$K$28&gt;0,NonBudD!$K$28,"  ")</f>
        <v>  </v>
      </c>
      <c r="C51" s="486"/>
      <c r="D51" s="485"/>
      <c r="E51" s="486"/>
      <c r="F51" s="485"/>
      <c r="G51" s="486"/>
      <c r="H51" s="486"/>
      <c r="J51" s="479"/>
      <c r="K51" s="479"/>
      <c r="L51" s="479"/>
      <c r="M51" s="479"/>
    </row>
    <row r="52" spans="1:13" ht="15.75">
      <c r="A52" s="41" t="s">
        <v>633</v>
      </c>
      <c r="B52" s="793">
        <f>SUM(B15:B51)</f>
        <v>0</v>
      </c>
      <c r="C52" s="794">
        <f>SUM(C15:C27)</f>
        <v>0</v>
      </c>
      <c r="D52" s="793">
        <f>SUM(D15:D51)</f>
        <v>0</v>
      </c>
      <c r="E52" s="794">
        <f>SUM(E15:E27)</f>
        <v>0</v>
      </c>
      <c r="F52" s="793">
        <f>SUM(F15:F51)</f>
        <v>0</v>
      </c>
      <c r="G52" s="793">
        <f>SUM(G15:G51)</f>
        <v>0</v>
      </c>
      <c r="H52" s="794">
        <f>SUM(H15:H27)</f>
        <v>0</v>
      </c>
      <c r="J52" s="1174" t="str">
        <f>CONCATENATE("Impact On Keeping The Same Mill Rate As For ",H2-1,"")</f>
        <v>Impact On Keeping The Same Mill Rate As For -1</v>
      </c>
      <c r="K52" s="1177"/>
      <c r="L52" s="1177"/>
      <c r="M52" s="1178"/>
    </row>
    <row r="53" spans="1:13" ht="15.75">
      <c r="A53" s="448" t="str">
        <f>IF((inputPrYr!B38&gt;""),(inputPrYr!B38),"")</f>
        <v>Recreation</v>
      </c>
      <c r="B53" s="786" t="str">
        <f>IF(('Library-Rec'!C73)&lt;&gt;0,('Library-Rec'!C73),"  ")</f>
        <v>  </v>
      </c>
      <c r="C53" s="789" t="str">
        <f>IF(inputPrYr!D104&gt;0,inputPrYr!D104,"  ")</f>
        <v>  </v>
      </c>
      <c r="D53" s="786" t="str">
        <f>IF(('Library-Rec'!D73)&lt;&gt;0,('Library-Rec'!D73),"  ")</f>
        <v>  </v>
      </c>
      <c r="E53" s="788" t="str">
        <f>IF(inputOth!D37&gt;0,inputOth!D37,"  ")</f>
        <v>  </v>
      </c>
      <c r="F53" s="786" t="str">
        <f>IF(('Library-Rec'!E73)&lt;&gt;0,('Library-Rec'!E73),"  ")</f>
        <v>  </v>
      </c>
      <c r="G53" s="787" t="str">
        <f>IF('Library-Rec'!E80&lt;&gt;0,'Library-Rec'!E80,"  ")</f>
        <v>  </v>
      </c>
      <c r="H53" s="788">
        <f>IF('Library-Rec'!E80&gt;0,ROUND(G53/$F$59*1000,3),0)</f>
        <v>0</v>
      </c>
      <c r="I53" s="482">
        <f>IF(H53&gt;inputOth!E6,"Exceed Limit","")</f>
      </c>
      <c r="J53" s="472"/>
      <c r="K53" s="466"/>
      <c r="L53" s="466"/>
      <c r="M53" s="473"/>
    </row>
    <row r="54" spans="1:13" ht="15.75">
      <c r="A54" s="447" t="s">
        <v>744</v>
      </c>
      <c r="B54" s="795">
        <f aca="true" t="shared" si="0" ref="B54:H54">SUM(B52:B53)</f>
        <v>0</v>
      </c>
      <c r="C54" s="796">
        <f t="shared" si="0"/>
        <v>0</v>
      </c>
      <c r="D54" s="795">
        <f t="shared" si="0"/>
        <v>0</v>
      </c>
      <c r="E54" s="796">
        <f t="shared" si="0"/>
        <v>0</v>
      </c>
      <c r="F54" s="795">
        <f t="shared" si="0"/>
        <v>0</v>
      </c>
      <c r="G54" s="795">
        <f t="shared" si="0"/>
        <v>0</v>
      </c>
      <c r="H54" s="796">
        <f t="shared" si="0"/>
        <v>0</v>
      </c>
      <c r="J54" s="472" t="str">
        <f>CONCATENATE("",H2," Ad Valorem Tax Revenue:")</f>
        <v>0 Ad Valorem Tax Revenue:</v>
      </c>
      <c r="K54" s="466"/>
      <c r="L54" s="466"/>
      <c r="M54" s="467">
        <f>G52</f>
        <v>0</v>
      </c>
    </row>
    <row r="55" spans="1:13" ht="15.75">
      <c r="A55" s="33" t="s">
        <v>128</v>
      </c>
      <c r="B55" s="793">
        <f>transfers!C28</f>
        <v>0</v>
      </c>
      <c r="C55" s="140"/>
      <c r="D55" s="793">
        <f>transfers!D28</f>
        <v>0</v>
      </c>
      <c r="E55" s="140"/>
      <c r="F55" s="793">
        <f>transfers!E28</f>
        <v>0</v>
      </c>
      <c r="G55" s="32"/>
      <c r="H55" s="32"/>
      <c r="J55" s="472" t="str">
        <f>CONCATENATE("",H2-1," Ad Valorem Tax Revenue:")</f>
        <v>-1 Ad Valorem Tax Revenue:</v>
      </c>
      <c r="K55" s="466"/>
      <c r="L55" s="466"/>
      <c r="M55" s="480">
        <f>ROUND(F59*M47/1000,0)</f>
        <v>0</v>
      </c>
    </row>
    <row r="56" spans="1:13" ht="16.5" thickBot="1">
      <c r="A56" s="33" t="s">
        <v>129</v>
      </c>
      <c r="B56" s="797">
        <f>B54-B55</f>
        <v>0</v>
      </c>
      <c r="C56" s="32"/>
      <c r="D56" s="797">
        <f>D54-D55</f>
        <v>0</v>
      </c>
      <c r="E56" s="145"/>
      <c r="F56" s="797">
        <f>F54-F55</f>
        <v>0</v>
      </c>
      <c r="G56" s="32"/>
      <c r="H56" s="32"/>
      <c r="J56" s="477" t="s">
        <v>759</v>
      </c>
      <c r="K56" s="478"/>
      <c r="L56" s="478"/>
      <c r="M56" s="470">
        <f>SUM(M54-M55)</f>
        <v>0</v>
      </c>
    </row>
    <row r="57" spans="1:13" ht="16.5" thickTop="1">
      <c r="A57" s="33" t="s">
        <v>130</v>
      </c>
      <c r="B57" s="793">
        <f>inputPrYr!E107</f>
        <v>0</v>
      </c>
      <c r="C57" s="52"/>
      <c r="D57" s="793">
        <f>inputPrYr!E36</f>
        <v>0</v>
      </c>
      <c r="E57" s="52"/>
      <c r="F57" s="272" t="s">
        <v>91</v>
      </c>
      <c r="G57" s="32"/>
      <c r="H57" s="32"/>
      <c r="J57" s="471"/>
      <c r="K57" s="471"/>
      <c r="L57" s="471"/>
      <c r="M57" s="479"/>
    </row>
    <row r="58" spans="1:13" ht="15.75">
      <c r="A58" s="33" t="s">
        <v>131</v>
      </c>
      <c r="B58" s="798"/>
      <c r="C58" s="32"/>
      <c r="D58" s="799"/>
      <c r="E58" s="32"/>
      <c r="F58" s="798"/>
      <c r="G58" s="32"/>
      <c r="H58" s="32"/>
      <c r="J58" s="1174" t="s">
        <v>760</v>
      </c>
      <c r="K58" s="1175"/>
      <c r="L58" s="1175"/>
      <c r="M58" s="1176"/>
    </row>
    <row r="59" spans="1:13" ht="15.75">
      <c r="A59" s="33" t="s">
        <v>132</v>
      </c>
      <c r="B59" s="793">
        <f>inputPrYr!E108</f>
        <v>0</v>
      </c>
      <c r="C59" s="32"/>
      <c r="D59" s="793">
        <f>inputOth!E40</f>
        <v>0</v>
      </c>
      <c r="E59" s="32"/>
      <c r="F59" s="793">
        <f>inputOth!E9</f>
        <v>0</v>
      </c>
      <c r="G59" s="32"/>
      <c r="H59" s="32"/>
      <c r="J59" s="472"/>
      <c r="K59" s="466"/>
      <c r="L59" s="466"/>
      <c r="M59" s="473"/>
    </row>
    <row r="60" spans="1:13" ht="13.5" customHeight="1">
      <c r="A60" s="32"/>
      <c r="B60" s="32"/>
      <c r="C60" s="32"/>
      <c r="D60" s="32"/>
      <c r="E60" s="32"/>
      <c r="F60" s="32"/>
      <c r="G60" s="32"/>
      <c r="H60" s="32"/>
      <c r="J60" s="472" t="str">
        <f>CONCATENATE("Current ",H2," Estimated Mill Rate:")</f>
        <v>Current 0 Estimated Mill Rate:</v>
      </c>
      <c r="K60" s="466"/>
      <c r="L60" s="466"/>
      <c r="M60" s="474">
        <f>H52</f>
        <v>0</v>
      </c>
    </row>
    <row r="61" spans="1:13" ht="15.75">
      <c r="A61" s="33" t="s">
        <v>133</v>
      </c>
      <c r="B61" s="32"/>
      <c r="C61" s="32"/>
      <c r="D61" s="32"/>
      <c r="E61" s="32"/>
      <c r="F61" s="32"/>
      <c r="G61" s="32"/>
      <c r="H61" s="32"/>
      <c r="J61" s="472" t="str">
        <f>CONCATENATE("Desired ",H2," Mill Rate:")</f>
        <v>Desired 0 Mill Rate:</v>
      </c>
      <c r="K61" s="466"/>
      <c r="L61" s="466"/>
      <c r="M61" s="464">
        <v>0</v>
      </c>
    </row>
    <row r="62" spans="1:13" ht="18.75" customHeight="1">
      <c r="A62" s="33" t="s">
        <v>134</v>
      </c>
      <c r="B62" s="273">
        <f>H2-3</f>
        <v>-3</v>
      </c>
      <c r="C62" s="32"/>
      <c r="D62" s="273">
        <f>H2-2</f>
        <v>-2</v>
      </c>
      <c r="E62" s="32"/>
      <c r="F62" s="273">
        <f>H2-1</f>
        <v>-1</v>
      </c>
      <c r="G62" s="32"/>
      <c r="H62" s="32"/>
      <c r="J62" s="472" t="str">
        <f>CONCATENATE("",H2," Ad Valorem Tax:")</f>
        <v>0 Ad Valorem Tax:</v>
      </c>
      <c r="K62" s="466"/>
      <c r="L62" s="466"/>
      <c r="M62" s="480">
        <f>ROUND(F59*M61/1000,0)</f>
        <v>0</v>
      </c>
    </row>
    <row r="63" spans="1:13" ht="18.75" customHeight="1">
      <c r="A63" s="33" t="s">
        <v>135</v>
      </c>
      <c r="B63" s="183">
        <f>inputPrYr!D112</f>
        <v>0</v>
      </c>
      <c r="C63" s="129"/>
      <c r="D63" s="183">
        <f>inputPrYr!E112</f>
        <v>0</v>
      </c>
      <c r="E63" s="129"/>
      <c r="F63" s="183">
        <f>debt!G20</f>
        <v>0</v>
      </c>
      <c r="G63" s="32"/>
      <c r="H63" s="32"/>
      <c r="J63" s="477" t="str">
        <f>CONCATENATE("",H2," Tax Levy Fund Exp. Changed By:")</f>
        <v>0 Tax Levy Fund Exp. Changed By:</v>
      </c>
      <c r="K63" s="478"/>
      <c r="L63" s="478"/>
      <c r="M63" s="470">
        <f>M62-G52</f>
        <v>0</v>
      </c>
    </row>
    <row r="64" spans="1:8" ht="18.75" customHeight="1">
      <c r="A64" s="33" t="s">
        <v>136</v>
      </c>
      <c r="B64" s="441">
        <f>inputPrYr!D113</f>
        <v>0</v>
      </c>
      <c r="C64" s="129"/>
      <c r="D64" s="441">
        <f>inputPrYr!E113</f>
        <v>0</v>
      </c>
      <c r="E64" s="129"/>
      <c r="F64" s="183">
        <f>debt!G32</f>
        <v>0</v>
      </c>
      <c r="G64" s="32"/>
      <c r="H64" s="32"/>
    </row>
    <row r="65" spans="1:8" ht="18.75" customHeight="1">
      <c r="A65" s="32" t="s">
        <v>154</v>
      </c>
      <c r="B65" s="441">
        <f>inputPrYr!D114</f>
        <v>0</v>
      </c>
      <c r="C65" s="129"/>
      <c r="D65" s="441">
        <f>inputPrYr!E114</f>
        <v>0</v>
      </c>
      <c r="E65" s="129"/>
      <c r="F65" s="183">
        <f>debt!G42</f>
        <v>0</v>
      </c>
      <c r="G65" s="32"/>
      <c r="H65" s="32"/>
    </row>
    <row r="66" spans="1:8" ht="18" customHeight="1">
      <c r="A66" s="33" t="s">
        <v>219</v>
      </c>
      <c r="B66" s="441">
        <f>inputPrYr!D115</f>
        <v>0</v>
      </c>
      <c r="C66" s="129"/>
      <c r="D66" s="441">
        <f>inputPrYr!E115</f>
        <v>0</v>
      </c>
      <c r="E66" s="129"/>
      <c r="F66" s="183">
        <f>lpform!G28</f>
        <v>0</v>
      </c>
      <c r="G66" s="32"/>
      <c r="H66" s="32"/>
    </row>
    <row r="67" spans="1:8" ht="19.5" customHeight="1" thickBot="1">
      <c r="A67" s="33" t="s">
        <v>137</v>
      </c>
      <c r="B67" s="281">
        <f>SUM(B63:B66)</f>
        <v>0</v>
      </c>
      <c r="C67" s="129"/>
      <c r="D67" s="281">
        <f>SUM(D63:D66)</f>
        <v>0</v>
      </c>
      <c r="E67" s="129"/>
      <c r="F67" s="281">
        <f>SUM(F63:F66)</f>
        <v>0</v>
      </c>
      <c r="G67" s="32"/>
      <c r="H67" s="32"/>
    </row>
    <row r="68" spans="1:8" ht="18.75" customHeight="1" thickTop="1">
      <c r="A68" s="33" t="s">
        <v>138</v>
      </c>
      <c r="B68" s="32"/>
      <c r="C68" s="32"/>
      <c r="D68" s="32"/>
      <c r="E68" s="32"/>
      <c r="F68" s="32"/>
      <c r="G68" s="32"/>
      <c r="H68" s="32"/>
    </row>
    <row r="69" spans="1:8" ht="15.75">
      <c r="A69" s="32"/>
      <c r="B69" s="32"/>
      <c r="C69" s="32"/>
      <c r="D69" s="32"/>
      <c r="E69" s="32"/>
      <c r="F69" s="32"/>
      <c r="G69" s="32"/>
      <c r="H69" s="32"/>
    </row>
    <row r="70" spans="1:8" ht="15.75">
      <c r="A70" s="1184">
        <f>inputBudSum!B3</f>
        <v>0</v>
      </c>
      <c r="B70" s="1184"/>
      <c r="C70" s="52"/>
      <c r="D70" s="32"/>
      <c r="E70" s="32"/>
      <c r="F70" s="32"/>
      <c r="G70" s="32"/>
      <c r="H70" s="32"/>
    </row>
    <row r="71" spans="1:8" ht="15.75">
      <c r="A71" s="1182" t="str">
        <f>CONCATENATE("City Official Title: ",inputBudSum!B5,"")</f>
        <v>City Official Title: </v>
      </c>
      <c r="B71" s="1170"/>
      <c r="C71" s="32"/>
      <c r="D71" s="32"/>
      <c r="E71" s="32"/>
      <c r="F71" s="32"/>
      <c r="G71" s="32"/>
      <c r="H71" s="32"/>
    </row>
    <row r="72" spans="1:8" ht="15.75">
      <c r="A72" s="32"/>
      <c r="B72" s="32"/>
      <c r="C72" s="32"/>
      <c r="D72" s="32"/>
      <c r="E72" s="32"/>
      <c r="F72" s="32"/>
      <c r="G72" s="32"/>
      <c r="H72" s="32"/>
    </row>
    <row r="73" spans="1:8" ht="15.75">
      <c r="A73" s="32"/>
      <c r="B73" s="32"/>
      <c r="C73" s="94" t="s">
        <v>112</v>
      </c>
      <c r="D73" s="225"/>
      <c r="E73" s="32"/>
      <c r="F73" s="32"/>
      <c r="G73" s="32"/>
      <c r="H73" s="32"/>
    </row>
  </sheetData>
  <sheetProtection sheet="1"/>
  <mergeCells count="12">
    <mergeCell ref="A71:B71"/>
    <mergeCell ref="A5:H5"/>
    <mergeCell ref="A70:B70"/>
    <mergeCell ref="J58:M58"/>
    <mergeCell ref="J52:M52"/>
    <mergeCell ref="J41:M41"/>
    <mergeCell ref="J45:M45"/>
    <mergeCell ref="A1:H1"/>
    <mergeCell ref="A4:H4"/>
    <mergeCell ref="A6:H6"/>
    <mergeCell ref="A7:H7"/>
    <mergeCell ref="A3:H3"/>
  </mergeCells>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S150" sqref="S150"/>
    </sheetView>
  </sheetViews>
  <sheetFormatPr defaultColWidth="8.796875" defaultRowHeight="15"/>
  <cols>
    <col min="1" max="1" width="10.09765625" style="70" customWidth="1"/>
    <col min="2" max="2" width="16.296875" style="70" customWidth="1"/>
    <col min="3" max="3" width="11.796875" style="70" customWidth="1"/>
    <col min="4" max="4" width="12.796875" style="70" customWidth="1"/>
    <col min="5" max="5" width="11.796875" style="70" customWidth="1"/>
    <col min="6" max="16384" width="8.8984375" style="70" customWidth="1"/>
  </cols>
  <sheetData>
    <row r="1" spans="1:6" ht="15.75">
      <c r="A1" s="140">
        <f>inputPrYr!D3</f>
        <v>0</v>
      </c>
      <c r="B1" s="32"/>
      <c r="C1" s="32"/>
      <c r="D1" s="32"/>
      <c r="E1" s="32"/>
      <c r="F1" s="32">
        <f>inputPrYr!C6</f>
        <v>0</v>
      </c>
    </row>
    <row r="2" spans="1:6" ht="15.75">
      <c r="A2" s="32"/>
      <c r="B2" s="32"/>
      <c r="C2" s="32"/>
      <c r="D2" s="32"/>
      <c r="E2" s="32"/>
      <c r="F2" s="32"/>
    </row>
    <row r="3" spans="1:6" ht="15.75">
      <c r="A3" s="32"/>
      <c r="B3" s="1121" t="str">
        <f>CONCATENATE("",F1," Neighborhood Revitalization Rebate")</f>
        <v>0 Neighborhood Revitalization Rebate</v>
      </c>
      <c r="C3" s="1186"/>
      <c r="D3" s="1186"/>
      <c r="E3" s="1186"/>
      <c r="F3" s="32"/>
    </row>
    <row r="4" spans="1:6" ht="15.75">
      <c r="A4" s="32"/>
      <c r="B4" s="32"/>
      <c r="C4" s="32"/>
      <c r="D4" s="32"/>
      <c r="E4" s="32"/>
      <c r="F4" s="32"/>
    </row>
    <row r="5" spans="1:6" ht="51.75" customHeight="1">
      <c r="A5" s="32"/>
      <c r="B5" s="275" t="str">
        <f>CONCATENATE("Budgeted Funds         for ",F1,"")</f>
        <v>Budgeted Funds         for 0</v>
      </c>
      <c r="C5" s="275" t="str">
        <f>CONCATENATE("",F1-1," Ad Valorem before Rebate**")</f>
        <v>-1 Ad Valorem before Rebate**</v>
      </c>
      <c r="D5" s="276" t="str">
        <f>CONCATENATE("",F1-1," Mil Rate before Rebate")</f>
        <v>-1 Mil Rate before Rebate</v>
      </c>
      <c r="E5" s="277" t="str">
        <f>CONCATENATE("Estimate ",F1," NR Rebate")</f>
        <v>Estimate 0 NR Rebate</v>
      </c>
      <c r="F5" s="63"/>
    </row>
    <row r="6" spans="1:6" ht="15.75">
      <c r="A6" s="32"/>
      <c r="B6" s="41" t="str">
        <f>inputPrYr!B22</f>
        <v>General</v>
      </c>
      <c r="C6" s="278"/>
      <c r="D6" s="279">
        <f>IF(C6&gt;0,C6/$D$25,"")</f>
      </c>
      <c r="E6" s="183">
        <f aca="true" t="shared" si="0" ref="E6:E19">IF(C6&gt;0,ROUND(D6*$D$29,0),0)</f>
        <v>0</v>
      </c>
      <c r="F6" s="63"/>
    </row>
    <row r="7" spans="1:6" ht="15.75">
      <c r="A7" s="32"/>
      <c r="B7" s="41" t="str">
        <f>inputPrYr!B23</f>
        <v>Debt Service</v>
      </c>
      <c r="C7" s="278"/>
      <c r="D7" s="279">
        <f aca="true" t="shared" si="1" ref="D7:D18">IF(C7&gt;0,C7/$D$25,"")</f>
      </c>
      <c r="E7" s="183">
        <f t="shared" si="0"/>
        <v>0</v>
      </c>
      <c r="F7" s="63"/>
    </row>
    <row r="8" spans="1:6" ht="15.75">
      <c r="A8" s="32"/>
      <c r="B8" s="41" t="str">
        <f>inputPrYr!B24</f>
        <v>Library</v>
      </c>
      <c r="C8" s="278"/>
      <c r="D8" s="279">
        <f>IF(C8&gt;0,C8/$D$25,"")</f>
      </c>
      <c r="E8" s="183">
        <f t="shared" si="0"/>
        <v>0</v>
      </c>
      <c r="F8" s="63"/>
    </row>
    <row r="9" spans="1:6" ht="15.75">
      <c r="A9" s="32"/>
      <c r="B9" s="58">
        <f>inputPrYr!B26</f>
        <v>0</v>
      </c>
      <c r="C9" s="278"/>
      <c r="D9" s="279">
        <f t="shared" si="1"/>
      </c>
      <c r="E9" s="183">
        <f t="shared" si="0"/>
        <v>0</v>
      </c>
      <c r="F9" s="63"/>
    </row>
    <row r="10" spans="1:6" ht="15.75">
      <c r="A10" s="32"/>
      <c r="B10" s="58">
        <f>inputPrYr!B27</f>
        <v>0</v>
      </c>
      <c r="C10" s="278"/>
      <c r="D10" s="279">
        <f t="shared" si="1"/>
      </c>
      <c r="E10" s="183">
        <f t="shared" si="0"/>
        <v>0</v>
      </c>
      <c r="F10" s="63"/>
    </row>
    <row r="11" spans="1:6" ht="15.75">
      <c r="A11" s="32"/>
      <c r="B11" s="58">
        <f>inputPrYr!B28</f>
        <v>0</v>
      </c>
      <c r="C11" s="278"/>
      <c r="D11" s="279">
        <f t="shared" si="1"/>
      </c>
      <c r="E11" s="183">
        <f t="shared" si="0"/>
        <v>0</v>
      </c>
      <c r="F11" s="63"/>
    </row>
    <row r="12" spans="1:6" ht="15.75">
      <c r="A12" s="32"/>
      <c r="B12" s="58">
        <f>inputPrYr!B29</f>
        <v>0</v>
      </c>
      <c r="C12" s="278"/>
      <c r="D12" s="279">
        <f t="shared" si="1"/>
      </c>
      <c r="E12" s="183">
        <f t="shared" si="0"/>
        <v>0</v>
      </c>
      <c r="F12" s="63"/>
    </row>
    <row r="13" spans="1:6" ht="15.75">
      <c r="A13" s="32"/>
      <c r="B13" s="58">
        <f>inputPrYr!B30</f>
        <v>0</v>
      </c>
      <c r="C13" s="280"/>
      <c r="D13" s="279">
        <f t="shared" si="1"/>
      </c>
      <c r="E13" s="183">
        <f t="shared" si="0"/>
        <v>0</v>
      </c>
      <c r="F13" s="63"/>
    </row>
    <row r="14" spans="1:6" ht="15.75">
      <c r="A14" s="32"/>
      <c r="B14" s="58">
        <f>inputPrYr!B31</f>
        <v>0</v>
      </c>
      <c r="C14" s="280"/>
      <c r="D14" s="279">
        <f t="shared" si="1"/>
      </c>
      <c r="E14" s="183">
        <f t="shared" si="0"/>
        <v>0</v>
      </c>
      <c r="F14" s="63"/>
    </row>
    <row r="15" spans="1:6" ht="15.75">
      <c r="A15" s="32"/>
      <c r="B15" s="58">
        <f>inputPrYr!B32</f>
        <v>0</v>
      </c>
      <c r="C15" s="280"/>
      <c r="D15" s="279">
        <f t="shared" si="1"/>
      </c>
      <c r="E15" s="183">
        <f t="shared" si="0"/>
        <v>0</v>
      </c>
      <c r="F15" s="63"/>
    </row>
    <row r="16" spans="1:6" ht="15.75">
      <c r="A16" s="32"/>
      <c r="B16" s="58">
        <f>inputPrYr!B33</f>
        <v>0</v>
      </c>
      <c r="C16" s="280"/>
      <c r="D16" s="279">
        <f t="shared" si="1"/>
      </c>
      <c r="E16" s="183">
        <f t="shared" si="0"/>
        <v>0</v>
      </c>
      <c r="F16" s="63"/>
    </row>
    <row r="17" spans="1:6" ht="15.75">
      <c r="A17" s="32"/>
      <c r="B17" s="58">
        <f>inputPrYr!B34</f>
        <v>0</v>
      </c>
      <c r="C17" s="280"/>
      <c r="D17" s="279">
        <f t="shared" si="1"/>
      </c>
      <c r="E17" s="183">
        <f t="shared" si="0"/>
        <v>0</v>
      </c>
      <c r="F17" s="63"/>
    </row>
    <row r="18" spans="1:6" ht="15.75">
      <c r="A18" s="32"/>
      <c r="B18" s="58">
        <f>inputPrYr!B35</f>
        <v>0</v>
      </c>
      <c r="C18" s="280"/>
      <c r="D18" s="279">
        <f t="shared" si="1"/>
      </c>
      <c r="E18" s="183">
        <f t="shared" si="0"/>
        <v>0</v>
      </c>
      <c r="F18" s="63"/>
    </row>
    <row r="19" spans="1:6" ht="15.75">
      <c r="A19" s="32"/>
      <c r="B19" s="58" t="str">
        <f>inputPrYr!B38</f>
        <v>Recreation</v>
      </c>
      <c r="C19" s="280"/>
      <c r="D19" s="279">
        <f>IF(C19&gt;0,C19/$D$25,"")</f>
      </c>
      <c r="E19" s="183">
        <f t="shared" si="0"/>
        <v>0</v>
      </c>
      <c r="F19" s="63"/>
    </row>
    <row r="20" spans="1:6" ht="16.5" thickBot="1">
      <c r="A20" s="32"/>
      <c r="B20" s="42" t="s">
        <v>97</v>
      </c>
      <c r="C20" s="281">
        <f>SUM(C6:C19)</f>
        <v>0</v>
      </c>
      <c r="D20" s="282">
        <f>SUM(D6:D18)</f>
        <v>0</v>
      </c>
      <c r="E20" s="281">
        <f>SUM(E6:E18)</f>
        <v>0</v>
      </c>
      <c r="F20" s="63"/>
    </row>
    <row r="21" spans="1:6" ht="16.5" thickTop="1">
      <c r="A21" s="32"/>
      <c r="B21" s="32"/>
      <c r="C21" s="32"/>
      <c r="D21" s="32"/>
      <c r="E21" s="32"/>
      <c r="F21" s="63"/>
    </row>
    <row r="22" spans="1:6" ht="15.75">
      <c r="A22" s="32"/>
      <c r="B22" s="32"/>
      <c r="C22" s="32"/>
      <c r="D22" s="32"/>
      <c r="E22" s="32"/>
      <c r="F22" s="63"/>
    </row>
    <row r="23" spans="1:6" ht="15.75">
      <c r="A23" s="1187" t="str">
        <f>CONCATENATE("",F1-1," July 1 Valuation:")</f>
        <v>-1 July 1 Valuation:</v>
      </c>
      <c r="B23" s="1147"/>
      <c r="C23" s="1187"/>
      <c r="D23" s="274">
        <f>inputOth!E9</f>
        <v>0</v>
      </c>
      <c r="E23" s="32"/>
      <c r="F23" s="63"/>
    </row>
    <row r="24" spans="1:6" ht="15.75">
      <c r="A24" s="32"/>
      <c r="B24" s="32"/>
      <c r="C24" s="32"/>
      <c r="D24" s="32"/>
      <c r="E24" s="32"/>
      <c r="F24" s="63"/>
    </row>
    <row r="25" spans="1:6" ht="15.75">
      <c r="A25" s="32"/>
      <c r="B25" s="1187" t="s">
        <v>321</v>
      </c>
      <c r="C25" s="1187"/>
      <c r="D25" s="283">
        <f>IF(D23&gt;0,(D23*0.001),"")</f>
      </c>
      <c r="E25" s="32"/>
      <c r="F25" s="63"/>
    </row>
    <row r="26" spans="1:6" ht="15.75">
      <c r="A26" s="32"/>
      <c r="B26" s="94"/>
      <c r="C26" s="94"/>
      <c r="D26" s="284"/>
      <c r="E26" s="32"/>
      <c r="F26" s="63"/>
    </row>
    <row r="27" spans="1:6" ht="15.75">
      <c r="A27" s="1185" t="s">
        <v>322</v>
      </c>
      <c r="B27" s="1117"/>
      <c r="C27" s="1117"/>
      <c r="D27" s="285">
        <f>inputOth!E20</f>
        <v>0</v>
      </c>
      <c r="E27" s="44"/>
      <c r="F27" s="44"/>
    </row>
    <row r="28" spans="1:6" ht="15">
      <c r="A28" s="44"/>
      <c r="B28" s="44"/>
      <c r="C28" s="44"/>
      <c r="D28" s="286"/>
      <c r="E28" s="44"/>
      <c r="F28" s="44"/>
    </row>
    <row r="29" spans="1:6" ht="15.75">
      <c r="A29" s="44"/>
      <c r="B29" s="1185" t="s">
        <v>323</v>
      </c>
      <c r="C29" s="1147"/>
      <c r="D29" s="287">
        <f>IF(D27&gt;0,(D27*0.001),"")</f>
      </c>
      <c r="E29" s="44"/>
      <c r="F29" s="44"/>
    </row>
    <row r="30" spans="1:6" ht="15">
      <c r="A30" s="44"/>
      <c r="B30" s="44"/>
      <c r="C30" s="44"/>
      <c r="D30" s="44"/>
      <c r="E30" s="44"/>
      <c r="F30" s="44"/>
    </row>
    <row r="31" spans="1:6" ht="15">
      <c r="A31" s="44"/>
      <c r="B31" s="44"/>
      <c r="C31" s="44"/>
      <c r="D31" s="44"/>
      <c r="E31" s="44"/>
      <c r="F31" s="44"/>
    </row>
    <row r="32" spans="1:6" ht="15">
      <c r="A32" s="44"/>
      <c r="B32" s="44"/>
      <c r="C32" s="44"/>
      <c r="D32" s="44"/>
      <c r="E32" s="44"/>
      <c r="F32" s="44"/>
    </row>
    <row r="33" spans="1:6" ht="15.75">
      <c r="A33" s="317" t="str">
        <f>CONCATENATE("**This information comes from the ",F1," Budget Summary page.  See instructions tab #13 for completing")</f>
        <v>**This information comes from the 0 Budget Summary page.  See instructions tab #13 for completing</v>
      </c>
      <c r="B33" s="44"/>
      <c r="C33" s="44"/>
      <c r="D33" s="44"/>
      <c r="E33" s="44"/>
      <c r="F33" s="44"/>
    </row>
    <row r="34" spans="1:6" ht="15.75">
      <c r="A34" s="317" t="s">
        <v>611</v>
      </c>
      <c r="B34" s="44"/>
      <c r="C34" s="44"/>
      <c r="D34" s="44"/>
      <c r="E34" s="44"/>
      <c r="F34" s="44"/>
    </row>
    <row r="35" spans="1:6" ht="15.75">
      <c r="A35" s="317"/>
      <c r="B35" s="44"/>
      <c r="C35" s="44"/>
      <c r="D35" s="44"/>
      <c r="E35" s="44"/>
      <c r="F35" s="44"/>
    </row>
    <row r="36" spans="1:6" ht="15.75">
      <c r="A36" s="317"/>
      <c r="B36" s="44"/>
      <c r="C36" s="44"/>
      <c r="D36" s="44"/>
      <c r="E36" s="44"/>
      <c r="F36" s="44"/>
    </row>
    <row r="37" spans="1:6" ht="15.75">
      <c r="A37" s="317"/>
      <c r="B37" s="44"/>
      <c r="C37" s="44"/>
      <c r="D37" s="44"/>
      <c r="E37" s="44"/>
      <c r="F37" s="44"/>
    </row>
    <row r="38" spans="1:6" ht="15.75">
      <c r="A38" s="317"/>
      <c r="B38" s="44"/>
      <c r="C38" s="44"/>
      <c r="D38" s="44"/>
      <c r="E38" s="44"/>
      <c r="F38" s="44"/>
    </row>
    <row r="39" spans="1:6" ht="15">
      <c r="A39" s="44"/>
      <c r="B39" s="44"/>
      <c r="C39" s="44"/>
      <c r="D39" s="44"/>
      <c r="E39" s="44"/>
      <c r="F39" s="44"/>
    </row>
    <row r="40" spans="1:6" ht="15.75">
      <c r="A40" s="44"/>
      <c r="B40" s="136" t="s">
        <v>120</v>
      </c>
      <c r="C40" s="225"/>
      <c r="D40" s="44"/>
      <c r="E40" s="44"/>
      <c r="F40" s="44"/>
    </row>
    <row r="41" spans="1:6" ht="15.75">
      <c r="A41" s="63"/>
      <c r="B41" s="32"/>
      <c r="C41" s="32"/>
      <c r="D41" s="288"/>
      <c r="E41" s="63"/>
      <c r="F41" s="63"/>
    </row>
  </sheetData>
  <sheetProtection sheet="1"/>
  <mergeCells count="5">
    <mergeCell ref="B29:C29"/>
    <mergeCell ref="B3:E3"/>
    <mergeCell ref="A23:C23"/>
    <mergeCell ref="B25:C25"/>
    <mergeCell ref="A27:C27"/>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27" sqref="N127"/>
    </sheetView>
  </sheetViews>
  <sheetFormatPr defaultColWidth="8.796875" defaultRowHeight="15"/>
  <cols>
    <col min="1" max="1" width="71.296875" style="0" customWidth="1"/>
  </cols>
  <sheetData>
    <row r="3" spans="1:12" ht="15">
      <c r="A3" s="305" t="s">
        <v>394</v>
      </c>
      <c r="B3" s="305"/>
      <c r="C3" s="305"/>
      <c r="D3" s="305"/>
      <c r="E3" s="305"/>
      <c r="F3" s="305"/>
      <c r="G3" s="305"/>
      <c r="H3" s="305"/>
      <c r="I3" s="305"/>
      <c r="J3" s="305"/>
      <c r="K3" s="305"/>
      <c r="L3" s="305"/>
    </row>
    <row r="5" ht="15">
      <c r="A5" s="306" t="s">
        <v>395</v>
      </c>
    </row>
    <row r="6" ht="15">
      <c r="A6" s="306" t="str">
        <f>CONCATENATE(inputPrYr!C6-2," 'total expenditures' exceed your ",inputPrYr!C6-2," 'budget authority.'")</f>
        <v>-2 'total expenditures' exceed your -2 'budget authority.'</v>
      </c>
    </row>
    <row r="7" ht="15">
      <c r="A7" s="306"/>
    </row>
    <row r="8" ht="15">
      <c r="A8" s="306" t="s">
        <v>396</v>
      </c>
    </row>
    <row r="9" ht="15">
      <c r="A9" s="306" t="s">
        <v>397</v>
      </c>
    </row>
    <row r="10" ht="15">
      <c r="A10" s="306" t="s">
        <v>398</v>
      </c>
    </row>
    <row r="11" ht="15">
      <c r="A11" s="306"/>
    </row>
    <row r="12" ht="15">
      <c r="A12" s="306"/>
    </row>
    <row r="13" ht="15">
      <c r="A13" s="307" t="s">
        <v>399</v>
      </c>
    </row>
    <row r="15" ht="15">
      <c r="A15" s="306" t="s">
        <v>400</v>
      </c>
    </row>
    <row r="16" ht="15">
      <c r="A16" s="306" t="str">
        <f>CONCATENATE("(i.e. an audit has not been completed, or the ",inputPrYr!C6," adopted")</f>
        <v>(i.e. an audit has not been completed, or the  adopted</v>
      </c>
    </row>
    <row r="17" ht="15">
      <c r="A17" s="306" t="s">
        <v>401</v>
      </c>
    </row>
    <row r="18" ht="15">
      <c r="A18" s="306" t="s">
        <v>402</v>
      </c>
    </row>
    <row r="19" ht="15">
      <c r="A19" s="306" t="s">
        <v>403</v>
      </c>
    </row>
    <row r="21" ht="15">
      <c r="A21" s="307" t="s">
        <v>404</v>
      </c>
    </row>
    <row r="22" ht="15">
      <c r="A22" s="307"/>
    </row>
    <row r="23" ht="15">
      <c r="A23" s="306" t="s">
        <v>405</v>
      </c>
    </row>
    <row r="24" ht="15">
      <c r="A24" s="306" t="s">
        <v>406</v>
      </c>
    </row>
    <row r="25" ht="15">
      <c r="A25" s="306" t="str">
        <f>CONCATENATE("particular fund.  If your ",inputPrYr!C6-2," budget was amended, did you")</f>
        <v>particular fund.  If your -2 budget was amended, did you</v>
      </c>
    </row>
    <row r="26" ht="15">
      <c r="A26" s="306" t="s">
        <v>407</v>
      </c>
    </row>
    <row r="27" ht="15">
      <c r="A27" s="306"/>
    </row>
    <row r="28" ht="15">
      <c r="A28" s="306" t="str">
        <f>CONCATENATE("Next, look to see if any of your ",inputPrYr!C6-2," expenditures can be")</f>
        <v>Next, look to see if any of your -2 expenditures can be</v>
      </c>
    </row>
    <row r="29" ht="15">
      <c r="A29" s="306" t="s">
        <v>408</v>
      </c>
    </row>
    <row r="30" ht="15">
      <c r="A30" s="306" t="s">
        <v>409</v>
      </c>
    </row>
    <row r="31" ht="15">
      <c r="A31" s="306" t="s">
        <v>410</v>
      </c>
    </row>
    <row r="32" ht="15">
      <c r="A32" s="306"/>
    </row>
    <row r="33" ht="15">
      <c r="A33" s="306" t="str">
        <f>CONCATENATE("Additionally, do your ",inputPrYr!C6-2," receipts contain a reimbursement")</f>
        <v>Additionally, do your -2 receipts contain a reimbursement</v>
      </c>
    </row>
    <row r="34" ht="15">
      <c r="A34" s="306" t="s">
        <v>411</v>
      </c>
    </row>
    <row r="35" ht="15">
      <c r="A35" s="306" t="s">
        <v>412</v>
      </c>
    </row>
    <row r="36" ht="15">
      <c r="A36" s="306"/>
    </row>
    <row r="37" ht="15">
      <c r="A37" s="306" t="s">
        <v>413</v>
      </c>
    </row>
    <row r="38" ht="15">
      <c r="A38" s="306" t="s">
        <v>414</v>
      </c>
    </row>
    <row r="39" ht="15">
      <c r="A39" s="306" t="s">
        <v>415</v>
      </c>
    </row>
    <row r="40" ht="15">
      <c r="A40" s="306" t="s">
        <v>416</v>
      </c>
    </row>
    <row r="41" ht="15">
      <c r="A41" s="306" t="s">
        <v>417</v>
      </c>
    </row>
    <row r="42" ht="15">
      <c r="A42" s="306" t="s">
        <v>418</v>
      </c>
    </row>
    <row r="43" ht="15">
      <c r="A43" s="306" t="s">
        <v>419</v>
      </c>
    </row>
    <row r="44" ht="15">
      <c r="A44" s="306" t="s">
        <v>420</v>
      </c>
    </row>
    <row r="45" ht="15">
      <c r="A45" s="306"/>
    </row>
    <row r="46" ht="15">
      <c r="A46" s="306" t="s">
        <v>421</v>
      </c>
    </row>
    <row r="47" ht="15">
      <c r="A47" s="306" t="s">
        <v>422</v>
      </c>
    </row>
    <row r="48" ht="15">
      <c r="A48" s="306" t="s">
        <v>423</v>
      </c>
    </row>
    <row r="49" ht="15">
      <c r="A49" s="306"/>
    </row>
    <row r="50" ht="15">
      <c r="A50" s="306" t="s">
        <v>424</v>
      </c>
    </row>
    <row r="51" ht="15">
      <c r="A51" s="306" t="s">
        <v>425</v>
      </c>
    </row>
    <row r="52" ht="15">
      <c r="A52" s="306" t="s">
        <v>426</v>
      </c>
    </row>
    <row r="53" ht="15">
      <c r="A53" s="306"/>
    </row>
    <row r="54" ht="15">
      <c r="A54" s="307" t="s">
        <v>427</v>
      </c>
    </row>
    <row r="55" ht="15">
      <c r="A55" s="306"/>
    </row>
    <row r="56" ht="15">
      <c r="A56" s="306" t="s">
        <v>428</v>
      </c>
    </row>
    <row r="57" ht="15">
      <c r="A57" s="306" t="s">
        <v>429</v>
      </c>
    </row>
    <row r="58" ht="15">
      <c r="A58" s="306" t="s">
        <v>430</v>
      </c>
    </row>
    <row r="59" ht="15">
      <c r="A59" s="306" t="s">
        <v>431</v>
      </c>
    </row>
    <row r="60" ht="15">
      <c r="A60" s="306" t="s">
        <v>432</v>
      </c>
    </row>
    <row r="61" ht="15">
      <c r="A61" s="306" t="s">
        <v>433</v>
      </c>
    </row>
    <row r="62" ht="15">
      <c r="A62" s="306" t="s">
        <v>434</v>
      </c>
    </row>
    <row r="63" ht="15">
      <c r="A63" s="306" t="s">
        <v>435</v>
      </c>
    </row>
    <row r="64" ht="15">
      <c r="A64" s="306" t="s">
        <v>436</v>
      </c>
    </row>
    <row r="65" ht="15">
      <c r="A65" s="306" t="s">
        <v>437</v>
      </c>
    </row>
    <row r="66" ht="15">
      <c r="A66" s="306" t="s">
        <v>438</v>
      </c>
    </row>
    <row r="67" ht="15">
      <c r="A67" s="306" t="s">
        <v>439</v>
      </c>
    </row>
    <row r="68" ht="15">
      <c r="A68" s="306" t="s">
        <v>440</v>
      </c>
    </row>
    <row r="69" ht="15">
      <c r="A69" s="306"/>
    </row>
    <row r="70" ht="15">
      <c r="A70" s="306" t="s">
        <v>441</v>
      </c>
    </row>
    <row r="71" ht="15">
      <c r="A71" s="306" t="s">
        <v>442</v>
      </c>
    </row>
    <row r="72" ht="15">
      <c r="A72" s="306" t="s">
        <v>443</v>
      </c>
    </row>
    <row r="73" ht="15">
      <c r="A73" s="306"/>
    </row>
    <row r="74" ht="15">
      <c r="A74" s="307" t="str">
        <f>CONCATENATE("What if the ",inputPrYr!C6-2," financial records have been closed?")</f>
        <v>What if the -2 financial records have been closed?</v>
      </c>
    </row>
    <row r="76" ht="15">
      <c r="A76" s="306" t="s">
        <v>444</v>
      </c>
    </row>
    <row r="77" ht="15">
      <c r="A77" s="306" t="str">
        <f>CONCATENATE("(i.e. an audit for ",inputPrYr!C6-2," has been completed, or the ",inputPrYr!C6)</f>
        <v>(i.e. an audit for -2 has been completed, or the </v>
      </c>
    </row>
    <row r="78" ht="15">
      <c r="A78" s="306" t="s">
        <v>445</v>
      </c>
    </row>
    <row r="79" ht="15">
      <c r="A79" s="306" t="s">
        <v>446</v>
      </c>
    </row>
    <row r="80" ht="15">
      <c r="A80" s="306"/>
    </row>
    <row r="81" ht="15">
      <c r="A81" s="306" t="s">
        <v>447</v>
      </c>
    </row>
    <row r="82" ht="15">
      <c r="A82" s="306" t="s">
        <v>448</v>
      </c>
    </row>
    <row r="83" ht="15">
      <c r="A83" s="306" t="s">
        <v>449</v>
      </c>
    </row>
    <row r="84" ht="15">
      <c r="A84" s="306"/>
    </row>
    <row r="85" ht="15">
      <c r="A85" s="306" t="s">
        <v>450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21" sqref="N121"/>
    </sheetView>
  </sheetViews>
  <sheetFormatPr defaultColWidth="8.796875" defaultRowHeight="15"/>
  <cols>
    <col min="1" max="1" width="71.296875" style="0" customWidth="1"/>
  </cols>
  <sheetData>
    <row r="3" spans="1:10" ht="15">
      <c r="A3" s="305" t="s">
        <v>451</v>
      </c>
      <c r="B3" s="305"/>
      <c r="C3" s="305"/>
      <c r="D3" s="305"/>
      <c r="E3" s="305"/>
      <c r="F3" s="305"/>
      <c r="G3" s="305"/>
      <c r="H3" s="308"/>
      <c r="I3" s="308"/>
      <c r="J3" s="308"/>
    </row>
    <row r="5" ht="15">
      <c r="A5" s="306" t="s">
        <v>452</v>
      </c>
    </row>
    <row r="6" ht="15">
      <c r="A6" t="str">
        <f>CONCATENATE(inputPrYr!C6-2," expenditures show that you finished the year with a ")</f>
        <v>-2 expenditures show that you finished the year with a </v>
      </c>
    </row>
    <row r="7" ht="15">
      <c r="A7" t="s">
        <v>453</v>
      </c>
    </row>
    <row r="9" ht="15">
      <c r="A9" t="s">
        <v>454</v>
      </c>
    </row>
    <row r="10" ht="15">
      <c r="A10" t="s">
        <v>455</v>
      </c>
    </row>
    <row r="11" ht="15">
      <c r="A11" t="s">
        <v>456</v>
      </c>
    </row>
    <row r="13" ht="15">
      <c r="A13" s="307" t="s">
        <v>457</v>
      </c>
    </row>
    <row r="14" ht="15">
      <c r="A14" s="307"/>
    </row>
    <row r="15" ht="15">
      <c r="A15" s="306" t="s">
        <v>458</v>
      </c>
    </row>
    <row r="16" ht="15">
      <c r="A16" s="306" t="s">
        <v>459</v>
      </c>
    </row>
    <row r="17" ht="15">
      <c r="A17" s="306" t="s">
        <v>460</v>
      </c>
    </row>
    <row r="18" ht="15">
      <c r="A18" s="306"/>
    </row>
    <row r="19" ht="15">
      <c r="A19" s="307" t="s">
        <v>461</v>
      </c>
    </row>
    <row r="20" ht="15">
      <c r="A20" s="307"/>
    </row>
    <row r="21" ht="15">
      <c r="A21" s="306" t="s">
        <v>462</v>
      </c>
    </row>
    <row r="22" ht="15">
      <c r="A22" s="306" t="s">
        <v>463</v>
      </c>
    </row>
    <row r="23" ht="15">
      <c r="A23" s="306" t="s">
        <v>464</v>
      </c>
    </row>
    <row r="24" ht="15">
      <c r="A24" s="306"/>
    </row>
    <row r="25" ht="15">
      <c r="A25" s="307" t="s">
        <v>465</v>
      </c>
    </row>
    <row r="26" ht="15">
      <c r="A26" s="307"/>
    </row>
    <row r="27" ht="15">
      <c r="A27" s="306" t="s">
        <v>466</v>
      </c>
    </row>
    <row r="28" ht="15">
      <c r="A28" s="306" t="s">
        <v>467</v>
      </c>
    </row>
    <row r="29" ht="15">
      <c r="A29" s="306" t="s">
        <v>468</v>
      </c>
    </row>
    <row r="30" ht="15">
      <c r="A30" s="306"/>
    </row>
    <row r="31" ht="15">
      <c r="A31" s="307" t="s">
        <v>469</v>
      </c>
    </row>
    <row r="32" ht="15">
      <c r="A32" s="307"/>
    </row>
    <row r="33" spans="1:8" ht="15">
      <c r="A33" s="306" t="str">
        <f>CONCATENATE("If your financial records for ",inputPrYr!C6-2," are not closed")</f>
        <v>If your financial records for -2 are not closed</v>
      </c>
      <c r="B33" s="306"/>
      <c r="C33" s="306"/>
      <c r="D33" s="306"/>
      <c r="E33" s="306"/>
      <c r="F33" s="306"/>
      <c r="G33" s="306"/>
      <c r="H33" s="306"/>
    </row>
    <row r="34" spans="1:8" ht="15">
      <c r="A34" s="306" t="str">
        <f>CONCATENATE("(i.e. an audit has not been completed, or the ",inputPrYr!C6," adopted ")</f>
        <v>(i.e. an audit has not been completed, or the  adopted </v>
      </c>
      <c r="B34" s="306"/>
      <c r="C34" s="306"/>
      <c r="D34" s="306"/>
      <c r="E34" s="306"/>
      <c r="F34" s="306"/>
      <c r="G34" s="306"/>
      <c r="H34" s="306"/>
    </row>
    <row r="35" spans="1:8" ht="15">
      <c r="A35" s="306" t="s">
        <v>470</v>
      </c>
      <c r="B35" s="306"/>
      <c r="C35" s="306"/>
      <c r="D35" s="306"/>
      <c r="E35" s="306"/>
      <c r="F35" s="306"/>
      <c r="G35" s="306"/>
      <c r="H35" s="306"/>
    </row>
    <row r="36" spans="1:8" ht="15">
      <c r="A36" s="306" t="s">
        <v>471</v>
      </c>
      <c r="B36" s="306"/>
      <c r="C36" s="306"/>
      <c r="D36" s="306"/>
      <c r="E36" s="306"/>
      <c r="F36" s="306"/>
      <c r="G36" s="306"/>
      <c r="H36" s="306"/>
    </row>
    <row r="37" spans="1:8" ht="15">
      <c r="A37" s="306" t="s">
        <v>472</v>
      </c>
      <c r="B37" s="306"/>
      <c r="C37" s="306"/>
      <c r="D37" s="306"/>
      <c r="E37" s="306"/>
      <c r="F37" s="306"/>
      <c r="G37" s="306"/>
      <c r="H37" s="306"/>
    </row>
    <row r="38" spans="1:8" ht="15">
      <c r="A38" s="306" t="s">
        <v>473</v>
      </c>
      <c r="B38" s="306"/>
      <c r="C38" s="306"/>
      <c r="D38" s="306"/>
      <c r="E38" s="306"/>
      <c r="F38" s="306"/>
      <c r="G38" s="306"/>
      <c r="H38" s="306"/>
    </row>
    <row r="39" spans="1:8" ht="15">
      <c r="A39" s="306" t="s">
        <v>474</v>
      </c>
      <c r="B39" s="306"/>
      <c r="C39" s="306"/>
      <c r="D39" s="306"/>
      <c r="E39" s="306"/>
      <c r="F39" s="306"/>
      <c r="G39" s="306"/>
      <c r="H39" s="306"/>
    </row>
    <row r="40" spans="1:8" ht="15">
      <c r="A40" s="306"/>
      <c r="B40" s="306"/>
      <c r="C40" s="306"/>
      <c r="D40" s="306"/>
      <c r="E40" s="306"/>
      <c r="F40" s="306"/>
      <c r="G40" s="306"/>
      <c r="H40" s="306"/>
    </row>
    <row r="41" spans="1:8" ht="15">
      <c r="A41" s="306" t="s">
        <v>475</v>
      </c>
      <c r="B41" s="306"/>
      <c r="C41" s="306"/>
      <c r="D41" s="306"/>
      <c r="E41" s="306"/>
      <c r="F41" s="306"/>
      <c r="G41" s="306"/>
      <c r="H41" s="306"/>
    </row>
    <row r="42" spans="1:8" ht="15">
      <c r="A42" s="306" t="s">
        <v>476</v>
      </c>
      <c r="B42" s="306"/>
      <c r="C42" s="306"/>
      <c r="D42" s="306"/>
      <c r="E42" s="306"/>
      <c r="F42" s="306"/>
      <c r="G42" s="306"/>
      <c r="H42" s="306"/>
    </row>
    <row r="43" spans="1:8" ht="15">
      <c r="A43" s="306" t="s">
        <v>477</v>
      </c>
      <c r="B43" s="306"/>
      <c r="C43" s="306"/>
      <c r="D43" s="306"/>
      <c r="E43" s="306"/>
      <c r="F43" s="306"/>
      <c r="G43" s="306"/>
      <c r="H43" s="306"/>
    </row>
    <row r="44" spans="1:8" ht="15">
      <c r="A44" s="306" t="s">
        <v>478</v>
      </c>
      <c r="B44" s="306"/>
      <c r="C44" s="306"/>
      <c r="D44" s="306"/>
      <c r="E44" s="306"/>
      <c r="F44" s="306"/>
      <c r="G44" s="306"/>
      <c r="H44" s="306"/>
    </row>
    <row r="45" spans="1:8" ht="15">
      <c r="A45" s="306"/>
      <c r="B45" s="306"/>
      <c r="C45" s="306"/>
      <c r="D45" s="306"/>
      <c r="E45" s="306"/>
      <c r="F45" s="306"/>
      <c r="G45" s="306"/>
      <c r="H45" s="306"/>
    </row>
    <row r="46" spans="1:8" ht="15">
      <c r="A46" s="306" t="s">
        <v>479</v>
      </c>
      <c r="B46" s="306"/>
      <c r="C46" s="306"/>
      <c r="D46" s="306"/>
      <c r="E46" s="306"/>
      <c r="F46" s="306"/>
      <c r="G46" s="306"/>
      <c r="H46" s="306"/>
    </row>
    <row r="47" spans="1:8" ht="15">
      <c r="A47" s="306" t="s">
        <v>480</v>
      </c>
      <c r="B47" s="306"/>
      <c r="C47" s="306"/>
      <c r="D47" s="306"/>
      <c r="E47" s="306"/>
      <c r="F47" s="306"/>
      <c r="G47" s="306"/>
      <c r="H47" s="306"/>
    </row>
    <row r="48" spans="1:8" ht="15">
      <c r="A48" s="306" t="s">
        <v>481</v>
      </c>
      <c r="B48" s="306"/>
      <c r="C48" s="306"/>
      <c r="D48" s="306"/>
      <c r="E48" s="306"/>
      <c r="F48" s="306"/>
      <c r="G48" s="306"/>
      <c r="H48" s="306"/>
    </row>
    <row r="49" spans="1:8" ht="15">
      <c r="A49" s="306" t="s">
        <v>482</v>
      </c>
      <c r="B49" s="306"/>
      <c r="C49" s="306"/>
      <c r="D49" s="306"/>
      <c r="E49" s="306"/>
      <c r="F49" s="306"/>
      <c r="G49" s="306"/>
      <c r="H49" s="306"/>
    </row>
    <row r="50" spans="1:8" ht="15">
      <c r="A50" s="306" t="s">
        <v>483</v>
      </c>
      <c r="B50" s="306"/>
      <c r="C50" s="306"/>
      <c r="D50" s="306"/>
      <c r="E50" s="306"/>
      <c r="F50" s="306"/>
      <c r="G50" s="306"/>
      <c r="H50" s="306"/>
    </row>
    <row r="51" spans="1:8" ht="15">
      <c r="A51" s="306"/>
      <c r="B51" s="306"/>
      <c r="C51" s="306"/>
      <c r="D51" s="306"/>
      <c r="E51" s="306"/>
      <c r="F51" s="306"/>
      <c r="G51" s="306"/>
      <c r="H51" s="306"/>
    </row>
    <row r="52" spans="1:8" ht="15">
      <c r="A52" s="307" t="s">
        <v>484</v>
      </c>
      <c r="B52" s="307"/>
      <c r="C52" s="307"/>
      <c r="D52" s="307"/>
      <c r="E52" s="307"/>
      <c r="F52" s="307"/>
      <c r="G52" s="307"/>
      <c r="H52" s="306"/>
    </row>
    <row r="53" spans="1:8" ht="15">
      <c r="A53" s="307" t="s">
        <v>485</v>
      </c>
      <c r="B53" s="307"/>
      <c r="C53" s="307"/>
      <c r="D53" s="307"/>
      <c r="E53" s="307"/>
      <c r="F53" s="307"/>
      <c r="G53" s="307"/>
      <c r="H53" s="306"/>
    </row>
    <row r="54" spans="1:8" ht="15">
      <c r="A54" s="306"/>
      <c r="B54" s="306"/>
      <c r="C54" s="306"/>
      <c r="D54" s="306"/>
      <c r="E54" s="306"/>
      <c r="F54" s="306"/>
      <c r="G54" s="306"/>
      <c r="H54" s="306"/>
    </row>
    <row r="55" spans="1:8" ht="15">
      <c r="A55" s="306" t="s">
        <v>486</v>
      </c>
      <c r="B55" s="306"/>
      <c r="C55" s="306"/>
      <c r="D55" s="306"/>
      <c r="E55" s="306"/>
      <c r="F55" s="306"/>
      <c r="G55" s="306"/>
      <c r="H55" s="306"/>
    </row>
    <row r="56" spans="1:8" ht="15">
      <c r="A56" s="306" t="s">
        <v>487</v>
      </c>
      <c r="B56" s="306"/>
      <c r="C56" s="306"/>
      <c r="D56" s="306"/>
      <c r="E56" s="306"/>
      <c r="F56" s="306"/>
      <c r="G56" s="306"/>
      <c r="H56" s="306"/>
    </row>
    <row r="57" spans="1:8" ht="15">
      <c r="A57" s="306" t="s">
        <v>488</v>
      </c>
      <c r="B57" s="306"/>
      <c r="C57" s="306"/>
      <c r="D57" s="306"/>
      <c r="E57" s="306"/>
      <c r="F57" s="306"/>
      <c r="G57" s="306"/>
      <c r="H57" s="306"/>
    </row>
    <row r="58" spans="1:8" ht="15">
      <c r="A58" s="306" t="s">
        <v>489</v>
      </c>
      <c r="B58" s="306"/>
      <c r="C58" s="306"/>
      <c r="D58" s="306"/>
      <c r="E58" s="306"/>
      <c r="F58" s="306"/>
      <c r="G58" s="306"/>
      <c r="H58" s="306"/>
    </row>
    <row r="59" spans="1:8" ht="15">
      <c r="A59" s="306"/>
      <c r="B59" s="306"/>
      <c r="C59" s="306"/>
      <c r="D59" s="306"/>
      <c r="E59" s="306"/>
      <c r="F59" s="306"/>
      <c r="G59" s="306"/>
      <c r="H59" s="306"/>
    </row>
    <row r="60" spans="1:8" ht="15">
      <c r="A60" s="306" t="s">
        <v>490</v>
      </c>
      <c r="B60" s="306"/>
      <c r="C60" s="306"/>
      <c r="D60" s="306"/>
      <c r="E60" s="306"/>
      <c r="F60" s="306"/>
      <c r="G60" s="306"/>
      <c r="H60" s="306"/>
    </row>
    <row r="61" spans="1:8" ht="15">
      <c r="A61" s="306" t="s">
        <v>491</v>
      </c>
      <c r="B61" s="306"/>
      <c r="C61" s="306"/>
      <c r="D61" s="306"/>
      <c r="E61" s="306"/>
      <c r="F61" s="306"/>
      <c r="G61" s="306"/>
      <c r="H61" s="306"/>
    </row>
    <row r="62" spans="1:8" ht="15">
      <c r="A62" s="306" t="s">
        <v>492</v>
      </c>
      <c r="B62" s="306"/>
      <c r="C62" s="306"/>
      <c r="D62" s="306"/>
      <c r="E62" s="306"/>
      <c r="F62" s="306"/>
      <c r="G62" s="306"/>
      <c r="H62" s="306"/>
    </row>
    <row r="63" spans="1:8" ht="15">
      <c r="A63" s="306" t="s">
        <v>493</v>
      </c>
      <c r="B63" s="306"/>
      <c r="C63" s="306"/>
      <c r="D63" s="306"/>
      <c r="E63" s="306"/>
      <c r="F63" s="306"/>
      <c r="G63" s="306"/>
      <c r="H63" s="306"/>
    </row>
    <row r="64" spans="1:8" ht="15">
      <c r="A64" s="306" t="s">
        <v>494</v>
      </c>
      <c r="B64" s="306"/>
      <c r="C64" s="306"/>
      <c r="D64" s="306"/>
      <c r="E64" s="306"/>
      <c r="F64" s="306"/>
      <c r="G64" s="306"/>
      <c r="H64" s="306"/>
    </row>
    <row r="65" spans="1:8" ht="15">
      <c r="A65" s="306" t="s">
        <v>495</v>
      </c>
      <c r="B65" s="306"/>
      <c r="C65" s="306"/>
      <c r="D65" s="306"/>
      <c r="E65" s="306"/>
      <c r="F65" s="306"/>
      <c r="G65" s="306"/>
      <c r="H65" s="306"/>
    </row>
    <row r="66" spans="1:8" ht="15">
      <c r="A66" s="306"/>
      <c r="B66" s="306"/>
      <c r="C66" s="306"/>
      <c r="D66" s="306"/>
      <c r="E66" s="306"/>
      <c r="F66" s="306"/>
      <c r="G66" s="306"/>
      <c r="H66" s="306"/>
    </row>
    <row r="67" spans="1:8" ht="15">
      <c r="A67" s="306" t="s">
        <v>496</v>
      </c>
      <c r="B67" s="306"/>
      <c r="C67" s="306"/>
      <c r="D67" s="306"/>
      <c r="E67" s="306"/>
      <c r="F67" s="306"/>
      <c r="G67" s="306"/>
      <c r="H67" s="306"/>
    </row>
    <row r="68" spans="1:8" ht="15">
      <c r="A68" s="306" t="s">
        <v>497</v>
      </c>
      <c r="B68" s="306"/>
      <c r="C68" s="306"/>
      <c r="D68" s="306"/>
      <c r="E68" s="306"/>
      <c r="F68" s="306"/>
      <c r="G68" s="306"/>
      <c r="H68" s="306"/>
    </row>
    <row r="69" spans="1:8" ht="15">
      <c r="A69" s="306" t="s">
        <v>498</v>
      </c>
      <c r="B69" s="306"/>
      <c r="C69" s="306"/>
      <c r="D69" s="306"/>
      <c r="E69" s="306"/>
      <c r="F69" s="306"/>
      <c r="G69" s="306"/>
      <c r="H69" s="306"/>
    </row>
    <row r="70" spans="1:8" ht="15">
      <c r="A70" s="306" t="s">
        <v>499</v>
      </c>
      <c r="B70" s="306"/>
      <c r="C70" s="306"/>
      <c r="D70" s="306"/>
      <c r="E70" s="306"/>
      <c r="F70" s="306"/>
      <c r="G70" s="306"/>
      <c r="H70" s="306"/>
    </row>
    <row r="71" spans="1:8" ht="15">
      <c r="A71" s="306" t="s">
        <v>500</v>
      </c>
      <c r="B71" s="306"/>
      <c r="C71" s="306"/>
      <c r="D71" s="306"/>
      <c r="E71" s="306"/>
      <c r="F71" s="306"/>
      <c r="G71" s="306"/>
      <c r="H71" s="306"/>
    </row>
    <row r="72" spans="1:8" ht="15">
      <c r="A72" s="306" t="s">
        <v>501</v>
      </c>
      <c r="B72" s="306"/>
      <c r="C72" s="306"/>
      <c r="D72" s="306"/>
      <c r="E72" s="306"/>
      <c r="F72" s="306"/>
      <c r="G72" s="306"/>
      <c r="H72" s="306"/>
    </row>
    <row r="73" spans="1:8" ht="15">
      <c r="A73" s="306" t="s">
        <v>502</v>
      </c>
      <c r="B73" s="306"/>
      <c r="C73" s="306"/>
      <c r="D73" s="306"/>
      <c r="E73" s="306"/>
      <c r="F73" s="306"/>
      <c r="G73" s="306"/>
      <c r="H73" s="306"/>
    </row>
    <row r="74" spans="1:8" ht="15">
      <c r="A74" s="306"/>
      <c r="B74" s="306"/>
      <c r="C74" s="306"/>
      <c r="D74" s="306"/>
      <c r="E74" s="306"/>
      <c r="F74" s="306"/>
      <c r="G74" s="306"/>
      <c r="H74" s="306"/>
    </row>
    <row r="75" spans="1:8" ht="15">
      <c r="A75" s="306" t="s">
        <v>503</v>
      </c>
      <c r="B75" s="306"/>
      <c r="C75" s="306"/>
      <c r="D75" s="306"/>
      <c r="E75" s="306"/>
      <c r="F75" s="306"/>
      <c r="G75" s="306"/>
      <c r="H75" s="306"/>
    </row>
    <row r="76" spans="1:8" ht="15">
      <c r="A76" s="306" t="s">
        <v>504</v>
      </c>
      <c r="B76" s="306"/>
      <c r="C76" s="306"/>
      <c r="D76" s="306"/>
      <c r="E76" s="306"/>
      <c r="F76" s="306"/>
      <c r="G76" s="306"/>
      <c r="H76" s="306"/>
    </row>
    <row r="77" spans="1:8" ht="15">
      <c r="A77" s="306" t="s">
        <v>505</v>
      </c>
      <c r="B77" s="306"/>
      <c r="C77" s="306"/>
      <c r="D77" s="306"/>
      <c r="E77" s="306"/>
      <c r="F77" s="306"/>
      <c r="G77" s="306"/>
      <c r="H77" s="306"/>
    </row>
    <row r="78" spans="1:8" ht="15">
      <c r="A78" s="306"/>
      <c r="B78" s="306"/>
      <c r="C78" s="306"/>
      <c r="D78" s="306"/>
      <c r="E78" s="306"/>
      <c r="F78" s="306"/>
      <c r="G78" s="306"/>
      <c r="H78" s="306"/>
    </row>
    <row r="79" ht="15">
      <c r="A79" s="306" t="s">
        <v>450</v>
      </c>
    </row>
    <row r="80" ht="15">
      <c r="A80" s="307"/>
    </row>
    <row r="81" ht="15">
      <c r="A81" s="306"/>
    </row>
    <row r="82" ht="15">
      <c r="A82" s="306"/>
    </row>
    <row r="83" ht="15">
      <c r="A83" s="306"/>
    </row>
    <row r="84" ht="15">
      <c r="A84" s="306"/>
    </row>
    <row r="85" ht="15">
      <c r="A85" s="306"/>
    </row>
    <row r="86" ht="15">
      <c r="A86" s="306"/>
    </row>
    <row r="87" ht="15">
      <c r="A87" s="306"/>
    </row>
    <row r="88" ht="15">
      <c r="A88" s="306"/>
    </row>
    <row r="89" ht="15">
      <c r="A89" s="306"/>
    </row>
    <row r="90" ht="15">
      <c r="A90" s="306"/>
    </row>
    <row r="91" ht="15">
      <c r="A91" s="306"/>
    </row>
    <row r="92" ht="15">
      <c r="A92" s="306"/>
    </row>
    <row r="93" ht="15">
      <c r="A93" s="306"/>
    </row>
    <row r="94" ht="15">
      <c r="A94" s="306"/>
    </row>
    <row r="95" ht="15">
      <c r="A95" s="306"/>
    </row>
    <row r="96" ht="15">
      <c r="A96" s="306"/>
    </row>
    <row r="97" ht="15">
      <c r="A97" s="306"/>
    </row>
    <row r="98" ht="15">
      <c r="A98" s="306"/>
    </row>
    <row r="99" ht="15">
      <c r="A99" s="306"/>
    </row>
    <row r="100" ht="15">
      <c r="A100" s="306"/>
    </row>
    <row r="101" ht="15">
      <c r="A101" s="306"/>
    </row>
    <row r="103" ht="15">
      <c r="A103" s="306"/>
    </row>
    <row r="104" ht="15">
      <c r="A104" s="306"/>
    </row>
    <row r="105" ht="15">
      <c r="A105" s="306"/>
    </row>
    <row r="107" ht="15">
      <c r="A107" s="307"/>
    </row>
    <row r="108" ht="15">
      <c r="A108" s="307"/>
    </row>
    <row r="109" ht="15">
      <c r="A109" s="30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03" sqref="N103"/>
    </sheetView>
  </sheetViews>
  <sheetFormatPr defaultColWidth="8.796875" defaultRowHeight="15"/>
  <cols>
    <col min="1" max="1" width="71.296875" style="0" customWidth="1"/>
  </cols>
  <sheetData>
    <row r="3" spans="1:12" ht="15">
      <c r="A3" s="305" t="s">
        <v>506</v>
      </c>
      <c r="B3" s="305"/>
      <c r="C3" s="305"/>
      <c r="D3" s="305"/>
      <c r="E3" s="305"/>
      <c r="F3" s="305"/>
      <c r="G3" s="305"/>
      <c r="H3" s="305"/>
      <c r="I3" s="305"/>
      <c r="J3" s="305"/>
      <c r="K3" s="305"/>
      <c r="L3" s="305"/>
    </row>
    <row r="4" spans="1:12" ht="15">
      <c r="A4" s="305"/>
      <c r="B4" s="305"/>
      <c r="C4" s="305"/>
      <c r="D4" s="305"/>
      <c r="E4" s="305"/>
      <c r="F4" s="305"/>
      <c r="G4" s="305"/>
      <c r="H4" s="305"/>
      <c r="I4" s="305"/>
      <c r="J4" s="305"/>
      <c r="K4" s="305"/>
      <c r="L4" s="305"/>
    </row>
    <row r="5" spans="1:12" ht="15">
      <c r="A5" s="306" t="s">
        <v>395</v>
      </c>
      <c r="I5" s="305"/>
      <c r="J5" s="305"/>
      <c r="K5" s="305"/>
      <c r="L5" s="305"/>
    </row>
    <row r="6" spans="1:12" ht="15">
      <c r="A6" s="306" t="str">
        <f>CONCATENATE("estimated ",inputPrYr!C6-1," 'total expenditures' exceed your ",inputPrYr!C6-1,"")</f>
        <v>estimated -1 'total expenditures' exceed your -1</v>
      </c>
      <c r="I6" s="305"/>
      <c r="J6" s="305"/>
      <c r="K6" s="305"/>
      <c r="L6" s="305"/>
    </row>
    <row r="7" spans="1:12" ht="15">
      <c r="A7" s="309" t="s">
        <v>507</v>
      </c>
      <c r="I7" s="305"/>
      <c r="J7" s="305"/>
      <c r="K7" s="305"/>
      <c r="L7" s="305"/>
    </row>
    <row r="8" spans="1:12" ht="15">
      <c r="A8" s="306"/>
      <c r="I8" s="305"/>
      <c r="J8" s="305"/>
      <c r="K8" s="305"/>
      <c r="L8" s="305"/>
    </row>
    <row r="9" spans="1:12" ht="15">
      <c r="A9" s="306" t="s">
        <v>508</v>
      </c>
      <c r="I9" s="305"/>
      <c r="J9" s="305"/>
      <c r="K9" s="305"/>
      <c r="L9" s="305"/>
    </row>
    <row r="10" spans="1:12" ht="15">
      <c r="A10" s="306" t="s">
        <v>509</v>
      </c>
      <c r="I10" s="305"/>
      <c r="J10" s="305"/>
      <c r="K10" s="305"/>
      <c r="L10" s="305"/>
    </row>
    <row r="11" spans="1:12" ht="15">
      <c r="A11" s="306" t="s">
        <v>510</v>
      </c>
      <c r="I11" s="305"/>
      <c r="J11" s="305"/>
      <c r="K11" s="305"/>
      <c r="L11" s="305"/>
    </row>
    <row r="12" spans="1:12" ht="15">
      <c r="A12" s="306" t="s">
        <v>511</v>
      </c>
      <c r="I12" s="305"/>
      <c r="J12" s="305"/>
      <c r="K12" s="305"/>
      <c r="L12" s="305"/>
    </row>
    <row r="13" spans="1:12" ht="15">
      <c r="A13" s="306" t="s">
        <v>512</v>
      </c>
      <c r="I13" s="305"/>
      <c r="J13" s="305"/>
      <c r="K13" s="305"/>
      <c r="L13" s="305"/>
    </row>
    <row r="14" spans="1:12" ht="15">
      <c r="A14" s="305"/>
      <c r="B14" s="305"/>
      <c r="C14" s="305"/>
      <c r="D14" s="305"/>
      <c r="E14" s="305"/>
      <c r="F14" s="305"/>
      <c r="G14" s="305"/>
      <c r="H14" s="305"/>
      <c r="I14" s="305"/>
      <c r="J14" s="305"/>
      <c r="K14" s="305"/>
      <c r="L14" s="305"/>
    </row>
    <row r="15" ht="15">
      <c r="A15" s="307" t="s">
        <v>513</v>
      </c>
    </row>
    <row r="16" ht="15">
      <c r="A16" s="307" t="s">
        <v>514</v>
      </c>
    </row>
    <row r="17" ht="15">
      <c r="A17" s="307"/>
    </row>
    <row r="18" spans="1:7" ht="15">
      <c r="A18" s="306" t="s">
        <v>515</v>
      </c>
      <c r="B18" s="306"/>
      <c r="C18" s="306"/>
      <c r="D18" s="306"/>
      <c r="E18" s="306"/>
      <c r="F18" s="306"/>
      <c r="G18" s="306"/>
    </row>
    <row r="19" spans="1:7" ht="15">
      <c r="A19" s="306" t="str">
        <f>CONCATENATE("your ",inputPrYr!C6-1," numbers to see what steps might be necessary to")</f>
        <v>your -1 numbers to see what steps might be necessary to</v>
      </c>
      <c r="B19" s="306"/>
      <c r="C19" s="306"/>
      <c r="D19" s="306"/>
      <c r="E19" s="306"/>
      <c r="F19" s="306"/>
      <c r="G19" s="306"/>
    </row>
    <row r="20" spans="1:7" ht="15">
      <c r="A20" s="306" t="s">
        <v>516</v>
      </c>
      <c r="B20" s="306"/>
      <c r="C20" s="306"/>
      <c r="D20" s="306"/>
      <c r="E20" s="306"/>
      <c r="F20" s="306"/>
      <c r="G20" s="306"/>
    </row>
    <row r="21" spans="1:7" ht="15">
      <c r="A21" s="306" t="s">
        <v>517</v>
      </c>
      <c r="B21" s="306"/>
      <c r="C21" s="306"/>
      <c r="D21" s="306"/>
      <c r="E21" s="306"/>
      <c r="F21" s="306"/>
      <c r="G21" s="306"/>
    </row>
    <row r="22" ht="15">
      <c r="A22" s="306"/>
    </row>
    <row r="23" ht="15">
      <c r="A23" s="307" t="s">
        <v>518</v>
      </c>
    </row>
    <row r="24" ht="15">
      <c r="A24" s="307"/>
    </row>
    <row r="25" ht="15">
      <c r="A25" s="306" t="s">
        <v>519</v>
      </c>
    </row>
    <row r="26" spans="1:6" ht="15">
      <c r="A26" s="306" t="s">
        <v>520</v>
      </c>
      <c r="B26" s="306"/>
      <c r="C26" s="306"/>
      <c r="D26" s="306"/>
      <c r="E26" s="306"/>
      <c r="F26" s="306"/>
    </row>
    <row r="27" spans="1:6" ht="15">
      <c r="A27" s="306" t="s">
        <v>521</v>
      </c>
      <c r="B27" s="306"/>
      <c r="C27" s="306"/>
      <c r="D27" s="306"/>
      <c r="E27" s="306"/>
      <c r="F27" s="306"/>
    </row>
    <row r="28" spans="1:6" ht="15">
      <c r="A28" s="306" t="s">
        <v>522</v>
      </c>
      <c r="B28" s="306"/>
      <c r="C28" s="306"/>
      <c r="D28" s="306"/>
      <c r="E28" s="306"/>
      <c r="F28" s="306"/>
    </row>
    <row r="29" spans="1:6" ht="15">
      <c r="A29" s="306"/>
      <c r="B29" s="306"/>
      <c r="C29" s="306"/>
      <c r="D29" s="306"/>
      <c r="E29" s="306"/>
      <c r="F29" s="306"/>
    </row>
    <row r="30" spans="1:7" ht="15">
      <c r="A30" s="307" t="s">
        <v>523</v>
      </c>
      <c r="B30" s="307"/>
      <c r="C30" s="307"/>
      <c r="D30" s="307"/>
      <c r="E30" s="307"/>
      <c r="F30" s="307"/>
      <c r="G30" s="307"/>
    </row>
    <row r="31" spans="1:7" ht="15">
      <c r="A31" s="307" t="s">
        <v>524</v>
      </c>
      <c r="B31" s="307"/>
      <c r="C31" s="307"/>
      <c r="D31" s="307"/>
      <c r="E31" s="307"/>
      <c r="F31" s="307"/>
      <c r="G31" s="307"/>
    </row>
    <row r="32" spans="1:6" ht="15">
      <c r="A32" s="306"/>
      <c r="B32" s="306"/>
      <c r="C32" s="306"/>
      <c r="D32" s="306"/>
      <c r="E32" s="306"/>
      <c r="F32" s="306"/>
    </row>
    <row r="33" spans="1:6" ht="15">
      <c r="A33" s="304" t="str">
        <f>CONCATENATE("Well, let's look to see if any of your ",inputPrYr!C6-1," expenditures can")</f>
        <v>Well, let's look to see if any of your -1 expenditures can</v>
      </c>
      <c r="B33" s="306"/>
      <c r="C33" s="306"/>
      <c r="D33" s="306"/>
      <c r="E33" s="306"/>
      <c r="F33" s="306"/>
    </row>
    <row r="34" spans="1:6" ht="15">
      <c r="A34" s="304" t="s">
        <v>525</v>
      </c>
      <c r="B34" s="306"/>
      <c r="C34" s="306"/>
      <c r="D34" s="306"/>
      <c r="E34" s="306"/>
      <c r="F34" s="306"/>
    </row>
    <row r="35" spans="1:6" ht="15">
      <c r="A35" s="304" t="s">
        <v>409</v>
      </c>
      <c r="B35" s="306"/>
      <c r="C35" s="306"/>
      <c r="D35" s="306"/>
      <c r="E35" s="306"/>
      <c r="F35" s="306"/>
    </row>
    <row r="36" spans="1:6" ht="15">
      <c r="A36" s="304" t="s">
        <v>410</v>
      </c>
      <c r="B36" s="306"/>
      <c r="C36" s="306"/>
      <c r="D36" s="306"/>
      <c r="E36" s="306"/>
      <c r="F36" s="306"/>
    </row>
    <row r="37" spans="1:6" ht="15">
      <c r="A37" s="304"/>
      <c r="B37" s="306"/>
      <c r="C37" s="306"/>
      <c r="D37" s="306"/>
      <c r="E37" s="306"/>
      <c r="F37" s="306"/>
    </row>
    <row r="38" spans="1:6" ht="15">
      <c r="A38" s="304" t="str">
        <f>CONCATENATE("Additionally, do your ",inputPrYr!C6-1," receipts contain a reimbursement")</f>
        <v>Additionally, do your -1 receipts contain a reimbursement</v>
      </c>
      <c r="B38" s="306"/>
      <c r="C38" s="306"/>
      <c r="D38" s="306"/>
      <c r="E38" s="306"/>
      <c r="F38" s="306"/>
    </row>
    <row r="39" spans="1:6" ht="15">
      <c r="A39" s="304" t="s">
        <v>411</v>
      </c>
      <c r="B39" s="306"/>
      <c r="C39" s="306"/>
      <c r="D39" s="306"/>
      <c r="E39" s="306"/>
      <c r="F39" s="306"/>
    </row>
    <row r="40" spans="1:6" ht="15">
      <c r="A40" s="304" t="s">
        <v>412</v>
      </c>
      <c r="B40" s="306"/>
      <c r="C40" s="306"/>
      <c r="D40" s="306"/>
      <c r="E40" s="306"/>
      <c r="F40" s="306"/>
    </row>
    <row r="41" spans="1:6" ht="15">
      <c r="A41" s="304"/>
      <c r="B41" s="306"/>
      <c r="C41" s="306"/>
      <c r="D41" s="306"/>
      <c r="E41" s="306"/>
      <c r="F41" s="306"/>
    </row>
    <row r="42" spans="1:6" ht="15">
      <c r="A42" s="304" t="s">
        <v>413</v>
      </c>
      <c r="B42" s="306"/>
      <c r="C42" s="306"/>
      <c r="D42" s="306"/>
      <c r="E42" s="306"/>
      <c r="F42" s="306"/>
    </row>
    <row r="43" spans="1:6" ht="15">
      <c r="A43" s="304" t="s">
        <v>414</v>
      </c>
      <c r="B43" s="306"/>
      <c r="C43" s="306"/>
      <c r="D43" s="306"/>
      <c r="E43" s="306"/>
      <c r="F43" s="306"/>
    </row>
    <row r="44" spans="1:6" ht="15">
      <c r="A44" s="304" t="s">
        <v>415</v>
      </c>
      <c r="B44" s="306"/>
      <c r="C44" s="306"/>
      <c r="D44" s="306"/>
      <c r="E44" s="306"/>
      <c r="F44" s="306"/>
    </row>
    <row r="45" spans="1:6" ht="15">
      <c r="A45" s="304" t="s">
        <v>526</v>
      </c>
      <c r="B45" s="306"/>
      <c r="C45" s="306"/>
      <c r="D45" s="306"/>
      <c r="E45" s="306"/>
      <c r="F45" s="306"/>
    </row>
    <row r="46" spans="1:6" ht="15">
      <c r="A46" s="304" t="s">
        <v>417</v>
      </c>
      <c r="B46" s="306"/>
      <c r="C46" s="306"/>
      <c r="D46" s="306"/>
      <c r="E46" s="306"/>
      <c r="F46" s="306"/>
    </row>
    <row r="47" spans="1:6" ht="15">
      <c r="A47" s="304" t="s">
        <v>527</v>
      </c>
      <c r="B47" s="306"/>
      <c r="C47" s="306"/>
      <c r="D47" s="306"/>
      <c r="E47" s="306"/>
      <c r="F47" s="306"/>
    </row>
    <row r="48" spans="1:6" ht="15">
      <c r="A48" s="304" t="s">
        <v>528</v>
      </c>
      <c r="B48" s="306"/>
      <c r="C48" s="306"/>
      <c r="D48" s="306"/>
      <c r="E48" s="306"/>
      <c r="F48" s="306"/>
    </row>
    <row r="49" spans="1:6" ht="15">
      <c r="A49" s="304" t="s">
        <v>420</v>
      </c>
      <c r="B49" s="306"/>
      <c r="C49" s="306"/>
      <c r="D49" s="306"/>
      <c r="E49" s="306"/>
      <c r="F49" s="306"/>
    </row>
    <row r="50" spans="1:6" ht="15">
      <c r="A50" s="304"/>
      <c r="B50" s="306"/>
      <c r="C50" s="306"/>
      <c r="D50" s="306"/>
      <c r="E50" s="306"/>
      <c r="F50" s="306"/>
    </row>
    <row r="51" spans="1:6" ht="15">
      <c r="A51" s="304" t="s">
        <v>421</v>
      </c>
      <c r="B51" s="306"/>
      <c r="C51" s="306"/>
      <c r="D51" s="306"/>
      <c r="E51" s="306"/>
      <c r="F51" s="306"/>
    </row>
    <row r="52" spans="1:6" ht="15">
      <c r="A52" s="304" t="s">
        <v>422</v>
      </c>
      <c r="B52" s="306"/>
      <c r="C52" s="306"/>
      <c r="D52" s="306"/>
      <c r="E52" s="306"/>
      <c r="F52" s="306"/>
    </row>
    <row r="53" spans="1:6" ht="15">
      <c r="A53" s="304" t="s">
        <v>423</v>
      </c>
      <c r="B53" s="306"/>
      <c r="C53" s="306"/>
      <c r="D53" s="306"/>
      <c r="E53" s="306"/>
      <c r="F53" s="306"/>
    </row>
    <row r="54" spans="1:6" ht="15">
      <c r="A54" s="304"/>
      <c r="B54" s="306"/>
      <c r="C54" s="306"/>
      <c r="D54" s="306"/>
      <c r="E54" s="306"/>
      <c r="F54" s="306"/>
    </row>
    <row r="55" spans="1:6" ht="15">
      <c r="A55" s="304" t="s">
        <v>529</v>
      </c>
      <c r="B55" s="306"/>
      <c r="C55" s="306"/>
      <c r="D55" s="306"/>
      <c r="E55" s="306"/>
      <c r="F55" s="306"/>
    </row>
    <row r="56" spans="1:6" ht="15">
      <c r="A56" s="304" t="s">
        <v>530</v>
      </c>
      <c r="B56" s="306"/>
      <c r="C56" s="306"/>
      <c r="D56" s="306"/>
      <c r="E56" s="306"/>
      <c r="F56" s="306"/>
    </row>
    <row r="57" spans="1:6" ht="15">
      <c r="A57" s="304" t="s">
        <v>531</v>
      </c>
      <c r="B57" s="306"/>
      <c r="C57" s="306"/>
      <c r="D57" s="306"/>
      <c r="E57" s="306"/>
      <c r="F57" s="306"/>
    </row>
    <row r="58" spans="1:6" ht="15">
      <c r="A58" s="304" t="s">
        <v>532</v>
      </c>
      <c r="B58" s="306"/>
      <c r="C58" s="306"/>
      <c r="D58" s="306"/>
      <c r="E58" s="306"/>
      <c r="F58" s="306"/>
    </row>
    <row r="59" spans="1:6" ht="15">
      <c r="A59" s="304" t="s">
        <v>533</v>
      </c>
      <c r="B59" s="306"/>
      <c r="C59" s="306"/>
      <c r="D59" s="306"/>
      <c r="E59" s="306"/>
      <c r="F59" s="306"/>
    </row>
    <row r="60" spans="1:6" ht="15">
      <c r="A60" s="304"/>
      <c r="B60" s="306"/>
      <c r="C60" s="306"/>
      <c r="D60" s="306"/>
      <c r="E60" s="306"/>
      <c r="F60" s="306"/>
    </row>
    <row r="61" spans="1:6" ht="15">
      <c r="A61" s="303" t="s">
        <v>534</v>
      </c>
      <c r="B61" s="306"/>
      <c r="C61" s="306"/>
      <c r="D61" s="306"/>
      <c r="E61" s="306"/>
      <c r="F61" s="306"/>
    </row>
    <row r="62" spans="1:6" ht="15">
      <c r="A62" s="303" t="s">
        <v>535</v>
      </c>
      <c r="B62" s="306"/>
      <c r="C62" s="306"/>
      <c r="D62" s="306"/>
      <c r="E62" s="306"/>
      <c r="F62" s="306"/>
    </row>
    <row r="63" spans="1:6" ht="15">
      <c r="A63" s="303" t="s">
        <v>536</v>
      </c>
      <c r="B63" s="306"/>
      <c r="C63" s="306"/>
      <c r="D63" s="306"/>
      <c r="E63" s="306"/>
      <c r="F63" s="306"/>
    </row>
    <row r="64" ht="15">
      <c r="A64" s="303" t="s">
        <v>537</v>
      </c>
    </row>
    <row r="65" ht="15">
      <c r="A65" s="303" t="s">
        <v>538</v>
      </c>
    </row>
    <row r="66" ht="15">
      <c r="A66" s="303" t="s">
        <v>539</v>
      </c>
    </row>
    <row r="68" ht="15">
      <c r="A68" s="306" t="s">
        <v>540</v>
      </c>
    </row>
    <row r="69" ht="15">
      <c r="A69" s="306" t="s">
        <v>541</v>
      </c>
    </row>
    <row r="70" ht="15">
      <c r="A70" s="306" t="s">
        <v>542</v>
      </c>
    </row>
    <row r="71" ht="15">
      <c r="A71" s="306" t="s">
        <v>543</v>
      </c>
    </row>
    <row r="72" ht="15">
      <c r="A72" s="306" t="s">
        <v>544</v>
      </c>
    </row>
    <row r="73" ht="15">
      <c r="A73" s="306" t="s">
        <v>545</v>
      </c>
    </row>
    <row r="75" ht="15">
      <c r="A75" s="306" t="s">
        <v>450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12" sqref="N112"/>
    </sheetView>
  </sheetViews>
  <sheetFormatPr defaultColWidth="8.796875" defaultRowHeight="15"/>
  <cols>
    <col min="1" max="1" width="71.296875" style="0" customWidth="1"/>
  </cols>
  <sheetData>
    <row r="3" spans="1:7" ht="15">
      <c r="A3" s="305" t="s">
        <v>546</v>
      </c>
      <c r="B3" s="305"/>
      <c r="C3" s="305"/>
      <c r="D3" s="305"/>
      <c r="E3" s="305"/>
      <c r="F3" s="305"/>
      <c r="G3" s="305"/>
    </row>
    <row r="4" spans="1:7" ht="15">
      <c r="A4" s="305"/>
      <c r="B4" s="305"/>
      <c r="C4" s="305"/>
      <c r="D4" s="305"/>
      <c r="E4" s="305"/>
      <c r="F4" s="305"/>
      <c r="G4" s="305"/>
    </row>
    <row r="5" ht="15">
      <c r="A5" s="306" t="s">
        <v>452</v>
      </c>
    </row>
    <row r="6" ht="15">
      <c r="A6" s="306" t="str">
        <f>CONCATENATE(inputPrYr!C6," estimated expenditures show that at the end of this year")</f>
        <v> estimated expenditures show that at the end of this year</v>
      </c>
    </row>
    <row r="7" ht="15">
      <c r="A7" s="306" t="s">
        <v>547</v>
      </c>
    </row>
    <row r="8" ht="15">
      <c r="A8" s="306" t="s">
        <v>548</v>
      </c>
    </row>
    <row r="10" ht="15">
      <c r="A10" t="s">
        <v>454</v>
      </c>
    </row>
    <row r="11" ht="15">
      <c r="A11" t="s">
        <v>455</v>
      </c>
    </row>
    <row r="12" ht="15">
      <c r="A12" t="s">
        <v>456</v>
      </c>
    </row>
    <row r="13" spans="1:7" ht="15">
      <c r="A13" s="305"/>
      <c r="B13" s="305"/>
      <c r="C13" s="305"/>
      <c r="D13" s="305"/>
      <c r="E13" s="305"/>
      <c r="F13" s="305"/>
      <c r="G13" s="305"/>
    </row>
    <row r="14" ht="15">
      <c r="A14" s="307" t="s">
        <v>549</v>
      </c>
    </row>
    <row r="15" ht="15">
      <c r="A15" s="306"/>
    </row>
    <row r="16" ht="15">
      <c r="A16" s="306" t="s">
        <v>550</v>
      </c>
    </row>
    <row r="17" ht="15">
      <c r="A17" s="306" t="s">
        <v>551</v>
      </c>
    </row>
    <row r="18" ht="15">
      <c r="A18" s="306" t="s">
        <v>552</v>
      </c>
    </row>
    <row r="19" ht="15">
      <c r="A19" s="306"/>
    </row>
    <row r="20" ht="15">
      <c r="A20" s="306" t="s">
        <v>553</v>
      </c>
    </row>
    <row r="21" ht="15">
      <c r="A21" s="306" t="s">
        <v>554</v>
      </c>
    </row>
    <row r="22" ht="15">
      <c r="A22" s="306" t="s">
        <v>555</v>
      </c>
    </row>
    <row r="23" ht="15">
      <c r="A23" s="306" t="s">
        <v>556</v>
      </c>
    </row>
    <row r="24" ht="15">
      <c r="A24" s="306"/>
    </row>
    <row r="25" ht="15">
      <c r="A25" s="307" t="s">
        <v>518</v>
      </c>
    </row>
    <row r="26" ht="15">
      <c r="A26" s="307"/>
    </row>
    <row r="27" ht="15">
      <c r="A27" s="306" t="s">
        <v>519</v>
      </c>
    </row>
    <row r="28" spans="1:6" ht="15">
      <c r="A28" s="306" t="s">
        <v>520</v>
      </c>
      <c r="B28" s="306"/>
      <c r="C28" s="306"/>
      <c r="D28" s="306"/>
      <c r="E28" s="306"/>
      <c r="F28" s="306"/>
    </row>
    <row r="29" spans="1:6" ht="15">
      <c r="A29" s="306" t="s">
        <v>521</v>
      </c>
      <c r="B29" s="306"/>
      <c r="C29" s="306"/>
      <c r="D29" s="306"/>
      <c r="E29" s="306"/>
      <c r="F29" s="306"/>
    </row>
    <row r="30" spans="1:6" ht="15">
      <c r="A30" s="306" t="s">
        <v>522</v>
      </c>
      <c r="B30" s="306"/>
      <c r="C30" s="306"/>
      <c r="D30" s="306"/>
      <c r="E30" s="306"/>
      <c r="F30" s="306"/>
    </row>
    <row r="31" ht="15">
      <c r="A31" s="306"/>
    </row>
    <row r="32" spans="1:7" ht="15">
      <c r="A32" s="307" t="s">
        <v>523</v>
      </c>
      <c r="B32" s="307"/>
      <c r="C32" s="307"/>
      <c r="D32" s="307"/>
      <c r="E32" s="307"/>
      <c r="F32" s="307"/>
      <c r="G32" s="307"/>
    </row>
    <row r="33" spans="1:7" ht="15">
      <c r="A33" s="307" t="s">
        <v>524</v>
      </c>
      <c r="B33" s="307"/>
      <c r="C33" s="307"/>
      <c r="D33" s="307"/>
      <c r="E33" s="307"/>
      <c r="F33" s="307"/>
      <c r="G33" s="307"/>
    </row>
    <row r="34" spans="1:7" ht="15">
      <c r="A34" s="307"/>
      <c r="B34" s="307"/>
      <c r="C34" s="307"/>
      <c r="D34" s="307"/>
      <c r="E34" s="307"/>
      <c r="F34" s="307"/>
      <c r="G34" s="307"/>
    </row>
    <row r="35" spans="1:7" ht="15">
      <c r="A35" s="306" t="s">
        <v>557</v>
      </c>
      <c r="B35" s="306"/>
      <c r="C35" s="306"/>
      <c r="D35" s="306"/>
      <c r="E35" s="306"/>
      <c r="F35" s="306"/>
      <c r="G35" s="306"/>
    </row>
    <row r="36" spans="1:7" ht="15">
      <c r="A36" s="306" t="s">
        <v>558</v>
      </c>
      <c r="B36" s="306"/>
      <c r="C36" s="306"/>
      <c r="D36" s="306"/>
      <c r="E36" s="306"/>
      <c r="F36" s="306"/>
      <c r="G36" s="306"/>
    </row>
    <row r="37" spans="1:7" ht="15">
      <c r="A37" s="306" t="s">
        <v>559</v>
      </c>
      <c r="B37" s="306"/>
      <c r="C37" s="306"/>
      <c r="D37" s="306"/>
      <c r="E37" s="306"/>
      <c r="F37" s="306"/>
      <c r="G37" s="306"/>
    </row>
    <row r="38" spans="1:7" ht="15">
      <c r="A38" s="306" t="s">
        <v>560</v>
      </c>
      <c r="B38" s="306"/>
      <c r="C38" s="306"/>
      <c r="D38" s="306"/>
      <c r="E38" s="306"/>
      <c r="F38" s="306"/>
      <c r="G38" s="306"/>
    </row>
    <row r="39" spans="1:7" ht="15">
      <c r="A39" s="306" t="s">
        <v>561</v>
      </c>
      <c r="B39" s="306"/>
      <c r="C39" s="306"/>
      <c r="D39" s="306"/>
      <c r="E39" s="306"/>
      <c r="F39" s="306"/>
      <c r="G39" s="306"/>
    </row>
    <row r="40" spans="1:7" ht="15">
      <c r="A40" s="307"/>
      <c r="B40" s="307"/>
      <c r="C40" s="307"/>
      <c r="D40" s="307"/>
      <c r="E40" s="307"/>
      <c r="F40" s="307"/>
      <c r="G40" s="307"/>
    </row>
    <row r="41" spans="1:6" ht="15">
      <c r="A41" s="304" t="str">
        <f>CONCATENATE("So, let's look to see if any of your ",inputPrYr!C6-1," expenditures can")</f>
        <v>So, let's look to see if any of your -1 expenditures can</v>
      </c>
      <c r="B41" s="306"/>
      <c r="C41" s="306"/>
      <c r="D41" s="306"/>
      <c r="E41" s="306"/>
      <c r="F41" s="306"/>
    </row>
    <row r="42" spans="1:6" ht="15">
      <c r="A42" s="304" t="s">
        <v>525</v>
      </c>
      <c r="B42" s="306"/>
      <c r="C42" s="306"/>
      <c r="D42" s="306"/>
      <c r="E42" s="306"/>
      <c r="F42" s="306"/>
    </row>
    <row r="43" spans="1:6" ht="15">
      <c r="A43" s="304" t="s">
        <v>409</v>
      </c>
      <c r="B43" s="306"/>
      <c r="C43" s="306"/>
      <c r="D43" s="306"/>
      <c r="E43" s="306"/>
      <c r="F43" s="306"/>
    </row>
    <row r="44" spans="1:6" ht="15">
      <c r="A44" s="304" t="s">
        <v>410</v>
      </c>
      <c r="B44" s="306"/>
      <c r="C44" s="306"/>
      <c r="D44" s="306"/>
      <c r="E44" s="306"/>
      <c r="F44" s="306"/>
    </row>
    <row r="45" ht="15">
      <c r="A45" s="306"/>
    </row>
    <row r="46" spans="1:6" ht="15">
      <c r="A46" s="304" t="str">
        <f>CONCATENATE("Additionally, do your ",inputPrYr!C6-1," receipts contain a reimbursement")</f>
        <v>Additionally, do your -1 receipts contain a reimbursement</v>
      </c>
      <c r="B46" s="306"/>
      <c r="C46" s="306"/>
      <c r="D46" s="306"/>
      <c r="E46" s="306"/>
      <c r="F46" s="306"/>
    </row>
    <row r="47" spans="1:6" ht="15">
      <c r="A47" s="304" t="s">
        <v>411</v>
      </c>
      <c r="B47" s="306"/>
      <c r="C47" s="306"/>
      <c r="D47" s="306"/>
      <c r="E47" s="306"/>
      <c r="F47" s="306"/>
    </row>
    <row r="48" spans="1:6" ht="15">
      <c r="A48" s="304" t="s">
        <v>412</v>
      </c>
      <c r="B48" s="306"/>
      <c r="C48" s="306"/>
      <c r="D48" s="306"/>
      <c r="E48" s="306"/>
      <c r="F48" s="306"/>
    </row>
    <row r="49" spans="1:7" ht="15">
      <c r="A49" s="306"/>
      <c r="B49" s="306"/>
      <c r="C49" s="306"/>
      <c r="D49" s="306"/>
      <c r="E49" s="306"/>
      <c r="F49" s="306"/>
      <c r="G49" s="306"/>
    </row>
    <row r="50" spans="1:7" ht="15">
      <c r="A50" s="306" t="s">
        <v>479</v>
      </c>
      <c r="B50" s="306"/>
      <c r="C50" s="306"/>
      <c r="D50" s="306"/>
      <c r="E50" s="306"/>
      <c r="F50" s="306"/>
      <c r="G50" s="306"/>
    </row>
    <row r="51" spans="1:7" ht="15">
      <c r="A51" s="306" t="s">
        <v>480</v>
      </c>
      <c r="B51" s="306"/>
      <c r="C51" s="306"/>
      <c r="D51" s="306"/>
      <c r="E51" s="306"/>
      <c r="F51" s="306"/>
      <c r="G51" s="306"/>
    </row>
    <row r="52" spans="1:7" ht="15">
      <c r="A52" s="306" t="s">
        <v>481</v>
      </c>
      <c r="B52" s="306"/>
      <c r="C52" s="306"/>
      <c r="D52" s="306"/>
      <c r="E52" s="306"/>
      <c r="F52" s="306"/>
      <c r="G52" s="306"/>
    </row>
    <row r="53" spans="1:7" ht="15">
      <c r="A53" s="306" t="s">
        <v>482</v>
      </c>
      <c r="B53" s="306"/>
      <c r="C53" s="306"/>
      <c r="D53" s="306"/>
      <c r="E53" s="306"/>
      <c r="F53" s="306"/>
      <c r="G53" s="306"/>
    </row>
    <row r="54" spans="1:7" ht="15">
      <c r="A54" s="306" t="s">
        <v>483</v>
      </c>
      <c r="B54" s="306"/>
      <c r="C54" s="306"/>
      <c r="D54" s="306"/>
      <c r="E54" s="306"/>
      <c r="F54" s="306"/>
      <c r="G54" s="306"/>
    </row>
    <row r="55" spans="1:7" ht="15">
      <c r="A55" s="306"/>
      <c r="B55" s="306"/>
      <c r="C55" s="306"/>
      <c r="D55" s="306"/>
      <c r="E55" s="306"/>
      <c r="F55" s="306"/>
      <c r="G55" s="306"/>
    </row>
    <row r="56" spans="1:6" ht="15">
      <c r="A56" s="304" t="s">
        <v>421</v>
      </c>
      <c r="B56" s="306"/>
      <c r="C56" s="306"/>
      <c r="D56" s="306"/>
      <c r="E56" s="306"/>
      <c r="F56" s="306"/>
    </row>
    <row r="57" spans="1:6" ht="15">
      <c r="A57" s="304" t="s">
        <v>422</v>
      </c>
      <c r="B57" s="306"/>
      <c r="C57" s="306"/>
      <c r="D57" s="306"/>
      <c r="E57" s="306"/>
      <c r="F57" s="306"/>
    </row>
    <row r="58" spans="1:6" ht="15">
      <c r="A58" s="304" t="s">
        <v>423</v>
      </c>
      <c r="B58" s="306"/>
      <c r="C58" s="306"/>
      <c r="D58" s="306"/>
      <c r="E58" s="306"/>
      <c r="F58" s="306"/>
    </row>
    <row r="59" spans="1:6" ht="15">
      <c r="A59" s="304"/>
      <c r="B59" s="306"/>
      <c r="C59" s="306"/>
      <c r="D59" s="306"/>
      <c r="E59" s="306"/>
      <c r="F59" s="306"/>
    </row>
    <row r="60" spans="1:7" ht="15">
      <c r="A60" s="306" t="s">
        <v>562</v>
      </c>
      <c r="B60" s="306"/>
      <c r="C60" s="306"/>
      <c r="D60" s="306"/>
      <c r="E60" s="306"/>
      <c r="F60" s="306"/>
      <c r="G60" s="306"/>
    </row>
    <row r="61" spans="1:7" ht="15">
      <c r="A61" s="306" t="s">
        <v>563</v>
      </c>
      <c r="B61" s="306"/>
      <c r="C61" s="306"/>
      <c r="D61" s="306"/>
      <c r="E61" s="306"/>
      <c r="F61" s="306"/>
      <c r="G61" s="306"/>
    </row>
    <row r="62" spans="1:7" ht="15">
      <c r="A62" s="306" t="s">
        <v>564</v>
      </c>
      <c r="B62" s="306"/>
      <c r="C62" s="306"/>
      <c r="D62" s="306"/>
      <c r="E62" s="306"/>
      <c r="F62" s="306"/>
      <c r="G62" s="306"/>
    </row>
    <row r="63" spans="1:7" ht="15">
      <c r="A63" s="306" t="s">
        <v>565</v>
      </c>
      <c r="B63" s="306"/>
      <c r="C63" s="306"/>
      <c r="D63" s="306"/>
      <c r="E63" s="306"/>
      <c r="F63" s="306"/>
      <c r="G63" s="306"/>
    </row>
    <row r="64" spans="1:7" ht="15">
      <c r="A64" s="306" t="s">
        <v>566</v>
      </c>
      <c r="B64" s="306"/>
      <c r="C64" s="306"/>
      <c r="D64" s="306"/>
      <c r="E64" s="306"/>
      <c r="F64" s="306"/>
      <c r="G64" s="306"/>
    </row>
    <row r="66" spans="1:6" ht="15">
      <c r="A66" s="304" t="s">
        <v>529</v>
      </c>
      <c r="B66" s="306"/>
      <c r="C66" s="306"/>
      <c r="D66" s="306"/>
      <c r="E66" s="306"/>
      <c r="F66" s="306"/>
    </row>
    <row r="67" spans="1:6" ht="15">
      <c r="A67" s="304" t="s">
        <v>530</v>
      </c>
      <c r="B67" s="306"/>
      <c r="C67" s="306"/>
      <c r="D67" s="306"/>
      <c r="E67" s="306"/>
      <c r="F67" s="306"/>
    </row>
    <row r="68" spans="1:6" ht="15">
      <c r="A68" s="304" t="s">
        <v>531</v>
      </c>
      <c r="B68" s="306"/>
      <c r="C68" s="306"/>
      <c r="D68" s="306"/>
      <c r="E68" s="306"/>
      <c r="F68" s="306"/>
    </row>
    <row r="69" spans="1:6" ht="15">
      <c r="A69" s="304" t="s">
        <v>532</v>
      </c>
      <c r="B69" s="306"/>
      <c r="C69" s="306"/>
      <c r="D69" s="306"/>
      <c r="E69" s="306"/>
      <c r="F69" s="306"/>
    </row>
    <row r="70" spans="1:6" ht="15">
      <c r="A70" s="304" t="s">
        <v>533</v>
      </c>
      <c r="B70" s="306"/>
      <c r="C70" s="306"/>
      <c r="D70" s="306"/>
      <c r="E70" s="306"/>
      <c r="F70" s="306"/>
    </row>
    <row r="71" ht="15">
      <c r="A71" s="306"/>
    </row>
    <row r="72" ht="15">
      <c r="A72" s="306" t="s">
        <v>450</v>
      </c>
    </row>
    <row r="73" ht="15">
      <c r="A73" s="306"/>
    </row>
    <row r="74" ht="15">
      <c r="A74" s="306"/>
    </row>
    <row r="75" ht="15">
      <c r="A75" s="306"/>
    </row>
    <row r="78" ht="15">
      <c r="A78" s="307"/>
    </row>
    <row r="80" ht="15">
      <c r="A80" s="306"/>
    </row>
    <row r="81" ht="15">
      <c r="A81" s="306"/>
    </row>
    <row r="82" ht="15">
      <c r="A82" s="306"/>
    </row>
    <row r="83" ht="15">
      <c r="A83" s="306"/>
    </row>
    <row r="84" ht="15">
      <c r="A84" s="306"/>
    </row>
    <row r="85" ht="15">
      <c r="A85" s="306"/>
    </row>
    <row r="86" ht="15">
      <c r="A86" s="306"/>
    </row>
    <row r="87" ht="15">
      <c r="A87" s="306"/>
    </row>
    <row r="88" ht="15">
      <c r="A88" s="306"/>
    </row>
    <row r="89" ht="15">
      <c r="A89" s="306"/>
    </row>
    <row r="90" ht="15">
      <c r="A90" s="306"/>
    </row>
    <row r="92" ht="15">
      <c r="A92" s="306"/>
    </row>
    <row r="93" ht="15">
      <c r="A93" s="306"/>
    </row>
    <row r="94" ht="15">
      <c r="A94" s="306"/>
    </row>
    <row r="95" ht="15">
      <c r="A95" s="306"/>
    </row>
    <row r="96" ht="15">
      <c r="A96" s="306"/>
    </row>
    <row r="97" ht="15">
      <c r="A97" s="306"/>
    </row>
    <row r="98" ht="15">
      <c r="A98" s="306"/>
    </row>
    <row r="99" ht="15">
      <c r="A99" s="306"/>
    </row>
    <row r="100" ht="15">
      <c r="A100" s="306"/>
    </row>
    <row r="101" ht="15">
      <c r="A101" s="306"/>
    </row>
    <row r="102" ht="15">
      <c r="A102" s="306"/>
    </row>
    <row r="103" ht="15">
      <c r="A103" s="306"/>
    </row>
    <row r="104" ht="15">
      <c r="A104" s="306"/>
    </row>
    <row r="105" ht="15">
      <c r="A105" s="306"/>
    </row>
    <row r="106" ht="15">
      <c r="A106" s="30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1" sqref="N91"/>
    </sheetView>
  </sheetViews>
  <sheetFormatPr defaultColWidth="8.796875" defaultRowHeight="15"/>
  <cols>
    <col min="1" max="1" width="71.296875" style="0" customWidth="1"/>
  </cols>
  <sheetData>
    <row r="3" spans="1:7" ht="15">
      <c r="A3" s="305" t="s">
        <v>567</v>
      </c>
      <c r="B3" s="305"/>
      <c r="C3" s="305"/>
      <c r="D3" s="305"/>
      <c r="E3" s="305"/>
      <c r="F3" s="305"/>
      <c r="G3" s="305"/>
    </row>
    <row r="4" spans="1:7" ht="15">
      <c r="A4" s="305" t="s">
        <v>568</v>
      </c>
      <c r="B4" s="305"/>
      <c r="C4" s="305"/>
      <c r="D4" s="305"/>
      <c r="E4" s="305"/>
      <c r="F4" s="305"/>
      <c r="G4" s="305"/>
    </row>
    <row r="5" spans="1:7" ht="15">
      <c r="A5" s="305"/>
      <c r="B5" s="305"/>
      <c r="C5" s="305"/>
      <c r="D5" s="305"/>
      <c r="E5" s="305"/>
      <c r="F5" s="305"/>
      <c r="G5" s="305"/>
    </row>
    <row r="6" spans="1:7" ht="15">
      <c r="A6" s="305"/>
      <c r="B6" s="305"/>
      <c r="C6" s="305"/>
      <c r="D6" s="305"/>
      <c r="E6" s="305"/>
      <c r="F6" s="305"/>
      <c r="G6" s="305"/>
    </row>
    <row r="7" ht="15">
      <c r="A7" s="306" t="s">
        <v>395</v>
      </c>
    </row>
    <row r="8" ht="15">
      <c r="A8" s="306" t="str">
        <f>CONCATENATE("estimated ",inputPrYr!C6," 'total expenditures' exceed your ",inputPrYr!C6,"")</f>
        <v>estimated  'total expenditures' exceed your </v>
      </c>
    </row>
    <row r="9" ht="15">
      <c r="A9" s="309" t="s">
        <v>569</v>
      </c>
    </row>
    <row r="10" ht="15">
      <c r="A10" s="306"/>
    </row>
    <row r="11" ht="15">
      <c r="A11" s="306" t="s">
        <v>570</v>
      </c>
    </row>
    <row r="12" ht="15">
      <c r="A12" s="306" t="s">
        <v>571</v>
      </c>
    </row>
    <row r="13" ht="15">
      <c r="A13" s="306" t="s">
        <v>572</v>
      </c>
    </row>
    <row r="14" ht="15">
      <c r="A14" s="306"/>
    </row>
    <row r="15" ht="15">
      <c r="A15" s="307" t="s">
        <v>573</v>
      </c>
    </row>
    <row r="16" spans="1:7" ht="15">
      <c r="A16" s="305"/>
      <c r="B16" s="305"/>
      <c r="C16" s="305"/>
      <c r="D16" s="305"/>
      <c r="E16" s="305"/>
      <c r="F16" s="305"/>
      <c r="G16" s="305"/>
    </row>
    <row r="17" spans="1:8" ht="15">
      <c r="A17" s="310" t="s">
        <v>574</v>
      </c>
      <c r="B17" s="311"/>
      <c r="C17" s="311"/>
      <c r="D17" s="311"/>
      <c r="E17" s="311"/>
      <c r="F17" s="311"/>
      <c r="G17" s="311"/>
      <c r="H17" s="311"/>
    </row>
    <row r="18" spans="1:7" ht="15">
      <c r="A18" s="306" t="s">
        <v>575</v>
      </c>
      <c r="B18" s="312"/>
      <c r="C18" s="312"/>
      <c r="D18" s="312"/>
      <c r="E18" s="312"/>
      <c r="F18" s="312"/>
      <c r="G18" s="312"/>
    </row>
    <row r="19" ht="15">
      <c r="A19" s="306" t="s">
        <v>576</v>
      </c>
    </row>
    <row r="20" ht="15">
      <c r="A20" s="306" t="s">
        <v>577</v>
      </c>
    </row>
    <row r="22" ht="15">
      <c r="A22" s="307" t="s">
        <v>578</v>
      </c>
    </row>
    <row r="24" ht="15">
      <c r="A24" s="306" t="s">
        <v>579</v>
      </c>
    </row>
    <row r="25" ht="15">
      <c r="A25" s="306" t="s">
        <v>580</v>
      </c>
    </row>
    <row r="26" ht="15">
      <c r="A26" s="306" t="s">
        <v>581</v>
      </c>
    </row>
    <row r="28" ht="15">
      <c r="A28" s="307" t="s">
        <v>582</v>
      </c>
    </row>
    <row r="30" ht="15">
      <c r="A30" t="s">
        <v>583</v>
      </c>
    </row>
    <row r="31" ht="15">
      <c r="A31" t="s">
        <v>584</v>
      </c>
    </row>
    <row r="32" ht="15">
      <c r="A32" t="s">
        <v>585</v>
      </c>
    </row>
    <row r="33" ht="15">
      <c r="A33" s="306" t="s">
        <v>586</v>
      </c>
    </row>
    <row r="35" ht="15">
      <c r="A35" t="s">
        <v>587</v>
      </c>
    </row>
    <row r="36" ht="15">
      <c r="A36" t="s">
        <v>588</v>
      </c>
    </row>
    <row r="37" ht="15">
      <c r="A37" t="s">
        <v>589</v>
      </c>
    </row>
    <row r="38" ht="15">
      <c r="A38" t="s">
        <v>590</v>
      </c>
    </row>
    <row r="40" ht="15">
      <c r="A40" t="s">
        <v>591</v>
      </c>
    </row>
    <row r="41" ht="15">
      <c r="A41" t="s">
        <v>592</v>
      </c>
    </row>
    <row r="42" ht="15">
      <c r="A42" t="s">
        <v>593</v>
      </c>
    </row>
    <row r="43" ht="15">
      <c r="A43" t="s">
        <v>594</v>
      </c>
    </row>
    <row r="44" ht="15">
      <c r="A44" t="s">
        <v>595</v>
      </c>
    </row>
    <row r="45" ht="15">
      <c r="A45" t="s">
        <v>596</v>
      </c>
    </row>
    <row r="47" ht="15">
      <c r="A47" t="s">
        <v>597</v>
      </c>
    </row>
    <row r="48" ht="15">
      <c r="A48" t="s">
        <v>598</v>
      </c>
    </row>
    <row r="49" ht="15">
      <c r="A49" s="306" t="s">
        <v>599</v>
      </c>
    </row>
    <row r="50" ht="15">
      <c r="A50" s="306" t="s">
        <v>600</v>
      </c>
    </row>
    <row r="52" ht="15">
      <c r="A52" t="s">
        <v>450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9.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V221" sqref="V221"/>
    </sheetView>
  </sheetViews>
  <sheetFormatPr defaultColWidth="8.796875" defaultRowHeight="15"/>
  <cols>
    <col min="1" max="1" width="7.59765625" style="391" customWidth="1"/>
    <col min="2" max="2" width="11.19921875" style="393" customWidth="1"/>
    <col min="3" max="3" width="7.3984375" style="393" customWidth="1"/>
    <col min="4" max="4" width="8.8984375" style="393" customWidth="1"/>
    <col min="5" max="5" width="1.59765625" style="393" customWidth="1"/>
    <col min="6" max="6" width="14.296875" style="393" customWidth="1"/>
    <col min="7" max="7" width="2.59765625" style="393" customWidth="1"/>
    <col min="8" max="8" width="9.796875" style="393" customWidth="1"/>
    <col min="9" max="9" width="2" style="393" customWidth="1"/>
    <col min="10" max="10" width="8.59765625" style="393" customWidth="1"/>
    <col min="11" max="11" width="11.69921875" style="393"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2"/>
      <c r="B1" s="392"/>
      <c r="C1" s="392"/>
      <c r="D1" s="392"/>
      <c r="E1" s="392"/>
      <c r="F1" s="392"/>
      <c r="G1" s="392"/>
      <c r="H1" s="392"/>
      <c r="I1" s="392"/>
      <c r="J1" s="392"/>
      <c r="K1" s="392"/>
      <c r="L1" s="392"/>
    </row>
    <row r="2" spans="1:12" ht="14.25">
      <c r="A2" s="392"/>
      <c r="B2" s="392"/>
      <c r="C2" s="392"/>
      <c r="D2" s="392"/>
      <c r="E2" s="392"/>
      <c r="F2" s="392"/>
      <c r="G2" s="392"/>
      <c r="H2" s="392"/>
      <c r="I2" s="392"/>
      <c r="J2" s="392"/>
      <c r="K2" s="392"/>
      <c r="L2" s="392"/>
    </row>
    <row r="3" spans="1:12" ht="14.25">
      <c r="A3" s="392"/>
      <c r="B3" s="392"/>
      <c r="C3" s="392"/>
      <c r="D3" s="392"/>
      <c r="E3" s="392"/>
      <c r="F3" s="392"/>
      <c r="G3" s="392"/>
      <c r="H3" s="392"/>
      <c r="I3" s="392"/>
      <c r="J3" s="392"/>
      <c r="K3" s="392"/>
      <c r="L3" s="392"/>
    </row>
    <row r="4" spans="1:12" ht="14.25">
      <c r="A4" s="392"/>
      <c r="L4" s="392"/>
    </row>
    <row r="5" spans="1:12" ht="15" customHeight="1">
      <c r="A5" s="392"/>
      <c r="L5" s="392"/>
    </row>
    <row r="6" spans="1:12" ht="33" customHeight="1">
      <c r="A6" s="392"/>
      <c r="B6" s="1195" t="s">
        <v>1000</v>
      </c>
      <c r="C6" s="1198"/>
      <c r="D6" s="1198"/>
      <c r="E6" s="1198"/>
      <c r="F6" s="1198"/>
      <c r="G6" s="1198"/>
      <c r="H6" s="1198"/>
      <c r="I6" s="1198"/>
      <c r="J6" s="1198"/>
      <c r="K6" s="1198"/>
      <c r="L6" s="394"/>
    </row>
    <row r="7" spans="1:12" ht="40.5" customHeight="1">
      <c r="A7" s="392"/>
      <c r="B7" s="1199" t="s">
        <v>640</v>
      </c>
      <c r="C7" s="1200"/>
      <c r="D7" s="1200"/>
      <c r="E7" s="1200"/>
      <c r="F7" s="1200"/>
      <c r="G7" s="1200"/>
      <c r="H7" s="1200"/>
      <c r="I7" s="1200"/>
      <c r="J7" s="1200"/>
      <c r="K7" s="1200"/>
      <c r="L7" s="392"/>
    </row>
    <row r="8" spans="1:12" ht="14.25">
      <c r="A8" s="392"/>
      <c r="B8" s="1197" t="s">
        <v>641</v>
      </c>
      <c r="C8" s="1197"/>
      <c r="D8" s="1197"/>
      <c r="E8" s="1197"/>
      <c r="F8" s="1197"/>
      <c r="G8" s="1197"/>
      <c r="H8" s="1197"/>
      <c r="I8" s="1197"/>
      <c r="J8" s="1197"/>
      <c r="K8" s="1197"/>
      <c r="L8" s="392"/>
    </row>
    <row r="9" spans="1:12" ht="14.25">
      <c r="A9" s="392"/>
      <c r="L9" s="392"/>
    </row>
    <row r="10" spans="1:12" ht="14.25">
      <c r="A10" s="392"/>
      <c r="B10" s="1197" t="s">
        <v>642</v>
      </c>
      <c r="C10" s="1197"/>
      <c r="D10" s="1197"/>
      <c r="E10" s="1197"/>
      <c r="F10" s="1197"/>
      <c r="G10" s="1197"/>
      <c r="H10" s="1197"/>
      <c r="I10" s="1197"/>
      <c r="J10" s="1197"/>
      <c r="K10" s="1197"/>
      <c r="L10" s="392"/>
    </row>
    <row r="11" spans="1:12" ht="14.25">
      <c r="A11" s="392"/>
      <c r="B11" s="525"/>
      <c r="C11" s="525"/>
      <c r="D11" s="525"/>
      <c r="E11" s="525"/>
      <c r="F11" s="525"/>
      <c r="G11" s="525"/>
      <c r="H11" s="525"/>
      <c r="I11" s="525"/>
      <c r="J11" s="525"/>
      <c r="K11" s="525"/>
      <c r="L11" s="392"/>
    </row>
    <row r="12" spans="1:12" ht="32.25" customHeight="1">
      <c r="A12" s="392"/>
      <c r="B12" s="1191" t="s">
        <v>643</v>
      </c>
      <c r="C12" s="1191"/>
      <c r="D12" s="1191"/>
      <c r="E12" s="1191"/>
      <c r="F12" s="1191"/>
      <c r="G12" s="1191"/>
      <c r="H12" s="1191"/>
      <c r="I12" s="1191"/>
      <c r="J12" s="1191"/>
      <c r="K12" s="1191"/>
      <c r="L12" s="392"/>
    </row>
    <row r="13" spans="1:12" ht="14.25">
      <c r="A13" s="392"/>
      <c r="L13" s="392"/>
    </row>
    <row r="14" spans="1:12" ht="14.25">
      <c r="A14" s="392"/>
      <c r="B14" s="395" t="s">
        <v>644</v>
      </c>
      <c r="L14" s="392"/>
    </row>
    <row r="15" spans="1:12" ht="14.25">
      <c r="A15" s="392"/>
      <c r="L15" s="392"/>
    </row>
    <row r="16" spans="1:12" ht="14.25">
      <c r="A16" s="392"/>
      <c r="B16" s="393" t="s">
        <v>645</v>
      </c>
      <c r="L16" s="392"/>
    </row>
    <row r="17" spans="1:12" ht="14.25">
      <c r="A17" s="392"/>
      <c r="B17" s="393" t="s">
        <v>646</v>
      </c>
      <c r="L17" s="392"/>
    </row>
    <row r="18" spans="1:12" ht="14.25">
      <c r="A18" s="392"/>
      <c r="L18" s="392"/>
    </row>
    <row r="19" spans="1:12" ht="14.25">
      <c r="A19" s="392"/>
      <c r="B19" s="395" t="s">
        <v>858</v>
      </c>
      <c r="L19" s="392"/>
    </row>
    <row r="20" spans="1:12" ht="14.25">
      <c r="A20" s="392"/>
      <c r="B20" s="395"/>
      <c r="L20" s="392"/>
    </row>
    <row r="21" spans="1:12" ht="14.25">
      <c r="A21" s="392"/>
      <c r="B21" s="393" t="s">
        <v>859</v>
      </c>
      <c r="L21" s="392"/>
    </row>
    <row r="22" spans="1:12" ht="14.25">
      <c r="A22" s="392"/>
      <c r="L22" s="392"/>
    </row>
    <row r="23" spans="1:12" ht="14.25">
      <c r="A23" s="392"/>
      <c r="B23" s="393" t="s">
        <v>647</v>
      </c>
      <c r="E23" s="393" t="s">
        <v>648</v>
      </c>
      <c r="F23" s="1188">
        <v>312000000</v>
      </c>
      <c r="G23" s="1188"/>
      <c r="L23" s="392"/>
    </row>
    <row r="24" spans="1:12" ht="14.25">
      <c r="A24" s="392"/>
      <c r="L24" s="392"/>
    </row>
    <row r="25" spans="1:12" ht="14.25">
      <c r="A25" s="392"/>
      <c r="C25" s="1201">
        <f>F23</f>
        <v>312000000</v>
      </c>
      <c r="D25" s="1201"/>
      <c r="E25" s="393" t="s">
        <v>649</v>
      </c>
      <c r="F25" s="396">
        <v>1000</v>
      </c>
      <c r="G25" s="396" t="s">
        <v>648</v>
      </c>
      <c r="H25" s="883">
        <f>F23/F25</f>
        <v>312000</v>
      </c>
      <c r="L25" s="392"/>
    </row>
    <row r="26" spans="1:12" ht="15" thickBot="1">
      <c r="A26" s="392"/>
      <c r="L26" s="392"/>
    </row>
    <row r="27" spans="1:12" ht="14.25">
      <c r="A27" s="392"/>
      <c r="B27" s="397" t="s">
        <v>644</v>
      </c>
      <c r="C27" s="398"/>
      <c r="D27" s="398"/>
      <c r="E27" s="398"/>
      <c r="F27" s="398"/>
      <c r="G27" s="398"/>
      <c r="H27" s="398"/>
      <c r="I27" s="398"/>
      <c r="J27" s="398"/>
      <c r="K27" s="399"/>
      <c r="L27" s="392"/>
    </row>
    <row r="28" spans="1:12" ht="14.25">
      <c r="A28" s="392"/>
      <c r="B28" s="400">
        <f>F23</f>
        <v>312000000</v>
      </c>
      <c r="C28" s="401" t="s">
        <v>650</v>
      </c>
      <c r="D28" s="401"/>
      <c r="E28" s="401" t="s">
        <v>649</v>
      </c>
      <c r="F28" s="528">
        <v>1000</v>
      </c>
      <c r="G28" s="528" t="s">
        <v>648</v>
      </c>
      <c r="H28" s="855">
        <f>B28/F28</f>
        <v>312000</v>
      </c>
      <c r="I28" s="401" t="s">
        <v>651</v>
      </c>
      <c r="J28" s="401"/>
      <c r="K28" s="402"/>
      <c r="L28" s="392"/>
    </row>
    <row r="29" spans="1:12" ht="15" thickBot="1">
      <c r="A29" s="392"/>
      <c r="B29" s="403"/>
      <c r="C29" s="404"/>
      <c r="D29" s="404"/>
      <c r="E29" s="404"/>
      <c r="F29" s="404"/>
      <c r="G29" s="404"/>
      <c r="H29" s="404"/>
      <c r="I29" s="404"/>
      <c r="J29" s="404"/>
      <c r="K29" s="405"/>
      <c r="L29" s="392"/>
    </row>
    <row r="30" spans="1:12" ht="40.5" customHeight="1">
      <c r="A30" s="392"/>
      <c r="B30" s="1193" t="s">
        <v>640</v>
      </c>
      <c r="C30" s="1193"/>
      <c r="D30" s="1193"/>
      <c r="E30" s="1193"/>
      <c r="F30" s="1193"/>
      <c r="G30" s="1193"/>
      <c r="H30" s="1193"/>
      <c r="I30" s="1193"/>
      <c r="J30" s="1193"/>
      <c r="K30" s="1193"/>
      <c r="L30" s="392"/>
    </row>
    <row r="31" spans="1:12" ht="14.25">
      <c r="A31" s="392"/>
      <c r="B31" s="1197" t="s">
        <v>652</v>
      </c>
      <c r="C31" s="1197"/>
      <c r="D31" s="1197"/>
      <c r="E31" s="1197"/>
      <c r="F31" s="1197"/>
      <c r="G31" s="1197"/>
      <c r="H31" s="1197"/>
      <c r="I31" s="1197"/>
      <c r="J31" s="1197"/>
      <c r="K31" s="1197"/>
      <c r="L31" s="392"/>
    </row>
    <row r="32" spans="1:12" ht="14.25">
      <c r="A32" s="392"/>
      <c r="L32" s="392"/>
    </row>
    <row r="33" spans="1:12" ht="14.25">
      <c r="A33" s="392"/>
      <c r="B33" s="1197" t="s">
        <v>653</v>
      </c>
      <c r="C33" s="1197"/>
      <c r="D33" s="1197"/>
      <c r="E33" s="1197"/>
      <c r="F33" s="1197"/>
      <c r="G33" s="1197"/>
      <c r="H33" s="1197"/>
      <c r="I33" s="1197"/>
      <c r="J33" s="1197"/>
      <c r="K33" s="1197"/>
      <c r="L33" s="392"/>
    </row>
    <row r="34" spans="1:12" ht="14.25">
      <c r="A34" s="392"/>
      <c r="L34" s="392"/>
    </row>
    <row r="35" spans="1:12" ht="89.25" customHeight="1">
      <c r="A35" s="392"/>
      <c r="B35" s="1191" t="s">
        <v>654</v>
      </c>
      <c r="C35" s="1196"/>
      <c r="D35" s="1196"/>
      <c r="E35" s="1196"/>
      <c r="F35" s="1196"/>
      <c r="G35" s="1196"/>
      <c r="H35" s="1196"/>
      <c r="I35" s="1196"/>
      <c r="J35" s="1196"/>
      <c r="K35" s="1196"/>
      <c r="L35" s="392"/>
    </row>
    <row r="36" spans="1:12" ht="14.25">
      <c r="A36" s="392"/>
      <c r="L36" s="392"/>
    </row>
    <row r="37" spans="1:12" ht="14.25">
      <c r="A37" s="392"/>
      <c r="B37" s="395" t="s">
        <v>655</v>
      </c>
      <c r="L37" s="392"/>
    </row>
    <row r="38" spans="1:12" ht="14.25">
      <c r="A38" s="392"/>
      <c r="L38" s="392"/>
    </row>
    <row r="39" spans="1:12" ht="14.25">
      <c r="A39" s="392"/>
      <c r="B39" s="393" t="s">
        <v>656</v>
      </c>
      <c r="L39" s="392"/>
    </row>
    <row r="40" spans="1:12" ht="14.25">
      <c r="A40" s="392"/>
      <c r="L40" s="392"/>
    </row>
    <row r="41" spans="1:12" ht="14.25">
      <c r="A41" s="392"/>
      <c r="C41" s="1202">
        <v>312000000</v>
      </c>
      <c r="D41" s="1202"/>
      <c r="E41" s="393" t="s">
        <v>649</v>
      </c>
      <c r="F41" s="396">
        <v>1000</v>
      </c>
      <c r="G41" s="396" t="s">
        <v>648</v>
      </c>
      <c r="H41" s="856">
        <f>C41/F41</f>
        <v>312000</v>
      </c>
      <c r="L41" s="392"/>
    </row>
    <row r="42" spans="1:12" ht="14.25">
      <c r="A42" s="392"/>
      <c r="L42" s="392"/>
    </row>
    <row r="43" spans="1:12" ht="14.25">
      <c r="A43" s="392"/>
      <c r="B43" s="393" t="s">
        <v>657</v>
      </c>
      <c r="L43" s="392"/>
    </row>
    <row r="44" spans="1:12" ht="14.25">
      <c r="A44" s="392"/>
      <c r="L44" s="392"/>
    </row>
    <row r="45" spans="1:12" ht="14.25">
      <c r="A45" s="392"/>
      <c r="B45" s="393" t="s">
        <v>658</v>
      </c>
      <c r="L45" s="392"/>
    </row>
    <row r="46" spans="1:12" ht="15" thickBot="1">
      <c r="A46" s="392"/>
      <c r="L46" s="392"/>
    </row>
    <row r="47" spans="1:12" ht="14.25">
      <c r="A47" s="392"/>
      <c r="B47" s="406" t="s">
        <v>644</v>
      </c>
      <c r="C47" s="398"/>
      <c r="D47" s="398"/>
      <c r="E47" s="398"/>
      <c r="F47" s="398"/>
      <c r="G47" s="398"/>
      <c r="H47" s="398"/>
      <c r="I47" s="398"/>
      <c r="J47" s="398"/>
      <c r="K47" s="399"/>
      <c r="L47" s="392"/>
    </row>
    <row r="48" spans="1:12" ht="14.25">
      <c r="A48" s="392"/>
      <c r="B48" s="1203">
        <v>312000000</v>
      </c>
      <c r="C48" s="1188"/>
      <c r="D48" s="401" t="s">
        <v>659</v>
      </c>
      <c r="E48" s="401" t="s">
        <v>649</v>
      </c>
      <c r="F48" s="528">
        <v>1000</v>
      </c>
      <c r="G48" s="528" t="s">
        <v>648</v>
      </c>
      <c r="H48" s="855">
        <f>B48/F48</f>
        <v>312000</v>
      </c>
      <c r="I48" s="401" t="s">
        <v>660</v>
      </c>
      <c r="J48" s="401"/>
      <c r="K48" s="402"/>
      <c r="L48" s="392"/>
    </row>
    <row r="49" spans="1:12" ht="14.25">
      <c r="A49" s="392"/>
      <c r="B49" s="407"/>
      <c r="C49" s="401"/>
      <c r="D49" s="401"/>
      <c r="E49" s="401"/>
      <c r="F49" s="401"/>
      <c r="G49" s="401"/>
      <c r="H49" s="401"/>
      <c r="I49" s="401"/>
      <c r="J49" s="401"/>
      <c r="K49" s="402"/>
      <c r="L49" s="392"/>
    </row>
    <row r="50" spans="1:12" ht="14.25">
      <c r="A50" s="392"/>
      <c r="B50" s="408">
        <v>50000</v>
      </c>
      <c r="C50" s="401" t="s">
        <v>661</v>
      </c>
      <c r="D50" s="401"/>
      <c r="E50" s="401" t="s">
        <v>649</v>
      </c>
      <c r="F50" s="855">
        <f>H48</f>
        <v>312000</v>
      </c>
      <c r="G50" s="1204" t="s">
        <v>662</v>
      </c>
      <c r="H50" s="1205"/>
      <c r="I50" s="528" t="s">
        <v>648</v>
      </c>
      <c r="J50" s="409">
        <f>B50/F50</f>
        <v>0.16025641025641027</v>
      </c>
      <c r="K50" s="402"/>
      <c r="L50" s="392"/>
    </row>
    <row r="51" spans="1:15" ht="15" thickBot="1">
      <c r="A51" s="392"/>
      <c r="B51" s="403"/>
      <c r="C51" s="404"/>
      <c r="D51" s="404"/>
      <c r="E51" s="404"/>
      <c r="F51" s="404"/>
      <c r="G51" s="404"/>
      <c r="H51" s="404"/>
      <c r="I51" s="1206" t="s">
        <v>663</v>
      </c>
      <c r="J51" s="1206"/>
      <c r="K51" s="1207"/>
      <c r="L51" s="392"/>
      <c r="O51" s="505"/>
    </row>
    <row r="52" spans="1:12" ht="40.5" customHeight="1">
      <c r="A52" s="392"/>
      <c r="B52" s="1193" t="s">
        <v>640</v>
      </c>
      <c r="C52" s="1193"/>
      <c r="D52" s="1193"/>
      <c r="E52" s="1193"/>
      <c r="F52" s="1193"/>
      <c r="G52" s="1193"/>
      <c r="H52" s="1193"/>
      <c r="I52" s="1193"/>
      <c r="J52" s="1193"/>
      <c r="K52" s="1193"/>
      <c r="L52" s="392"/>
    </row>
    <row r="53" spans="1:12" ht="14.25">
      <c r="A53" s="392"/>
      <c r="B53" s="1197" t="s">
        <v>664</v>
      </c>
      <c r="C53" s="1197"/>
      <c r="D53" s="1197"/>
      <c r="E53" s="1197"/>
      <c r="F53" s="1197"/>
      <c r="G53" s="1197"/>
      <c r="H53" s="1197"/>
      <c r="I53" s="1197"/>
      <c r="J53" s="1197"/>
      <c r="K53" s="1197"/>
      <c r="L53" s="392"/>
    </row>
    <row r="54" spans="1:12" ht="14.25">
      <c r="A54" s="392"/>
      <c r="B54" s="525"/>
      <c r="C54" s="525"/>
      <c r="D54" s="525"/>
      <c r="E54" s="525"/>
      <c r="F54" s="525"/>
      <c r="G54" s="525"/>
      <c r="H54" s="525"/>
      <c r="I54" s="525"/>
      <c r="J54" s="525"/>
      <c r="K54" s="525"/>
      <c r="L54" s="392"/>
    </row>
    <row r="55" spans="1:12" ht="14.25">
      <c r="A55" s="392"/>
      <c r="B55" s="1195" t="s">
        <v>665</v>
      </c>
      <c r="C55" s="1195"/>
      <c r="D55" s="1195"/>
      <c r="E55" s="1195"/>
      <c r="F55" s="1195"/>
      <c r="G55" s="1195"/>
      <c r="H55" s="1195"/>
      <c r="I55" s="1195"/>
      <c r="J55" s="1195"/>
      <c r="K55" s="1195"/>
      <c r="L55" s="392"/>
    </row>
    <row r="56" spans="1:12" ht="15" customHeight="1">
      <c r="A56" s="392"/>
      <c r="L56" s="392"/>
    </row>
    <row r="57" spans="1:24" ht="74.25" customHeight="1">
      <c r="A57" s="392"/>
      <c r="B57" s="1191" t="s">
        <v>666</v>
      </c>
      <c r="C57" s="1196"/>
      <c r="D57" s="1196"/>
      <c r="E57" s="1196"/>
      <c r="F57" s="1196"/>
      <c r="G57" s="1196"/>
      <c r="H57" s="1196"/>
      <c r="I57" s="1196"/>
      <c r="J57" s="1196"/>
      <c r="K57" s="1196"/>
      <c r="L57" s="392"/>
      <c r="M57" s="410"/>
      <c r="N57" s="411"/>
      <c r="O57" s="411"/>
      <c r="P57" s="411"/>
      <c r="Q57" s="411"/>
      <c r="R57" s="411"/>
      <c r="S57" s="411"/>
      <c r="T57" s="411"/>
      <c r="U57" s="411"/>
      <c r="V57" s="411"/>
      <c r="W57" s="411"/>
      <c r="X57" s="411"/>
    </row>
    <row r="58" spans="1:24" ht="15" customHeight="1">
      <c r="A58" s="392"/>
      <c r="B58" s="1191"/>
      <c r="C58" s="1196"/>
      <c r="D58" s="1196"/>
      <c r="E58" s="1196"/>
      <c r="F58" s="1196"/>
      <c r="G58" s="1196"/>
      <c r="H58" s="1196"/>
      <c r="I58" s="1196"/>
      <c r="J58" s="1196"/>
      <c r="K58" s="1196"/>
      <c r="L58" s="392"/>
      <c r="M58" s="410"/>
      <c r="N58" s="411"/>
      <c r="O58" s="411"/>
      <c r="P58" s="411"/>
      <c r="Q58" s="411"/>
      <c r="R58" s="411"/>
      <c r="S58" s="411"/>
      <c r="T58" s="411"/>
      <c r="U58" s="411"/>
      <c r="V58" s="411"/>
      <c r="W58" s="411"/>
      <c r="X58" s="411"/>
    </row>
    <row r="59" spans="1:24" ht="14.25">
      <c r="A59" s="392"/>
      <c r="B59" s="395" t="s">
        <v>655</v>
      </c>
      <c r="L59" s="392"/>
      <c r="M59" s="411"/>
      <c r="N59" s="411"/>
      <c r="O59" s="411"/>
      <c r="P59" s="411"/>
      <c r="Q59" s="411"/>
      <c r="R59" s="411"/>
      <c r="S59" s="411"/>
      <c r="T59" s="411"/>
      <c r="U59" s="411"/>
      <c r="V59" s="411"/>
      <c r="W59" s="411"/>
      <c r="X59" s="411"/>
    </row>
    <row r="60" spans="1:24" ht="14.25">
      <c r="A60" s="392"/>
      <c r="L60" s="392"/>
      <c r="M60" s="411"/>
      <c r="N60" s="411"/>
      <c r="O60" s="411"/>
      <c r="P60" s="411"/>
      <c r="Q60" s="411"/>
      <c r="R60" s="411"/>
      <c r="S60" s="411"/>
      <c r="T60" s="411"/>
      <c r="U60" s="411"/>
      <c r="V60" s="411"/>
      <c r="W60" s="411"/>
      <c r="X60" s="411"/>
    </row>
    <row r="61" spans="1:24" ht="14.25">
      <c r="A61" s="392"/>
      <c r="B61" s="393" t="s">
        <v>667</v>
      </c>
      <c r="L61" s="392"/>
      <c r="M61" s="411"/>
      <c r="N61" s="411"/>
      <c r="O61" s="411"/>
      <c r="P61" s="411"/>
      <c r="Q61" s="411"/>
      <c r="R61" s="411"/>
      <c r="S61" s="411"/>
      <c r="T61" s="411"/>
      <c r="U61" s="411"/>
      <c r="V61" s="411"/>
      <c r="W61" s="411"/>
      <c r="X61" s="411"/>
    </row>
    <row r="62" spans="1:24" ht="14.25">
      <c r="A62" s="392"/>
      <c r="B62" s="393" t="s">
        <v>860</v>
      </c>
      <c r="L62" s="392"/>
      <c r="M62" s="411"/>
      <c r="N62" s="411"/>
      <c r="O62" s="411"/>
      <c r="P62" s="411"/>
      <c r="Q62" s="411"/>
      <c r="R62" s="411"/>
      <c r="S62" s="411"/>
      <c r="T62" s="411"/>
      <c r="U62" s="411"/>
      <c r="V62" s="411"/>
      <c r="W62" s="411"/>
      <c r="X62" s="411"/>
    </row>
    <row r="63" spans="1:24" ht="14.25">
      <c r="A63" s="392"/>
      <c r="B63" s="393" t="s">
        <v>861</v>
      </c>
      <c r="L63" s="392"/>
      <c r="M63" s="411"/>
      <c r="N63" s="411"/>
      <c r="O63" s="411"/>
      <c r="P63" s="411"/>
      <c r="Q63" s="411"/>
      <c r="R63" s="411"/>
      <c r="S63" s="411"/>
      <c r="T63" s="411"/>
      <c r="U63" s="411"/>
      <c r="V63" s="411"/>
      <c r="W63" s="411"/>
      <c r="X63" s="411"/>
    </row>
    <row r="64" spans="1:24" ht="14.25">
      <c r="A64" s="392"/>
      <c r="L64" s="392"/>
      <c r="M64" s="411"/>
      <c r="N64" s="411"/>
      <c r="O64" s="411"/>
      <c r="P64" s="411"/>
      <c r="Q64" s="411"/>
      <c r="R64" s="411"/>
      <c r="S64" s="411"/>
      <c r="T64" s="411"/>
      <c r="U64" s="411"/>
      <c r="V64" s="411"/>
      <c r="W64" s="411"/>
      <c r="X64" s="411"/>
    </row>
    <row r="65" spans="1:24" ht="14.25">
      <c r="A65" s="392"/>
      <c r="B65" s="393" t="s">
        <v>668</v>
      </c>
      <c r="L65" s="392"/>
      <c r="M65" s="411"/>
      <c r="N65" s="411"/>
      <c r="O65" s="411"/>
      <c r="P65" s="411"/>
      <c r="Q65" s="411"/>
      <c r="R65" s="411"/>
      <c r="S65" s="411"/>
      <c r="T65" s="411"/>
      <c r="U65" s="411"/>
      <c r="V65" s="411"/>
      <c r="W65" s="411"/>
      <c r="X65" s="411"/>
    </row>
    <row r="66" spans="1:24" ht="14.25">
      <c r="A66" s="392"/>
      <c r="B66" s="393" t="s">
        <v>669</v>
      </c>
      <c r="L66" s="392"/>
      <c r="M66" s="411"/>
      <c r="N66" s="411"/>
      <c r="O66" s="411"/>
      <c r="P66" s="411"/>
      <c r="Q66" s="411"/>
      <c r="R66" s="411"/>
      <c r="S66" s="411"/>
      <c r="T66" s="411"/>
      <c r="U66" s="411"/>
      <c r="V66" s="411"/>
      <c r="W66" s="411"/>
      <c r="X66" s="411"/>
    </row>
    <row r="67" spans="1:24" ht="14.25">
      <c r="A67" s="392"/>
      <c r="L67" s="392"/>
      <c r="M67" s="411"/>
      <c r="N67" s="411"/>
      <c r="O67" s="411"/>
      <c r="P67" s="411"/>
      <c r="Q67" s="411"/>
      <c r="R67" s="411"/>
      <c r="S67" s="411"/>
      <c r="T67" s="411"/>
      <c r="U67" s="411"/>
      <c r="V67" s="411"/>
      <c r="W67" s="411"/>
      <c r="X67" s="411"/>
    </row>
    <row r="68" spans="1:24" ht="14.25">
      <c r="A68" s="392"/>
      <c r="B68" s="393" t="s">
        <v>670</v>
      </c>
      <c r="L68" s="392"/>
      <c r="M68" s="412"/>
      <c r="N68" s="413"/>
      <c r="O68" s="413"/>
      <c r="P68" s="413"/>
      <c r="Q68" s="413"/>
      <c r="R68" s="413"/>
      <c r="S68" s="413"/>
      <c r="T68" s="413"/>
      <c r="U68" s="413"/>
      <c r="V68" s="413"/>
      <c r="W68" s="413"/>
      <c r="X68" s="411"/>
    </row>
    <row r="69" spans="1:24" ht="14.25">
      <c r="A69" s="392"/>
      <c r="B69" s="393" t="s">
        <v>862</v>
      </c>
      <c r="L69" s="392"/>
      <c r="M69" s="411"/>
      <c r="N69" s="411"/>
      <c r="O69" s="411"/>
      <c r="P69" s="411"/>
      <c r="Q69" s="411"/>
      <c r="R69" s="411"/>
      <c r="S69" s="411"/>
      <c r="T69" s="411"/>
      <c r="U69" s="411"/>
      <c r="V69" s="411"/>
      <c r="W69" s="411"/>
      <c r="X69" s="411"/>
    </row>
    <row r="70" spans="1:24" ht="14.25">
      <c r="A70" s="392"/>
      <c r="B70" s="393" t="s">
        <v>863</v>
      </c>
      <c r="L70" s="392"/>
      <c r="M70" s="411"/>
      <c r="N70" s="411"/>
      <c r="O70" s="411"/>
      <c r="P70" s="411"/>
      <c r="Q70" s="411"/>
      <c r="R70" s="411"/>
      <c r="S70" s="411"/>
      <c r="T70" s="411"/>
      <c r="U70" s="411"/>
      <c r="V70" s="411"/>
      <c r="W70" s="411"/>
      <c r="X70" s="411"/>
    </row>
    <row r="71" spans="1:12" ht="15" thickBot="1">
      <c r="A71" s="392"/>
      <c r="B71" s="401"/>
      <c r="C71" s="401"/>
      <c r="D71" s="401"/>
      <c r="E71" s="401"/>
      <c r="F71" s="401"/>
      <c r="G71" s="401"/>
      <c r="H71" s="401"/>
      <c r="I71" s="401"/>
      <c r="J71" s="401"/>
      <c r="K71" s="401"/>
      <c r="L71" s="392"/>
    </row>
    <row r="72" spans="1:12" ht="14.25">
      <c r="A72" s="392"/>
      <c r="B72" s="397" t="s">
        <v>644</v>
      </c>
      <c r="C72" s="398"/>
      <c r="D72" s="398"/>
      <c r="E72" s="398"/>
      <c r="F72" s="398"/>
      <c r="G72" s="398"/>
      <c r="H72" s="398"/>
      <c r="I72" s="398"/>
      <c r="J72" s="398"/>
      <c r="K72" s="399"/>
      <c r="L72" s="414"/>
    </row>
    <row r="73" spans="1:12" ht="14.25">
      <c r="A73" s="392"/>
      <c r="B73" s="407"/>
      <c r="C73" s="401" t="s">
        <v>650</v>
      </c>
      <c r="D73" s="401"/>
      <c r="E73" s="401"/>
      <c r="F73" s="401"/>
      <c r="G73" s="401"/>
      <c r="H73" s="401"/>
      <c r="I73" s="401"/>
      <c r="J73" s="401"/>
      <c r="K73" s="402"/>
      <c r="L73" s="414"/>
    </row>
    <row r="74" spans="1:12" ht="14.25">
      <c r="A74" s="392"/>
      <c r="B74" s="407" t="s">
        <v>671</v>
      </c>
      <c r="C74" s="1188">
        <v>312000000</v>
      </c>
      <c r="D74" s="1188"/>
      <c r="E74" s="528" t="s">
        <v>649</v>
      </c>
      <c r="F74" s="528">
        <v>1000</v>
      </c>
      <c r="G74" s="528" t="s">
        <v>648</v>
      </c>
      <c r="H74" s="852">
        <f>C74/F74</f>
        <v>312000</v>
      </c>
      <c r="I74" s="401" t="s">
        <v>672</v>
      </c>
      <c r="J74" s="401"/>
      <c r="K74" s="402"/>
      <c r="L74" s="414"/>
    </row>
    <row r="75" spans="1:12" ht="14.25">
      <c r="A75" s="392"/>
      <c r="B75" s="407"/>
      <c r="C75" s="401"/>
      <c r="D75" s="401"/>
      <c r="E75" s="528"/>
      <c r="F75" s="401"/>
      <c r="G75" s="401"/>
      <c r="H75" s="401"/>
      <c r="I75" s="401"/>
      <c r="J75" s="401"/>
      <c r="K75" s="402"/>
      <c r="L75" s="414"/>
    </row>
    <row r="76" spans="1:12" ht="14.25">
      <c r="A76" s="392"/>
      <c r="B76" s="407"/>
      <c r="C76" s="401" t="s">
        <v>673</v>
      </c>
      <c r="D76" s="401"/>
      <c r="E76" s="528"/>
      <c r="F76" s="401" t="s">
        <v>672</v>
      </c>
      <c r="G76" s="401"/>
      <c r="H76" s="401"/>
      <c r="I76" s="401"/>
      <c r="J76" s="401"/>
      <c r="K76" s="402"/>
      <c r="L76" s="414"/>
    </row>
    <row r="77" spans="1:12" ht="14.25">
      <c r="A77" s="392"/>
      <c r="B77" s="407" t="s">
        <v>676</v>
      </c>
      <c r="C77" s="1188">
        <v>50000</v>
      </c>
      <c r="D77" s="1188"/>
      <c r="E77" s="528" t="s">
        <v>649</v>
      </c>
      <c r="F77" s="852">
        <f>H74</f>
        <v>312000</v>
      </c>
      <c r="G77" s="528" t="s">
        <v>648</v>
      </c>
      <c r="H77" s="409">
        <f>C77/F77</f>
        <v>0.16025641025641027</v>
      </c>
      <c r="I77" s="401" t="s">
        <v>674</v>
      </c>
      <c r="J77" s="401"/>
      <c r="K77" s="402"/>
      <c r="L77" s="414"/>
    </row>
    <row r="78" spans="1:12" ht="14.25">
      <c r="A78" s="392"/>
      <c r="B78" s="407"/>
      <c r="C78" s="401"/>
      <c r="D78" s="401"/>
      <c r="E78" s="528"/>
      <c r="F78" s="401"/>
      <c r="G78" s="401"/>
      <c r="H78" s="401"/>
      <c r="I78" s="401"/>
      <c r="J78" s="401"/>
      <c r="K78" s="402"/>
      <c r="L78" s="414"/>
    </row>
    <row r="79" spans="1:12" ht="14.25">
      <c r="A79" s="392"/>
      <c r="B79" s="415"/>
      <c r="C79" s="416" t="s">
        <v>675</v>
      </c>
      <c r="D79" s="416"/>
      <c r="E79" s="523"/>
      <c r="F79" s="416"/>
      <c r="G79" s="416"/>
      <c r="H79" s="416"/>
      <c r="I79" s="416"/>
      <c r="J79" s="416"/>
      <c r="K79" s="417"/>
      <c r="L79" s="414"/>
    </row>
    <row r="80" spans="1:12" ht="14.25">
      <c r="A80" s="392"/>
      <c r="B80" s="407" t="s">
        <v>771</v>
      </c>
      <c r="C80" s="1188">
        <v>100000</v>
      </c>
      <c r="D80" s="1188"/>
      <c r="E80" s="528" t="s">
        <v>91</v>
      </c>
      <c r="F80" s="528">
        <v>0.115</v>
      </c>
      <c r="G80" s="528" t="s">
        <v>648</v>
      </c>
      <c r="H80" s="522">
        <f>C80*F80</f>
        <v>11500</v>
      </c>
      <c r="I80" s="401" t="s">
        <v>677</v>
      </c>
      <c r="J80" s="401"/>
      <c r="K80" s="402"/>
      <c r="L80" s="414"/>
    </row>
    <row r="81" spans="1:12" ht="14.25">
      <c r="A81" s="392"/>
      <c r="B81" s="407"/>
      <c r="C81" s="401"/>
      <c r="D81" s="401"/>
      <c r="E81" s="528"/>
      <c r="F81" s="401"/>
      <c r="G81" s="401"/>
      <c r="H81" s="401"/>
      <c r="I81" s="401"/>
      <c r="J81" s="401"/>
      <c r="K81" s="402"/>
      <c r="L81" s="414"/>
    </row>
    <row r="82" spans="1:12" ht="14.25">
      <c r="A82" s="392"/>
      <c r="B82" s="415"/>
      <c r="C82" s="416" t="s">
        <v>678</v>
      </c>
      <c r="D82" s="416"/>
      <c r="E82" s="523"/>
      <c r="F82" s="416" t="s">
        <v>674</v>
      </c>
      <c r="G82" s="416"/>
      <c r="H82" s="416"/>
      <c r="I82" s="416"/>
      <c r="J82" s="416" t="s">
        <v>679</v>
      </c>
      <c r="K82" s="417"/>
      <c r="L82" s="414"/>
    </row>
    <row r="83" spans="1:12" ht="14.25">
      <c r="A83" s="392"/>
      <c r="B83" s="407" t="s">
        <v>772</v>
      </c>
      <c r="C83" s="1192">
        <f>H80</f>
        <v>11500</v>
      </c>
      <c r="D83" s="1192"/>
      <c r="E83" s="528" t="s">
        <v>91</v>
      </c>
      <c r="F83" s="409">
        <f>H77</f>
        <v>0.16025641025641027</v>
      </c>
      <c r="G83" s="528" t="s">
        <v>649</v>
      </c>
      <c r="H83" s="528">
        <v>1000</v>
      </c>
      <c r="I83" s="528" t="s">
        <v>648</v>
      </c>
      <c r="J83" s="529">
        <f>C83*F83/H83</f>
        <v>1.842948717948718</v>
      </c>
      <c r="K83" s="402"/>
      <c r="L83" s="414"/>
    </row>
    <row r="84" spans="1:12" ht="15" thickBot="1">
      <c r="A84" s="392"/>
      <c r="B84" s="403"/>
      <c r="C84" s="418"/>
      <c r="D84" s="418"/>
      <c r="E84" s="419"/>
      <c r="F84" s="420"/>
      <c r="G84" s="419"/>
      <c r="H84" s="419"/>
      <c r="I84" s="419"/>
      <c r="J84" s="421"/>
      <c r="K84" s="405"/>
      <c r="L84" s="414"/>
    </row>
    <row r="85" spans="1:12" ht="40.5" customHeight="1">
      <c r="A85" s="392"/>
      <c r="B85" s="1193" t="s">
        <v>640</v>
      </c>
      <c r="C85" s="1193"/>
      <c r="D85" s="1193"/>
      <c r="E85" s="1193"/>
      <c r="F85" s="1193"/>
      <c r="G85" s="1193"/>
      <c r="H85" s="1193"/>
      <c r="I85" s="1193"/>
      <c r="J85" s="1193"/>
      <c r="K85" s="1193"/>
      <c r="L85" s="392"/>
    </row>
    <row r="86" spans="1:12" ht="14.25">
      <c r="A86" s="392"/>
      <c r="B86" s="1195" t="s">
        <v>680</v>
      </c>
      <c r="C86" s="1195"/>
      <c r="D86" s="1195"/>
      <c r="E86" s="1195"/>
      <c r="F86" s="1195"/>
      <c r="G86" s="1195"/>
      <c r="H86" s="1195"/>
      <c r="I86" s="1195"/>
      <c r="J86" s="1195"/>
      <c r="K86" s="1195"/>
      <c r="L86" s="392"/>
    </row>
    <row r="87" spans="1:12" ht="14.25">
      <c r="A87" s="392"/>
      <c r="B87" s="422"/>
      <c r="C87" s="422"/>
      <c r="D87" s="422"/>
      <c r="E87" s="422"/>
      <c r="F87" s="422"/>
      <c r="G87" s="422"/>
      <c r="H87" s="422"/>
      <c r="I87" s="422"/>
      <c r="J87" s="422"/>
      <c r="K87" s="422"/>
      <c r="L87" s="392"/>
    </row>
    <row r="88" spans="1:12" ht="14.25">
      <c r="A88" s="392"/>
      <c r="B88" s="1195" t="s">
        <v>681</v>
      </c>
      <c r="C88" s="1195"/>
      <c r="D88" s="1195"/>
      <c r="E88" s="1195"/>
      <c r="F88" s="1195"/>
      <c r="G88" s="1195"/>
      <c r="H88" s="1195"/>
      <c r="I88" s="1195"/>
      <c r="J88" s="1195"/>
      <c r="K88" s="1195"/>
      <c r="L88" s="392"/>
    </row>
    <row r="89" spans="1:12" ht="14.25">
      <c r="A89" s="392"/>
      <c r="B89" s="524"/>
      <c r="C89" s="524"/>
      <c r="D89" s="524"/>
      <c r="E89" s="524"/>
      <c r="F89" s="524"/>
      <c r="G89" s="524"/>
      <c r="H89" s="524"/>
      <c r="I89" s="524"/>
      <c r="J89" s="524"/>
      <c r="K89" s="524"/>
      <c r="L89" s="392"/>
    </row>
    <row r="90" spans="1:12" ht="45" customHeight="1">
      <c r="A90" s="392"/>
      <c r="B90" s="1191" t="s">
        <v>682</v>
      </c>
      <c r="C90" s="1191"/>
      <c r="D90" s="1191"/>
      <c r="E90" s="1191"/>
      <c r="F90" s="1191"/>
      <c r="G90" s="1191"/>
      <c r="H90" s="1191"/>
      <c r="I90" s="1191"/>
      <c r="J90" s="1191"/>
      <c r="K90" s="1191"/>
      <c r="L90" s="392"/>
    </row>
    <row r="91" spans="1:12" ht="15" customHeight="1" thickBot="1">
      <c r="A91" s="392"/>
      <c r="L91" s="392"/>
    </row>
    <row r="92" spans="1:12" ht="15" customHeight="1">
      <c r="A92" s="392"/>
      <c r="B92" s="423" t="s">
        <v>644</v>
      </c>
      <c r="C92" s="424"/>
      <c r="D92" s="424"/>
      <c r="E92" s="424"/>
      <c r="F92" s="424"/>
      <c r="G92" s="424"/>
      <c r="H92" s="424"/>
      <c r="I92" s="424"/>
      <c r="J92" s="424"/>
      <c r="K92" s="425"/>
      <c r="L92" s="392"/>
    </row>
    <row r="93" spans="1:12" ht="15" customHeight="1">
      <c r="A93" s="392"/>
      <c r="B93" s="426"/>
      <c r="C93" s="526" t="s">
        <v>650</v>
      </c>
      <c r="D93" s="526"/>
      <c r="E93" s="526"/>
      <c r="F93" s="526"/>
      <c r="G93" s="526"/>
      <c r="H93" s="526"/>
      <c r="I93" s="526"/>
      <c r="J93" s="526"/>
      <c r="K93" s="427"/>
      <c r="L93" s="392"/>
    </row>
    <row r="94" spans="1:12" ht="15" customHeight="1">
      <c r="A94" s="392"/>
      <c r="B94" s="426" t="s">
        <v>671</v>
      </c>
      <c r="C94" s="1188">
        <v>312000000</v>
      </c>
      <c r="D94" s="1188"/>
      <c r="E94" s="528" t="s">
        <v>649</v>
      </c>
      <c r="F94" s="528">
        <v>1000</v>
      </c>
      <c r="G94" s="528" t="s">
        <v>648</v>
      </c>
      <c r="H94" s="852">
        <f>C94/F94</f>
        <v>312000</v>
      </c>
      <c r="I94" s="526" t="s">
        <v>672</v>
      </c>
      <c r="J94" s="526"/>
      <c r="K94" s="427"/>
      <c r="L94" s="392"/>
    </row>
    <row r="95" spans="1:12" ht="15" customHeight="1">
      <c r="A95" s="392"/>
      <c r="B95" s="426"/>
      <c r="C95" s="526"/>
      <c r="D95" s="526"/>
      <c r="E95" s="528"/>
      <c r="F95" s="526"/>
      <c r="G95" s="526"/>
      <c r="H95" s="526"/>
      <c r="I95" s="526"/>
      <c r="J95" s="526"/>
      <c r="K95" s="427"/>
      <c r="L95" s="392"/>
    </row>
    <row r="96" spans="1:12" ht="15" customHeight="1">
      <c r="A96" s="392"/>
      <c r="B96" s="426"/>
      <c r="C96" s="526" t="s">
        <v>673</v>
      </c>
      <c r="D96" s="526"/>
      <c r="E96" s="528"/>
      <c r="F96" s="526" t="s">
        <v>672</v>
      </c>
      <c r="G96" s="526"/>
      <c r="H96" s="526"/>
      <c r="I96" s="526"/>
      <c r="J96" s="526"/>
      <c r="K96" s="427"/>
      <c r="L96" s="392"/>
    </row>
    <row r="97" spans="1:12" ht="15" customHeight="1">
      <c r="A97" s="392"/>
      <c r="B97" s="426" t="s">
        <v>676</v>
      </c>
      <c r="C97" s="1188">
        <v>50000</v>
      </c>
      <c r="D97" s="1188"/>
      <c r="E97" s="528" t="s">
        <v>649</v>
      </c>
      <c r="F97" s="852">
        <f>H94</f>
        <v>312000</v>
      </c>
      <c r="G97" s="528" t="s">
        <v>648</v>
      </c>
      <c r="H97" s="409">
        <f>C97/F97</f>
        <v>0.16025641025641027</v>
      </c>
      <c r="I97" s="526" t="s">
        <v>674</v>
      </c>
      <c r="J97" s="526"/>
      <c r="K97" s="427"/>
      <c r="L97" s="392"/>
    </row>
    <row r="98" spans="1:12" ht="15" customHeight="1">
      <c r="A98" s="392"/>
      <c r="B98" s="426"/>
      <c r="C98" s="526"/>
      <c r="D98" s="526"/>
      <c r="E98" s="528"/>
      <c r="F98" s="526"/>
      <c r="G98" s="526"/>
      <c r="H98" s="526"/>
      <c r="I98" s="526"/>
      <c r="J98" s="526"/>
      <c r="K98" s="427"/>
      <c r="L98" s="392"/>
    </row>
    <row r="99" spans="1:12" ht="15" customHeight="1">
      <c r="A99" s="392"/>
      <c r="B99" s="428"/>
      <c r="C99" s="429" t="s">
        <v>683</v>
      </c>
      <c r="D99" s="429"/>
      <c r="E99" s="523"/>
      <c r="F99" s="429"/>
      <c r="G99" s="429"/>
      <c r="H99" s="429"/>
      <c r="I99" s="429"/>
      <c r="J99" s="429"/>
      <c r="K99" s="430"/>
      <c r="L99" s="392"/>
    </row>
    <row r="100" spans="1:12" ht="15" customHeight="1">
      <c r="A100" s="392"/>
      <c r="B100" s="426" t="s">
        <v>771</v>
      </c>
      <c r="C100" s="1188">
        <v>2500000</v>
      </c>
      <c r="D100" s="1188"/>
      <c r="E100" s="528" t="s">
        <v>91</v>
      </c>
      <c r="F100" s="431">
        <v>0.3</v>
      </c>
      <c r="G100" s="528" t="s">
        <v>648</v>
      </c>
      <c r="H100" s="522">
        <f>C100*F100</f>
        <v>750000</v>
      </c>
      <c r="I100" s="526" t="s">
        <v>677</v>
      </c>
      <c r="J100" s="526"/>
      <c r="K100" s="427"/>
      <c r="L100" s="392"/>
    </row>
    <row r="101" spans="1:12" ht="15" customHeight="1">
      <c r="A101" s="392"/>
      <c r="B101" s="426"/>
      <c r="C101" s="526"/>
      <c r="D101" s="526"/>
      <c r="E101" s="528"/>
      <c r="F101" s="526"/>
      <c r="G101" s="526"/>
      <c r="H101" s="526"/>
      <c r="I101" s="526"/>
      <c r="J101" s="526"/>
      <c r="K101" s="427"/>
      <c r="L101" s="392"/>
    </row>
    <row r="102" spans="1:12" ht="15" customHeight="1">
      <c r="A102" s="392"/>
      <c r="B102" s="428"/>
      <c r="C102" s="429" t="s">
        <v>678</v>
      </c>
      <c r="D102" s="429"/>
      <c r="E102" s="523"/>
      <c r="F102" s="429" t="s">
        <v>674</v>
      </c>
      <c r="G102" s="429"/>
      <c r="H102" s="429"/>
      <c r="I102" s="429"/>
      <c r="J102" s="429" t="s">
        <v>679</v>
      </c>
      <c r="K102" s="430"/>
      <c r="L102" s="392"/>
    </row>
    <row r="103" spans="1:12" ht="15" customHeight="1">
      <c r="A103" s="392"/>
      <c r="B103" s="426" t="s">
        <v>772</v>
      </c>
      <c r="C103" s="1192">
        <f>H100</f>
        <v>750000</v>
      </c>
      <c r="D103" s="1192"/>
      <c r="E103" s="528" t="s">
        <v>91</v>
      </c>
      <c r="F103" s="409">
        <f>H97</f>
        <v>0.16025641025641027</v>
      </c>
      <c r="G103" s="528" t="s">
        <v>649</v>
      </c>
      <c r="H103" s="528">
        <v>1000</v>
      </c>
      <c r="I103" s="528" t="s">
        <v>648</v>
      </c>
      <c r="J103" s="529">
        <f>C103*F103/H103</f>
        <v>120.19230769230771</v>
      </c>
      <c r="K103" s="427"/>
      <c r="L103" s="392"/>
    </row>
    <row r="104" spans="1:12" ht="15" customHeight="1" thickBot="1">
      <c r="A104" s="392"/>
      <c r="B104" s="432"/>
      <c r="C104" s="418"/>
      <c r="D104" s="418"/>
      <c r="E104" s="419"/>
      <c r="F104" s="420"/>
      <c r="G104" s="419"/>
      <c r="H104" s="419"/>
      <c r="I104" s="419"/>
      <c r="J104" s="421"/>
      <c r="K104" s="527"/>
      <c r="L104" s="392"/>
    </row>
    <row r="105" spans="1:12" ht="40.5" customHeight="1">
      <c r="A105" s="392"/>
      <c r="B105" s="1193" t="s">
        <v>640</v>
      </c>
      <c r="C105" s="1194"/>
      <c r="D105" s="1194"/>
      <c r="E105" s="1194"/>
      <c r="F105" s="1194"/>
      <c r="G105" s="1194"/>
      <c r="H105" s="1194"/>
      <c r="I105" s="1194"/>
      <c r="J105" s="1194"/>
      <c r="K105" s="1194"/>
      <c r="L105" s="392"/>
    </row>
    <row r="106" spans="1:12" ht="15" customHeight="1">
      <c r="A106" s="392"/>
      <c r="B106" s="1208" t="s">
        <v>684</v>
      </c>
      <c r="C106" s="1198"/>
      <c r="D106" s="1198"/>
      <c r="E106" s="1198"/>
      <c r="F106" s="1198"/>
      <c r="G106" s="1198"/>
      <c r="H106" s="1198"/>
      <c r="I106" s="1198"/>
      <c r="J106" s="1198"/>
      <c r="K106" s="1198"/>
      <c r="L106" s="392"/>
    </row>
    <row r="107" spans="1:12" ht="15" customHeight="1">
      <c r="A107" s="392"/>
      <c r="B107" s="526"/>
      <c r="C107" s="433"/>
      <c r="D107" s="433"/>
      <c r="E107" s="528"/>
      <c r="F107" s="409"/>
      <c r="G107" s="528"/>
      <c r="H107" s="528"/>
      <c r="I107" s="528"/>
      <c r="J107" s="529"/>
      <c r="K107" s="526"/>
      <c r="L107" s="392"/>
    </row>
    <row r="108" spans="1:12" ht="15" customHeight="1">
      <c r="A108" s="392"/>
      <c r="B108" s="1208" t="s">
        <v>685</v>
      </c>
      <c r="C108" s="1209"/>
      <c r="D108" s="1209"/>
      <c r="E108" s="1209"/>
      <c r="F108" s="1209"/>
      <c r="G108" s="1209"/>
      <c r="H108" s="1209"/>
      <c r="I108" s="1209"/>
      <c r="J108" s="1209"/>
      <c r="K108" s="1209"/>
      <c r="L108" s="392"/>
    </row>
    <row r="109" spans="1:12" ht="15" customHeight="1">
      <c r="A109" s="392"/>
      <c r="B109" s="526"/>
      <c r="C109" s="433"/>
      <c r="D109" s="433"/>
      <c r="E109" s="528"/>
      <c r="F109" s="409"/>
      <c r="G109" s="528"/>
      <c r="H109" s="528"/>
      <c r="I109" s="528"/>
      <c r="J109" s="529"/>
      <c r="K109" s="526"/>
      <c r="L109" s="392"/>
    </row>
    <row r="110" spans="1:12" ht="59.25" customHeight="1">
      <c r="A110" s="392"/>
      <c r="B110" s="1210" t="s">
        <v>686</v>
      </c>
      <c r="C110" s="1196"/>
      <c r="D110" s="1196"/>
      <c r="E110" s="1196"/>
      <c r="F110" s="1196"/>
      <c r="G110" s="1196"/>
      <c r="H110" s="1196"/>
      <c r="I110" s="1196"/>
      <c r="J110" s="1196"/>
      <c r="K110" s="1196"/>
      <c r="L110" s="392"/>
    </row>
    <row r="111" spans="1:12" ht="15" thickBot="1">
      <c r="A111" s="392"/>
      <c r="B111" s="525"/>
      <c r="C111" s="525"/>
      <c r="D111" s="525"/>
      <c r="E111" s="525"/>
      <c r="F111" s="525"/>
      <c r="G111" s="525"/>
      <c r="H111" s="525"/>
      <c r="I111" s="525"/>
      <c r="J111" s="525"/>
      <c r="K111" s="525"/>
      <c r="L111" s="434"/>
    </row>
    <row r="112" spans="1:12" ht="14.25">
      <c r="A112" s="392"/>
      <c r="B112" s="397" t="s">
        <v>644</v>
      </c>
      <c r="C112" s="398"/>
      <c r="D112" s="398"/>
      <c r="E112" s="398"/>
      <c r="F112" s="398"/>
      <c r="G112" s="398"/>
      <c r="H112" s="398"/>
      <c r="I112" s="398"/>
      <c r="J112" s="398"/>
      <c r="K112" s="399"/>
      <c r="L112" s="392"/>
    </row>
    <row r="113" spans="1:12" ht="14.25">
      <c r="A113" s="392"/>
      <c r="B113" s="407"/>
      <c r="C113" s="401" t="s">
        <v>650</v>
      </c>
      <c r="D113" s="401"/>
      <c r="E113" s="401"/>
      <c r="F113" s="401"/>
      <c r="G113" s="401"/>
      <c r="H113" s="401"/>
      <c r="I113" s="401"/>
      <c r="J113" s="401"/>
      <c r="K113" s="402"/>
      <c r="L113" s="392"/>
    </row>
    <row r="114" spans="1:12" ht="14.25">
      <c r="A114" s="392"/>
      <c r="B114" s="407" t="s">
        <v>671</v>
      </c>
      <c r="C114" s="1188">
        <v>312000000</v>
      </c>
      <c r="D114" s="1188"/>
      <c r="E114" s="528" t="s">
        <v>649</v>
      </c>
      <c r="F114" s="528">
        <v>1000</v>
      </c>
      <c r="G114" s="528" t="s">
        <v>648</v>
      </c>
      <c r="H114" s="852">
        <f>C114/F114</f>
        <v>312000</v>
      </c>
      <c r="I114" s="401" t="s">
        <v>672</v>
      </c>
      <c r="J114" s="401"/>
      <c r="K114" s="402"/>
      <c r="L114" s="392"/>
    </row>
    <row r="115" spans="1:12" ht="14.25">
      <c r="A115" s="392"/>
      <c r="B115" s="407"/>
      <c r="C115" s="401"/>
      <c r="D115" s="401"/>
      <c r="E115" s="528"/>
      <c r="F115" s="401"/>
      <c r="G115" s="401"/>
      <c r="H115" s="401"/>
      <c r="I115" s="401"/>
      <c r="J115" s="401"/>
      <c r="K115" s="402"/>
      <c r="L115" s="392"/>
    </row>
    <row r="116" spans="1:12" ht="14.25">
      <c r="A116" s="392"/>
      <c r="B116" s="407"/>
      <c r="C116" s="401" t="s">
        <v>673</v>
      </c>
      <c r="D116" s="401"/>
      <c r="E116" s="528"/>
      <c r="F116" s="401" t="s">
        <v>672</v>
      </c>
      <c r="G116" s="401"/>
      <c r="H116" s="401"/>
      <c r="I116" s="401"/>
      <c r="J116" s="401"/>
      <c r="K116" s="402"/>
      <c r="L116" s="392"/>
    </row>
    <row r="117" spans="1:12" ht="14.25">
      <c r="A117" s="392"/>
      <c r="B117" s="407" t="s">
        <v>676</v>
      </c>
      <c r="C117" s="1188">
        <v>50000</v>
      </c>
      <c r="D117" s="1188"/>
      <c r="E117" s="528" t="s">
        <v>649</v>
      </c>
      <c r="F117" s="852">
        <f>H114</f>
        <v>312000</v>
      </c>
      <c r="G117" s="528" t="s">
        <v>648</v>
      </c>
      <c r="H117" s="409">
        <f>C117/F117</f>
        <v>0.16025641025641027</v>
      </c>
      <c r="I117" s="401" t="s">
        <v>674</v>
      </c>
      <c r="J117" s="401"/>
      <c r="K117" s="402"/>
      <c r="L117" s="392"/>
    </row>
    <row r="118" spans="1:12" ht="14.25">
      <c r="A118" s="392"/>
      <c r="B118" s="407"/>
      <c r="C118" s="401"/>
      <c r="D118" s="401"/>
      <c r="E118" s="528"/>
      <c r="F118" s="401"/>
      <c r="G118" s="401"/>
      <c r="H118" s="401"/>
      <c r="I118" s="401"/>
      <c r="J118" s="401"/>
      <c r="K118" s="402"/>
      <c r="L118" s="392"/>
    </row>
    <row r="119" spans="1:12" ht="14.25">
      <c r="A119" s="392"/>
      <c r="B119" s="415"/>
      <c r="C119" s="416" t="s">
        <v>683</v>
      </c>
      <c r="D119" s="416"/>
      <c r="E119" s="523"/>
      <c r="F119" s="416"/>
      <c r="G119" s="416"/>
      <c r="H119" s="416"/>
      <c r="I119" s="416"/>
      <c r="J119" s="416"/>
      <c r="K119" s="417"/>
      <c r="L119" s="392"/>
    </row>
    <row r="120" spans="1:12" ht="14.25">
      <c r="A120" s="392"/>
      <c r="B120" s="407" t="s">
        <v>771</v>
      </c>
      <c r="C120" s="1188">
        <v>2500000</v>
      </c>
      <c r="D120" s="1188"/>
      <c r="E120" s="528" t="s">
        <v>91</v>
      </c>
      <c r="F120" s="431">
        <v>0.25</v>
      </c>
      <c r="G120" s="528" t="s">
        <v>648</v>
      </c>
      <c r="H120" s="522">
        <f>C120*F120</f>
        <v>625000</v>
      </c>
      <c r="I120" s="401" t="s">
        <v>677</v>
      </c>
      <c r="J120" s="401"/>
      <c r="K120" s="402"/>
      <c r="L120" s="392"/>
    </row>
    <row r="121" spans="1:12" ht="14.25">
      <c r="A121" s="392"/>
      <c r="B121" s="407"/>
      <c r="C121" s="401"/>
      <c r="D121" s="401"/>
      <c r="E121" s="528"/>
      <c r="F121" s="401"/>
      <c r="G121" s="401"/>
      <c r="H121" s="401"/>
      <c r="I121" s="401"/>
      <c r="J121" s="401"/>
      <c r="K121" s="402"/>
      <c r="L121" s="392"/>
    </row>
    <row r="122" spans="1:12" ht="14.25">
      <c r="A122" s="392"/>
      <c r="B122" s="415"/>
      <c r="C122" s="416" t="s">
        <v>678</v>
      </c>
      <c r="D122" s="416"/>
      <c r="E122" s="523"/>
      <c r="F122" s="416" t="s">
        <v>674</v>
      </c>
      <c r="G122" s="416"/>
      <c r="H122" s="416"/>
      <c r="I122" s="416"/>
      <c r="J122" s="416" t="s">
        <v>679</v>
      </c>
      <c r="K122" s="417"/>
      <c r="L122" s="392"/>
    </row>
    <row r="123" spans="1:12" ht="14.25">
      <c r="A123" s="392"/>
      <c r="B123" s="407" t="s">
        <v>772</v>
      </c>
      <c r="C123" s="1192">
        <f>H120</f>
        <v>625000</v>
      </c>
      <c r="D123" s="1192"/>
      <c r="E123" s="528" t="s">
        <v>91</v>
      </c>
      <c r="F123" s="409">
        <f>H117</f>
        <v>0.16025641025641027</v>
      </c>
      <c r="G123" s="528" t="s">
        <v>649</v>
      </c>
      <c r="H123" s="528">
        <v>1000</v>
      </c>
      <c r="I123" s="528" t="s">
        <v>648</v>
      </c>
      <c r="J123" s="529">
        <f>C123*F123/H123</f>
        <v>100.16025641025642</v>
      </c>
      <c r="K123" s="402"/>
      <c r="L123" s="392"/>
    </row>
    <row r="124" spans="1:12" ht="15" thickBot="1">
      <c r="A124" s="392"/>
      <c r="B124" s="403"/>
      <c r="C124" s="418"/>
      <c r="D124" s="418"/>
      <c r="E124" s="419"/>
      <c r="F124" s="420"/>
      <c r="G124" s="419"/>
      <c r="H124" s="419"/>
      <c r="I124" s="419"/>
      <c r="J124" s="421"/>
      <c r="K124" s="405"/>
      <c r="L124" s="392"/>
    </row>
    <row r="125" spans="1:12" ht="40.5" customHeight="1">
      <c r="A125" s="392"/>
      <c r="B125" s="1193" t="s">
        <v>640</v>
      </c>
      <c r="C125" s="1193"/>
      <c r="D125" s="1193"/>
      <c r="E125" s="1193"/>
      <c r="F125" s="1193"/>
      <c r="G125" s="1193"/>
      <c r="H125" s="1193"/>
      <c r="I125" s="1193"/>
      <c r="J125" s="1193"/>
      <c r="K125" s="1193"/>
      <c r="L125" s="434"/>
    </row>
    <row r="126" spans="1:12" ht="14.25">
      <c r="A126" s="392"/>
      <c r="B126" s="1195" t="s">
        <v>687</v>
      </c>
      <c r="C126" s="1195"/>
      <c r="D126" s="1195"/>
      <c r="E126" s="1195"/>
      <c r="F126" s="1195"/>
      <c r="G126" s="1195"/>
      <c r="H126" s="1195"/>
      <c r="I126" s="1195"/>
      <c r="J126" s="1195"/>
      <c r="K126" s="1195"/>
      <c r="L126" s="434"/>
    </row>
    <row r="127" spans="1:12" ht="14.25">
      <c r="A127" s="392"/>
      <c r="B127" s="525"/>
      <c r="C127" s="525"/>
      <c r="D127" s="525"/>
      <c r="E127" s="525"/>
      <c r="F127" s="525"/>
      <c r="G127" s="525"/>
      <c r="H127" s="525"/>
      <c r="I127" s="525"/>
      <c r="J127" s="525"/>
      <c r="K127" s="525"/>
      <c r="L127" s="434"/>
    </row>
    <row r="128" spans="1:12" ht="14.25">
      <c r="A128" s="392"/>
      <c r="B128" s="1195" t="s">
        <v>688</v>
      </c>
      <c r="C128" s="1195"/>
      <c r="D128" s="1195"/>
      <c r="E128" s="1195"/>
      <c r="F128" s="1195"/>
      <c r="G128" s="1195"/>
      <c r="H128" s="1195"/>
      <c r="I128" s="1195"/>
      <c r="J128" s="1195"/>
      <c r="K128" s="1195"/>
      <c r="L128" s="434"/>
    </row>
    <row r="129" spans="1:12" ht="14.25">
      <c r="A129" s="392"/>
      <c r="B129" s="524"/>
      <c r="C129" s="524"/>
      <c r="D129" s="524"/>
      <c r="E129" s="524"/>
      <c r="F129" s="524"/>
      <c r="G129" s="524"/>
      <c r="H129" s="524"/>
      <c r="I129" s="524"/>
      <c r="J129" s="524"/>
      <c r="K129" s="524"/>
      <c r="L129" s="434"/>
    </row>
    <row r="130" spans="1:12" ht="74.25" customHeight="1">
      <c r="A130" s="392"/>
      <c r="B130" s="1191" t="s">
        <v>773</v>
      </c>
      <c r="C130" s="1191"/>
      <c r="D130" s="1191"/>
      <c r="E130" s="1191"/>
      <c r="F130" s="1191"/>
      <c r="G130" s="1191"/>
      <c r="H130" s="1191"/>
      <c r="I130" s="1191"/>
      <c r="J130" s="1191"/>
      <c r="K130" s="1191"/>
      <c r="L130" s="434"/>
    </row>
    <row r="131" spans="1:12" ht="15" thickBot="1">
      <c r="A131" s="392"/>
      <c r="L131" s="392"/>
    </row>
    <row r="132" spans="1:12" ht="14.25">
      <c r="A132" s="392"/>
      <c r="B132" s="397" t="s">
        <v>644</v>
      </c>
      <c r="C132" s="398"/>
      <c r="D132" s="398"/>
      <c r="E132" s="398"/>
      <c r="F132" s="398"/>
      <c r="G132" s="398"/>
      <c r="H132" s="398"/>
      <c r="I132" s="398"/>
      <c r="J132" s="398"/>
      <c r="K132" s="399"/>
      <c r="L132" s="392"/>
    </row>
    <row r="133" spans="1:12" ht="14.25">
      <c r="A133" s="392"/>
      <c r="B133" s="407"/>
      <c r="C133" s="1211" t="s">
        <v>689</v>
      </c>
      <c r="D133" s="1211"/>
      <c r="E133" s="401"/>
      <c r="F133" s="528" t="s">
        <v>690</v>
      </c>
      <c r="G133" s="401"/>
      <c r="H133" s="1211" t="s">
        <v>677</v>
      </c>
      <c r="I133" s="1211"/>
      <c r="J133" s="401"/>
      <c r="K133" s="402"/>
      <c r="L133" s="392"/>
    </row>
    <row r="134" spans="1:12" ht="14.25">
      <c r="A134" s="392"/>
      <c r="B134" s="407" t="s">
        <v>671</v>
      </c>
      <c r="C134" s="1188">
        <v>100000</v>
      </c>
      <c r="D134" s="1188"/>
      <c r="E134" s="528" t="s">
        <v>91</v>
      </c>
      <c r="F134" s="528">
        <v>0.115</v>
      </c>
      <c r="G134" s="528" t="s">
        <v>648</v>
      </c>
      <c r="H134" s="1189">
        <f>C134*F134</f>
        <v>11500</v>
      </c>
      <c r="I134" s="1189"/>
      <c r="J134" s="401"/>
      <c r="K134" s="402"/>
      <c r="L134" s="392"/>
    </row>
    <row r="135" spans="1:12" ht="14.25">
      <c r="A135" s="392"/>
      <c r="B135" s="407"/>
      <c r="C135" s="401"/>
      <c r="D135" s="401"/>
      <c r="E135" s="401"/>
      <c r="F135" s="401"/>
      <c r="G135" s="401"/>
      <c r="H135" s="401"/>
      <c r="I135" s="401"/>
      <c r="J135" s="401"/>
      <c r="K135" s="402"/>
      <c r="L135" s="392"/>
    </row>
    <row r="136" spans="1:12" ht="14.25">
      <c r="A136" s="392"/>
      <c r="B136" s="415"/>
      <c r="C136" s="1190" t="s">
        <v>677</v>
      </c>
      <c r="D136" s="1190"/>
      <c r="E136" s="416"/>
      <c r="F136" s="523" t="s">
        <v>691</v>
      </c>
      <c r="G136" s="523"/>
      <c r="H136" s="416"/>
      <c r="I136" s="416"/>
      <c r="J136" s="416" t="s">
        <v>692</v>
      </c>
      <c r="K136" s="417"/>
      <c r="L136" s="392"/>
    </row>
    <row r="137" spans="1:12" ht="14.25">
      <c r="A137" s="392"/>
      <c r="B137" s="407" t="s">
        <v>676</v>
      </c>
      <c r="C137" s="1189">
        <f>H134</f>
        <v>11500</v>
      </c>
      <c r="D137" s="1189"/>
      <c r="E137" s="528" t="s">
        <v>91</v>
      </c>
      <c r="F137" s="435">
        <v>52.869</v>
      </c>
      <c r="G137" s="528" t="s">
        <v>649</v>
      </c>
      <c r="H137" s="528">
        <v>1000</v>
      </c>
      <c r="I137" s="528" t="s">
        <v>648</v>
      </c>
      <c r="J137" s="436">
        <f>C137*F137/H137</f>
        <v>607.9935</v>
      </c>
      <c r="K137" s="402"/>
      <c r="L137" s="392"/>
    </row>
    <row r="138" spans="1:12" ht="15" thickBot="1">
      <c r="A138" s="392"/>
      <c r="B138" s="403"/>
      <c r="C138" s="506"/>
      <c r="D138" s="506"/>
      <c r="E138" s="419"/>
      <c r="F138" s="507"/>
      <c r="G138" s="419"/>
      <c r="H138" s="419"/>
      <c r="I138" s="419"/>
      <c r="J138" s="508"/>
      <c r="K138" s="405"/>
      <c r="L138" s="392"/>
    </row>
    <row r="139" spans="1:12" ht="40.5" customHeight="1">
      <c r="A139" s="392"/>
      <c r="B139" s="493" t="s">
        <v>640</v>
      </c>
      <c r="C139" s="494"/>
      <c r="D139" s="494"/>
      <c r="E139" s="495"/>
      <c r="F139" s="496"/>
      <c r="G139" s="495"/>
      <c r="H139" s="495"/>
      <c r="I139" s="495"/>
      <c r="J139" s="497"/>
      <c r="K139" s="498"/>
      <c r="L139" s="392"/>
    </row>
    <row r="140" spans="1:12" ht="14.25">
      <c r="A140" s="392"/>
      <c r="B140" s="499" t="s">
        <v>774</v>
      </c>
      <c r="C140" s="500"/>
      <c r="D140" s="500"/>
      <c r="E140" s="501"/>
      <c r="F140" s="502"/>
      <c r="G140" s="501"/>
      <c r="H140" s="501"/>
      <c r="I140" s="501"/>
      <c r="J140" s="503"/>
      <c r="K140" s="504"/>
      <c r="L140" s="392"/>
    </row>
    <row r="141" spans="1:12" ht="14.25">
      <c r="A141" s="392"/>
      <c r="B141" s="407"/>
      <c r="C141" s="522"/>
      <c r="D141" s="522"/>
      <c r="E141" s="528"/>
      <c r="F141" s="509"/>
      <c r="G141" s="528"/>
      <c r="H141" s="528"/>
      <c r="I141" s="528"/>
      <c r="J141" s="436"/>
      <c r="K141" s="402"/>
      <c r="L141" s="392"/>
    </row>
    <row r="142" spans="1:12" ht="14.25">
      <c r="A142" s="392"/>
      <c r="B142" s="499" t="s">
        <v>775</v>
      </c>
      <c r="C142" s="500"/>
      <c r="D142" s="500"/>
      <c r="E142" s="501"/>
      <c r="F142" s="502"/>
      <c r="G142" s="501"/>
      <c r="H142" s="501"/>
      <c r="I142" s="501"/>
      <c r="J142" s="503"/>
      <c r="K142" s="504"/>
      <c r="L142" s="392"/>
    </row>
    <row r="143" spans="1:12" ht="14.25">
      <c r="A143" s="392"/>
      <c r="B143" s="407"/>
      <c r="C143" s="522"/>
      <c r="D143" s="522"/>
      <c r="E143" s="528"/>
      <c r="F143" s="509"/>
      <c r="G143" s="528"/>
      <c r="H143" s="528"/>
      <c r="I143" s="528"/>
      <c r="J143" s="436"/>
      <c r="K143" s="402"/>
      <c r="L143" s="392"/>
    </row>
    <row r="144" spans="1:12" ht="76.5" customHeight="1">
      <c r="A144" s="392"/>
      <c r="B144" s="1212" t="s">
        <v>776</v>
      </c>
      <c r="C144" s="1213"/>
      <c r="D144" s="1213"/>
      <c r="E144" s="1213"/>
      <c r="F144" s="1213"/>
      <c r="G144" s="1213"/>
      <c r="H144" s="1213"/>
      <c r="I144" s="1213"/>
      <c r="J144" s="1213"/>
      <c r="K144" s="1214"/>
      <c r="L144" s="392"/>
    </row>
    <row r="145" spans="1:12" ht="15" thickBot="1">
      <c r="A145" s="392"/>
      <c r="B145" s="407"/>
      <c r="C145" s="522"/>
      <c r="D145" s="522"/>
      <c r="E145" s="528"/>
      <c r="F145" s="509"/>
      <c r="G145" s="528"/>
      <c r="H145" s="528"/>
      <c r="I145" s="528"/>
      <c r="J145" s="436"/>
      <c r="K145" s="402"/>
      <c r="L145" s="392"/>
    </row>
    <row r="146" spans="1:12" ht="14.25">
      <c r="A146" s="392"/>
      <c r="B146" s="397" t="s">
        <v>644</v>
      </c>
      <c r="C146" s="510"/>
      <c r="D146" s="510"/>
      <c r="E146" s="511"/>
      <c r="F146" s="512"/>
      <c r="G146" s="511"/>
      <c r="H146" s="511"/>
      <c r="I146" s="511"/>
      <c r="J146" s="513"/>
      <c r="K146" s="399"/>
      <c r="L146" s="392"/>
    </row>
    <row r="147" spans="1:12" ht="14.25">
      <c r="A147" s="392"/>
      <c r="B147" s="407"/>
      <c r="C147" s="1189" t="s">
        <v>777</v>
      </c>
      <c r="D147" s="1189"/>
      <c r="E147" s="528"/>
      <c r="F147" s="509" t="s">
        <v>778</v>
      </c>
      <c r="G147" s="528"/>
      <c r="H147" s="528"/>
      <c r="I147" s="528"/>
      <c r="J147" s="1215" t="s">
        <v>779</v>
      </c>
      <c r="K147" s="1216"/>
      <c r="L147" s="392"/>
    </row>
    <row r="148" spans="1:12" ht="14.25">
      <c r="A148" s="392"/>
      <c r="B148" s="407"/>
      <c r="C148" s="1217">
        <v>52.869</v>
      </c>
      <c r="D148" s="1217"/>
      <c r="E148" s="528" t="s">
        <v>91</v>
      </c>
      <c r="F148" s="521">
        <v>312000000</v>
      </c>
      <c r="G148" s="514" t="s">
        <v>649</v>
      </c>
      <c r="H148" s="528">
        <v>1000</v>
      </c>
      <c r="I148" s="528" t="s">
        <v>648</v>
      </c>
      <c r="J148" s="1215">
        <f>C148*(F148/1000)</f>
        <v>16495128</v>
      </c>
      <c r="K148" s="1218"/>
      <c r="L148" s="392"/>
    </row>
    <row r="149" spans="1:12" ht="15" thickBot="1">
      <c r="A149" s="392"/>
      <c r="B149" s="403"/>
      <c r="C149" s="506"/>
      <c r="D149" s="506"/>
      <c r="E149" s="419"/>
      <c r="F149" s="507"/>
      <c r="G149" s="419"/>
      <c r="H149" s="419"/>
      <c r="I149" s="419"/>
      <c r="J149" s="508"/>
      <c r="K149" s="405"/>
      <c r="L149" s="392"/>
    </row>
    <row r="150" spans="1:12" ht="15" thickBot="1">
      <c r="A150" s="392"/>
      <c r="B150" s="403"/>
      <c r="C150" s="404"/>
      <c r="D150" s="404"/>
      <c r="E150" s="404"/>
      <c r="F150" s="404"/>
      <c r="G150" s="404"/>
      <c r="H150" s="404"/>
      <c r="I150" s="404"/>
      <c r="J150" s="404"/>
      <c r="K150" s="405"/>
      <c r="L150" s="392"/>
    </row>
    <row r="151" spans="1:12" ht="14.25">
      <c r="A151" s="392"/>
      <c r="B151" s="392"/>
      <c r="C151" s="392"/>
      <c r="D151" s="392"/>
      <c r="E151" s="392"/>
      <c r="F151" s="392"/>
      <c r="G151" s="392"/>
      <c r="H151" s="392"/>
      <c r="I151" s="392"/>
      <c r="J151" s="392"/>
      <c r="K151" s="392"/>
      <c r="L151" s="392"/>
    </row>
    <row r="152" spans="1:12" ht="14.25">
      <c r="A152" s="392"/>
      <c r="B152" s="392"/>
      <c r="C152" s="392"/>
      <c r="D152" s="392"/>
      <c r="E152" s="392"/>
      <c r="F152" s="392"/>
      <c r="G152" s="392"/>
      <c r="H152" s="392"/>
      <c r="I152" s="392"/>
      <c r="J152" s="392"/>
      <c r="K152" s="392"/>
      <c r="L152" s="392"/>
    </row>
    <row r="153" spans="1:12" ht="14.25">
      <c r="A153" s="392"/>
      <c r="B153" s="392"/>
      <c r="C153" s="392"/>
      <c r="D153" s="392"/>
      <c r="E153" s="392"/>
      <c r="F153" s="392"/>
      <c r="G153" s="392"/>
      <c r="H153" s="392"/>
      <c r="I153" s="392"/>
      <c r="J153" s="392"/>
      <c r="K153" s="392"/>
      <c r="L153" s="392"/>
    </row>
    <row r="154" spans="1:12" ht="14.25">
      <c r="A154" s="437"/>
      <c r="B154" s="437"/>
      <c r="C154" s="437"/>
      <c r="D154" s="437"/>
      <c r="E154" s="437"/>
      <c r="F154" s="437"/>
      <c r="G154" s="437"/>
      <c r="H154" s="437"/>
      <c r="I154" s="437"/>
      <c r="J154" s="437"/>
      <c r="K154" s="437"/>
      <c r="L154" s="437"/>
    </row>
    <row r="155" spans="1:12" ht="14.25">
      <c r="A155" s="437"/>
      <c r="B155" s="437"/>
      <c r="C155" s="437"/>
      <c r="D155" s="437"/>
      <c r="E155" s="437"/>
      <c r="F155" s="437"/>
      <c r="G155" s="437"/>
      <c r="H155" s="437"/>
      <c r="I155" s="437"/>
      <c r="J155" s="437"/>
      <c r="K155" s="437"/>
      <c r="L155" s="437"/>
    </row>
    <row r="156" spans="1:12" ht="14.25">
      <c r="A156" s="437"/>
      <c r="B156" s="437"/>
      <c r="C156" s="437"/>
      <c r="D156" s="437"/>
      <c r="E156" s="437"/>
      <c r="F156" s="437"/>
      <c r="G156" s="437"/>
      <c r="H156" s="437"/>
      <c r="I156" s="437"/>
      <c r="J156" s="437"/>
      <c r="K156" s="437"/>
      <c r="L156" s="437"/>
    </row>
    <row r="157" spans="1:12" ht="14.25">
      <c r="A157" s="437"/>
      <c r="B157" s="437"/>
      <c r="C157" s="437"/>
      <c r="D157" s="437"/>
      <c r="E157" s="437"/>
      <c r="F157" s="437"/>
      <c r="G157" s="437"/>
      <c r="H157" s="437"/>
      <c r="I157" s="437"/>
      <c r="J157" s="437"/>
      <c r="K157" s="437"/>
      <c r="L157" s="437"/>
    </row>
    <row r="158" spans="1:12" ht="14.25">
      <c r="A158" s="437"/>
      <c r="B158" s="437"/>
      <c r="C158" s="437"/>
      <c r="D158" s="437"/>
      <c r="E158" s="437"/>
      <c r="F158" s="437"/>
      <c r="G158" s="437"/>
      <c r="H158" s="437"/>
      <c r="I158" s="437"/>
      <c r="J158" s="437"/>
      <c r="K158" s="437"/>
      <c r="L158" s="437"/>
    </row>
    <row r="159" spans="1:12" ht="14.25">
      <c r="A159" s="437"/>
      <c r="B159" s="437"/>
      <c r="C159" s="437"/>
      <c r="D159" s="437"/>
      <c r="E159" s="437"/>
      <c r="F159" s="437"/>
      <c r="G159" s="437"/>
      <c r="H159" s="437"/>
      <c r="I159" s="437"/>
      <c r="J159" s="437"/>
      <c r="K159" s="437"/>
      <c r="L159" s="437"/>
    </row>
    <row r="160" spans="1:12" ht="14.25">
      <c r="A160" s="437"/>
      <c r="B160" s="437"/>
      <c r="C160" s="437"/>
      <c r="D160" s="437"/>
      <c r="E160" s="437"/>
      <c r="F160" s="437"/>
      <c r="G160" s="437"/>
      <c r="H160" s="437"/>
      <c r="I160" s="437"/>
      <c r="J160" s="437"/>
      <c r="K160" s="437"/>
      <c r="L160" s="437"/>
    </row>
    <row r="161" spans="1:12" ht="14.25">
      <c r="A161" s="437"/>
      <c r="B161" s="437"/>
      <c r="C161" s="437"/>
      <c r="D161" s="437"/>
      <c r="E161" s="437"/>
      <c r="F161" s="437"/>
      <c r="G161" s="437"/>
      <c r="H161" s="437"/>
      <c r="I161" s="437"/>
      <c r="J161" s="437"/>
      <c r="K161" s="437"/>
      <c r="L161" s="437"/>
    </row>
    <row r="162" spans="1:12" ht="14.25">
      <c r="A162" s="437"/>
      <c r="B162" s="437"/>
      <c r="C162" s="437"/>
      <c r="D162" s="437"/>
      <c r="E162" s="437"/>
      <c r="F162" s="437"/>
      <c r="G162" s="437"/>
      <c r="H162" s="437"/>
      <c r="I162" s="437"/>
      <c r="J162" s="437"/>
      <c r="K162" s="437"/>
      <c r="L162" s="437"/>
    </row>
    <row r="163" spans="1:12" ht="14.25">
      <c r="A163" s="437"/>
      <c r="B163" s="437"/>
      <c r="C163" s="437"/>
      <c r="D163" s="437"/>
      <c r="E163" s="437"/>
      <c r="F163" s="437"/>
      <c r="G163" s="437"/>
      <c r="H163" s="437"/>
      <c r="I163" s="437"/>
      <c r="J163" s="437"/>
      <c r="K163" s="437"/>
      <c r="L163" s="437"/>
    </row>
    <row r="164" spans="1:12" ht="14.25">
      <c r="A164" s="437"/>
      <c r="B164" s="437"/>
      <c r="C164" s="437"/>
      <c r="D164" s="437"/>
      <c r="E164" s="437"/>
      <c r="F164" s="437"/>
      <c r="G164" s="437"/>
      <c r="H164" s="437"/>
      <c r="I164" s="437"/>
      <c r="J164" s="437"/>
      <c r="K164" s="437"/>
      <c r="L164" s="437"/>
    </row>
    <row r="165" spans="1:12" ht="14.25">
      <c r="A165" s="437"/>
      <c r="B165" s="437"/>
      <c r="C165" s="437"/>
      <c r="D165" s="437"/>
      <c r="E165" s="437"/>
      <c r="F165" s="437"/>
      <c r="G165" s="437"/>
      <c r="H165" s="437"/>
      <c r="I165" s="437"/>
      <c r="J165" s="437"/>
      <c r="K165" s="437"/>
      <c r="L165" s="437"/>
    </row>
    <row r="166" spans="1:12" ht="14.25">
      <c r="A166" s="437"/>
      <c r="B166" s="437"/>
      <c r="C166" s="437"/>
      <c r="D166" s="437"/>
      <c r="E166" s="437"/>
      <c r="F166" s="437"/>
      <c r="G166" s="437"/>
      <c r="H166" s="437"/>
      <c r="I166" s="437"/>
      <c r="J166" s="437"/>
      <c r="K166" s="437"/>
      <c r="L166" s="437"/>
    </row>
    <row r="167" spans="1:12" ht="14.25">
      <c r="A167" s="437"/>
      <c r="B167" s="437"/>
      <c r="C167" s="437"/>
      <c r="D167" s="437"/>
      <c r="E167" s="437"/>
      <c r="F167" s="437"/>
      <c r="G167" s="437"/>
      <c r="H167" s="437"/>
      <c r="I167" s="437"/>
      <c r="J167" s="437"/>
      <c r="K167" s="437"/>
      <c r="L167" s="437"/>
    </row>
    <row r="168" spans="1:12" ht="14.25">
      <c r="A168" s="437"/>
      <c r="B168" s="437"/>
      <c r="C168" s="437"/>
      <c r="D168" s="437"/>
      <c r="E168" s="437"/>
      <c r="F168" s="437"/>
      <c r="G168" s="437"/>
      <c r="H168" s="437"/>
      <c r="I168" s="437"/>
      <c r="J168" s="437"/>
      <c r="K168" s="437"/>
      <c r="L168" s="437"/>
    </row>
    <row r="169" spans="1:12" ht="14.25">
      <c r="A169" s="437"/>
      <c r="B169" s="437"/>
      <c r="C169" s="437"/>
      <c r="D169" s="437"/>
      <c r="E169" s="437"/>
      <c r="F169" s="437"/>
      <c r="G169" s="437"/>
      <c r="H169" s="437"/>
      <c r="I169" s="437"/>
      <c r="J169" s="437"/>
      <c r="K169" s="437"/>
      <c r="L169" s="437"/>
    </row>
    <row r="170" spans="1:12" ht="14.25">
      <c r="A170" s="437"/>
      <c r="B170" s="437"/>
      <c r="C170" s="437"/>
      <c r="D170" s="437"/>
      <c r="E170" s="437"/>
      <c r="F170" s="437"/>
      <c r="G170" s="437"/>
      <c r="H170" s="437"/>
      <c r="I170" s="437"/>
      <c r="J170" s="437"/>
      <c r="K170" s="437"/>
      <c r="L170" s="437"/>
    </row>
    <row r="171" spans="1:12" ht="14.25">
      <c r="A171" s="437"/>
      <c r="B171" s="437"/>
      <c r="C171" s="437"/>
      <c r="D171" s="437"/>
      <c r="E171" s="437"/>
      <c r="F171" s="437"/>
      <c r="G171" s="437"/>
      <c r="H171" s="437"/>
      <c r="I171" s="437"/>
      <c r="J171" s="437"/>
      <c r="K171" s="437"/>
      <c r="L171" s="437"/>
    </row>
    <row r="172" spans="1:12" ht="14.25">
      <c r="A172" s="437"/>
      <c r="B172" s="437"/>
      <c r="C172" s="437"/>
      <c r="D172" s="437"/>
      <c r="E172" s="437"/>
      <c r="F172" s="437"/>
      <c r="G172" s="437"/>
      <c r="H172" s="437"/>
      <c r="I172" s="437"/>
      <c r="J172" s="437"/>
      <c r="K172" s="437"/>
      <c r="L172" s="437"/>
    </row>
    <row r="173" spans="1:12" ht="14.25">
      <c r="A173" s="437"/>
      <c r="B173" s="437"/>
      <c r="C173" s="437"/>
      <c r="D173" s="437"/>
      <c r="E173" s="437"/>
      <c r="F173" s="437"/>
      <c r="G173" s="437"/>
      <c r="H173" s="437"/>
      <c r="I173" s="437"/>
      <c r="J173" s="437"/>
      <c r="K173" s="437"/>
      <c r="L173" s="437"/>
    </row>
    <row r="174" spans="1:12" ht="14.25">
      <c r="A174" s="437"/>
      <c r="B174" s="437"/>
      <c r="C174" s="437"/>
      <c r="D174" s="437"/>
      <c r="E174" s="437"/>
      <c r="F174" s="437"/>
      <c r="G174" s="437"/>
      <c r="H174" s="437"/>
      <c r="I174" s="437"/>
      <c r="J174" s="437"/>
      <c r="K174" s="437"/>
      <c r="L174" s="437"/>
    </row>
    <row r="175" spans="1:12" ht="14.25">
      <c r="A175" s="437"/>
      <c r="B175" s="437"/>
      <c r="C175" s="437"/>
      <c r="D175" s="437"/>
      <c r="E175" s="437"/>
      <c r="F175" s="437"/>
      <c r="G175" s="437"/>
      <c r="H175" s="437"/>
      <c r="I175" s="437"/>
      <c r="J175" s="437"/>
      <c r="K175" s="437"/>
      <c r="L175" s="437"/>
    </row>
    <row r="176" spans="1:12" ht="14.25">
      <c r="A176" s="437"/>
      <c r="B176" s="437"/>
      <c r="C176" s="437"/>
      <c r="D176" s="437"/>
      <c r="E176" s="437"/>
      <c r="F176" s="437"/>
      <c r="G176" s="437"/>
      <c r="H176" s="437"/>
      <c r="I176" s="437"/>
      <c r="J176" s="437"/>
      <c r="K176" s="437"/>
      <c r="L176" s="437"/>
    </row>
    <row r="177" spans="1:12" ht="14.25">
      <c r="A177" s="437"/>
      <c r="B177" s="437"/>
      <c r="C177" s="437"/>
      <c r="D177" s="437"/>
      <c r="E177" s="437"/>
      <c r="F177" s="437"/>
      <c r="G177" s="437"/>
      <c r="H177" s="437"/>
      <c r="I177" s="437"/>
      <c r="J177" s="437"/>
      <c r="K177" s="437"/>
      <c r="L177" s="437"/>
    </row>
    <row r="178" spans="1:12" ht="14.25">
      <c r="A178" s="437"/>
      <c r="B178" s="437"/>
      <c r="C178" s="437"/>
      <c r="D178" s="437"/>
      <c r="E178" s="437"/>
      <c r="F178" s="437"/>
      <c r="G178" s="437"/>
      <c r="H178" s="437"/>
      <c r="I178" s="437"/>
      <c r="J178" s="437"/>
      <c r="K178" s="437"/>
      <c r="L178" s="437"/>
    </row>
    <row r="179" spans="1:12" ht="14.25">
      <c r="A179" s="437"/>
      <c r="B179" s="437"/>
      <c r="C179" s="437"/>
      <c r="D179" s="437"/>
      <c r="E179" s="437"/>
      <c r="F179" s="437"/>
      <c r="G179" s="437"/>
      <c r="H179" s="437"/>
      <c r="I179" s="437"/>
      <c r="J179" s="437"/>
      <c r="K179" s="437"/>
      <c r="L179" s="437"/>
    </row>
    <row r="180" spans="1:12" ht="14.25">
      <c r="A180" s="437"/>
      <c r="B180" s="437"/>
      <c r="C180" s="437"/>
      <c r="D180" s="437"/>
      <c r="E180" s="437"/>
      <c r="F180" s="437"/>
      <c r="G180" s="437"/>
      <c r="H180" s="437"/>
      <c r="I180" s="437"/>
      <c r="J180" s="437"/>
      <c r="K180" s="437"/>
      <c r="L180" s="437"/>
    </row>
    <row r="181" spans="1:12" ht="14.25">
      <c r="A181" s="437"/>
      <c r="B181" s="437"/>
      <c r="C181" s="437"/>
      <c r="D181" s="437"/>
      <c r="E181" s="437"/>
      <c r="F181" s="437"/>
      <c r="G181" s="437"/>
      <c r="H181" s="437"/>
      <c r="I181" s="437"/>
      <c r="J181" s="437"/>
      <c r="K181" s="437"/>
      <c r="L181" s="437"/>
    </row>
    <row r="182" spans="1:12" ht="14.25">
      <c r="A182" s="437"/>
      <c r="B182" s="437"/>
      <c r="C182" s="437"/>
      <c r="D182" s="437"/>
      <c r="E182" s="437"/>
      <c r="F182" s="437"/>
      <c r="G182" s="437"/>
      <c r="H182" s="437"/>
      <c r="I182" s="437"/>
      <c r="J182" s="437"/>
      <c r="K182" s="437"/>
      <c r="L182" s="437"/>
    </row>
    <row r="183" spans="1:12" ht="14.25">
      <c r="A183" s="437"/>
      <c r="B183" s="437"/>
      <c r="C183" s="437"/>
      <c r="D183" s="437"/>
      <c r="E183" s="437"/>
      <c r="F183" s="437"/>
      <c r="G183" s="437"/>
      <c r="H183" s="437"/>
      <c r="I183" s="437"/>
      <c r="J183" s="437"/>
      <c r="K183" s="437"/>
      <c r="L183" s="437"/>
    </row>
    <row r="184" spans="1:12" ht="14.25">
      <c r="A184" s="437"/>
      <c r="B184" s="437"/>
      <c r="C184" s="437"/>
      <c r="D184" s="437"/>
      <c r="E184" s="437"/>
      <c r="F184" s="437"/>
      <c r="G184" s="437"/>
      <c r="H184" s="437"/>
      <c r="I184" s="437"/>
      <c r="J184" s="437"/>
      <c r="K184" s="437"/>
      <c r="L184" s="437"/>
    </row>
    <row r="185" spans="1:12" ht="14.25">
      <c r="A185" s="437"/>
      <c r="B185" s="437"/>
      <c r="C185" s="437"/>
      <c r="D185" s="437"/>
      <c r="E185" s="437"/>
      <c r="F185" s="437"/>
      <c r="G185" s="437"/>
      <c r="H185" s="437"/>
      <c r="I185" s="437"/>
      <c r="J185" s="437"/>
      <c r="K185" s="437"/>
      <c r="L185" s="437"/>
    </row>
    <row r="186" spans="1:12" ht="14.25">
      <c r="A186" s="437"/>
      <c r="B186" s="437"/>
      <c r="C186" s="437"/>
      <c r="D186" s="437"/>
      <c r="E186" s="437"/>
      <c r="F186" s="437"/>
      <c r="G186" s="437"/>
      <c r="H186" s="437"/>
      <c r="I186" s="437"/>
      <c r="J186" s="437"/>
      <c r="K186" s="437"/>
      <c r="L186" s="437"/>
    </row>
    <row r="187" spans="1:12" ht="14.25">
      <c r="A187" s="437"/>
      <c r="B187" s="437"/>
      <c r="C187" s="437"/>
      <c r="D187" s="437"/>
      <c r="E187" s="437"/>
      <c r="F187" s="437"/>
      <c r="G187" s="437"/>
      <c r="H187" s="437"/>
      <c r="I187" s="437"/>
      <c r="J187" s="437"/>
      <c r="K187" s="437"/>
      <c r="L187" s="437"/>
    </row>
    <row r="188" spans="1:12" ht="14.25">
      <c r="A188" s="437"/>
      <c r="B188" s="437"/>
      <c r="C188" s="437"/>
      <c r="D188" s="437"/>
      <c r="E188" s="437"/>
      <c r="F188" s="437"/>
      <c r="G188" s="437"/>
      <c r="H188" s="437"/>
      <c r="I188" s="437"/>
      <c r="J188" s="437"/>
      <c r="K188" s="437"/>
      <c r="L188" s="437"/>
    </row>
    <row r="189" spans="1:12" ht="14.25">
      <c r="A189" s="437"/>
      <c r="B189" s="437"/>
      <c r="C189" s="437"/>
      <c r="D189" s="437"/>
      <c r="E189" s="437"/>
      <c r="F189" s="437"/>
      <c r="G189" s="437"/>
      <c r="H189" s="437"/>
      <c r="I189" s="437"/>
      <c r="J189" s="437"/>
      <c r="K189" s="437"/>
      <c r="L189" s="437"/>
    </row>
    <row r="190" spans="1:12" ht="14.25">
      <c r="A190" s="437"/>
      <c r="B190" s="437"/>
      <c r="C190" s="437"/>
      <c r="D190" s="437"/>
      <c r="E190" s="437"/>
      <c r="F190" s="437"/>
      <c r="G190" s="437"/>
      <c r="H190" s="437"/>
      <c r="I190" s="437"/>
      <c r="J190" s="437"/>
      <c r="K190" s="437"/>
      <c r="L190" s="437"/>
    </row>
    <row r="191" spans="1:12" ht="14.25">
      <c r="A191" s="437"/>
      <c r="B191" s="437"/>
      <c r="C191" s="437"/>
      <c r="D191" s="437"/>
      <c r="E191" s="437"/>
      <c r="F191" s="437"/>
      <c r="G191" s="437"/>
      <c r="H191" s="437"/>
      <c r="I191" s="437"/>
      <c r="J191" s="437"/>
      <c r="K191" s="437"/>
      <c r="L191" s="437"/>
    </row>
    <row r="192" spans="1:12" ht="14.25">
      <c r="A192" s="437"/>
      <c r="B192" s="437"/>
      <c r="C192" s="437"/>
      <c r="D192" s="437"/>
      <c r="E192" s="437"/>
      <c r="F192" s="437"/>
      <c r="G192" s="437"/>
      <c r="H192" s="437"/>
      <c r="I192" s="437"/>
      <c r="J192" s="437"/>
      <c r="K192" s="437"/>
      <c r="L192" s="437"/>
    </row>
    <row r="193" spans="1:12" ht="14.25">
      <c r="A193" s="437"/>
      <c r="B193" s="437"/>
      <c r="C193" s="437"/>
      <c r="D193" s="437"/>
      <c r="E193" s="437"/>
      <c r="F193" s="437"/>
      <c r="G193" s="437"/>
      <c r="H193" s="437"/>
      <c r="I193" s="437"/>
      <c r="J193" s="437"/>
      <c r="K193" s="437"/>
      <c r="L193" s="437"/>
    </row>
    <row r="194" spans="1:12" ht="14.25">
      <c r="A194" s="437"/>
      <c r="B194" s="437"/>
      <c r="C194" s="437"/>
      <c r="D194" s="437"/>
      <c r="E194" s="437"/>
      <c r="F194" s="437"/>
      <c r="G194" s="437"/>
      <c r="H194" s="437"/>
      <c r="I194" s="437"/>
      <c r="J194" s="437"/>
      <c r="K194" s="437"/>
      <c r="L194" s="437"/>
    </row>
    <row r="195" spans="1:12" ht="14.25">
      <c r="A195" s="437"/>
      <c r="B195" s="437"/>
      <c r="C195" s="437"/>
      <c r="D195" s="437"/>
      <c r="E195" s="437"/>
      <c r="F195" s="437"/>
      <c r="G195" s="437"/>
      <c r="H195" s="437"/>
      <c r="I195" s="437"/>
      <c r="J195" s="437"/>
      <c r="K195" s="437"/>
      <c r="L195" s="437"/>
    </row>
    <row r="196" spans="1:12" ht="14.25">
      <c r="A196" s="437"/>
      <c r="B196" s="437"/>
      <c r="C196" s="437"/>
      <c r="D196" s="437"/>
      <c r="E196" s="437"/>
      <c r="F196" s="437"/>
      <c r="G196" s="437"/>
      <c r="H196" s="437"/>
      <c r="I196" s="437"/>
      <c r="J196" s="437"/>
      <c r="K196" s="437"/>
      <c r="L196" s="437"/>
    </row>
    <row r="197" spans="1:12" ht="14.25">
      <c r="A197" s="437"/>
      <c r="B197" s="437"/>
      <c r="C197" s="437"/>
      <c r="D197" s="437"/>
      <c r="E197" s="437"/>
      <c r="F197" s="437"/>
      <c r="G197" s="437"/>
      <c r="H197" s="437"/>
      <c r="I197" s="437"/>
      <c r="J197" s="437"/>
      <c r="K197" s="437"/>
      <c r="L197" s="437"/>
    </row>
    <row r="198" spans="1:12" ht="14.25">
      <c r="A198" s="437"/>
      <c r="B198" s="437"/>
      <c r="C198" s="437"/>
      <c r="D198" s="437"/>
      <c r="E198" s="437"/>
      <c r="F198" s="437"/>
      <c r="G198" s="437"/>
      <c r="H198" s="437"/>
      <c r="I198" s="437"/>
      <c r="J198" s="437"/>
      <c r="K198" s="437"/>
      <c r="L198" s="437"/>
    </row>
    <row r="199" spans="1:12" ht="14.25">
      <c r="A199" s="437"/>
      <c r="B199" s="437"/>
      <c r="C199" s="437"/>
      <c r="D199" s="437"/>
      <c r="E199" s="437"/>
      <c r="F199" s="437"/>
      <c r="G199" s="437"/>
      <c r="H199" s="437"/>
      <c r="I199" s="437"/>
      <c r="J199" s="437"/>
      <c r="K199" s="437"/>
      <c r="L199" s="437"/>
    </row>
    <row r="200" spans="1:12" ht="14.25">
      <c r="A200" s="437"/>
      <c r="B200" s="437"/>
      <c r="C200" s="437"/>
      <c r="D200" s="437"/>
      <c r="E200" s="437"/>
      <c r="F200" s="437"/>
      <c r="G200" s="437"/>
      <c r="H200" s="437"/>
      <c r="I200" s="437"/>
      <c r="J200" s="437"/>
      <c r="K200" s="437"/>
      <c r="L200" s="437"/>
    </row>
    <row r="201" spans="1:12" ht="14.25">
      <c r="A201" s="437"/>
      <c r="B201" s="437"/>
      <c r="C201" s="437"/>
      <c r="D201" s="437"/>
      <c r="E201" s="437"/>
      <c r="F201" s="437"/>
      <c r="G201" s="437"/>
      <c r="H201" s="437"/>
      <c r="I201" s="437"/>
      <c r="J201" s="437"/>
      <c r="K201" s="437"/>
      <c r="L201" s="437"/>
    </row>
    <row r="202" spans="1:12" ht="14.25">
      <c r="A202" s="437"/>
      <c r="B202" s="437"/>
      <c r="C202" s="437"/>
      <c r="D202" s="437"/>
      <c r="E202" s="437"/>
      <c r="F202" s="437"/>
      <c r="G202" s="437"/>
      <c r="H202" s="437"/>
      <c r="I202" s="437"/>
      <c r="J202" s="437"/>
      <c r="K202" s="437"/>
      <c r="L202" s="437"/>
    </row>
    <row r="203" spans="1:12" ht="14.25">
      <c r="A203" s="437"/>
      <c r="B203" s="437"/>
      <c r="C203" s="437"/>
      <c r="D203" s="437"/>
      <c r="E203" s="437"/>
      <c r="F203" s="437"/>
      <c r="G203" s="437"/>
      <c r="H203" s="437"/>
      <c r="I203" s="437"/>
      <c r="J203" s="437"/>
      <c r="K203" s="437"/>
      <c r="L203" s="437"/>
    </row>
    <row r="204" spans="1:12" ht="14.25">
      <c r="A204" s="437"/>
      <c r="B204" s="437"/>
      <c r="C204" s="437"/>
      <c r="D204" s="437"/>
      <c r="E204" s="437"/>
      <c r="F204" s="437"/>
      <c r="G204" s="437"/>
      <c r="H204" s="437"/>
      <c r="I204" s="437"/>
      <c r="J204" s="437"/>
      <c r="K204" s="437"/>
      <c r="L204" s="437"/>
    </row>
    <row r="205" spans="1:12" ht="14.25">
      <c r="A205" s="437"/>
      <c r="B205" s="437"/>
      <c r="C205" s="437"/>
      <c r="D205" s="437"/>
      <c r="E205" s="437"/>
      <c r="F205" s="437"/>
      <c r="G205" s="437"/>
      <c r="H205" s="437"/>
      <c r="I205" s="437"/>
      <c r="J205" s="437"/>
      <c r="K205" s="437"/>
      <c r="L205" s="437"/>
    </row>
    <row r="206" spans="1:12" ht="14.25">
      <c r="A206" s="437"/>
      <c r="B206" s="437"/>
      <c r="C206" s="437"/>
      <c r="D206" s="437"/>
      <c r="E206" s="437"/>
      <c r="F206" s="437"/>
      <c r="G206" s="437"/>
      <c r="H206" s="437"/>
      <c r="I206" s="437"/>
      <c r="J206" s="437"/>
      <c r="K206" s="437"/>
      <c r="L206" s="437"/>
    </row>
    <row r="207" spans="1:12" ht="14.25">
      <c r="A207" s="437"/>
      <c r="B207" s="437"/>
      <c r="C207" s="437"/>
      <c r="D207" s="437"/>
      <c r="E207" s="437"/>
      <c r="F207" s="437"/>
      <c r="G207" s="437"/>
      <c r="H207" s="437"/>
      <c r="I207" s="437"/>
      <c r="J207" s="437"/>
      <c r="K207" s="437"/>
      <c r="L207" s="437"/>
    </row>
    <row r="208" spans="1:12" ht="14.25">
      <c r="A208" s="437"/>
      <c r="B208" s="437"/>
      <c r="C208" s="437"/>
      <c r="D208" s="437"/>
      <c r="E208" s="437"/>
      <c r="F208" s="437"/>
      <c r="G208" s="437"/>
      <c r="H208" s="437"/>
      <c r="I208" s="437"/>
      <c r="J208" s="437"/>
      <c r="K208" s="437"/>
      <c r="L208" s="437"/>
    </row>
    <row r="209" spans="1:12" ht="14.25">
      <c r="A209" s="437"/>
      <c r="B209" s="437"/>
      <c r="C209" s="437"/>
      <c r="D209" s="437"/>
      <c r="E209" s="437"/>
      <c r="F209" s="437"/>
      <c r="G209" s="437"/>
      <c r="H209" s="437"/>
      <c r="I209" s="437"/>
      <c r="J209" s="437"/>
      <c r="K209" s="437"/>
      <c r="L209" s="437"/>
    </row>
    <row r="210" spans="1:12" ht="14.25">
      <c r="A210" s="437"/>
      <c r="B210" s="437"/>
      <c r="C210" s="437"/>
      <c r="D210" s="437"/>
      <c r="E210" s="437"/>
      <c r="F210" s="437"/>
      <c r="G210" s="437"/>
      <c r="H210" s="437"/>
      <c r="I210" s="437"/>
      <c r="J210" s="437"/>
      <c r="K210" s="437"/>
      <c r="L210" s="437"/>
    </row>
    <row r="211" spans="1:12" ht="14.25">
      <c r="A211" s="437"/>
      <c r="B211" s="437"/>
      <c r="C211" s="437"/>
      <c r="D211" s="437"/>
      <c r="E211" s="437"/>
      <c r="F211" s="437"/>
      <c r="G211" s="437"/>
      <c r="H211" s="437"/>
      <c r="I211" s="437"/>
      <c r="J211" s="437"/>
      <c r="K211" s="437"/>
      <c r="L211" s="437"/>
    </row>
    <row r="212" spans="1:12" ht="14.25">
      <c r="A212" s="437"/>
      <c r="B212" s="437"/>
      <c r="C212" s="437"/>
      <c r="D212" s="437"/>
      <c r="E212" s="437"/>
      <c r="F212" s="437"/>
      <c r="G212" s="437"/>
      <c r="H212" s="437"/>
      <c r="I212" s="437"/>
      <c r="J212" s="437"/>
      <c r="K212" s="437"/>
      <c r="L212" s="437"/>
    </row>
    <row r="213" spans="1:12" ht="14.25">
      <c r="A213" s="437"/>
      <c r="B213" s="437"/>
      <c r="C213" s="437"/>
      <c r="D213" s="437"/>
      <c r="E213" s="437"/>
      <c r="F213" s="437"/>
      <c r="G213" s="437"/>
      <c r="H213" s="437"/>
      <c r="I213" s="437"/>
      <c r="J213" s="437"/>
      <c r="K213" s="437"/>
      <c r="L213" s="437"/>
    </row>
    <row r="214" spans="1:12" ht="14.25">
      <c r="A214" s="437"/>
      <c r="B214" s="437"/>
      <c r="C214" s="437"/>
      <c r="D214" s="437"/>
      <c r="E214" s="437"/>
      <c r="F214" s="437"/>
      <c r="G214" s="437"/>
      <c r="H214" s="437"/>
      <c r="I214" s="437"/>
      <c r="J214" s="437"/>
      <c r="K214" s="437"/>
      <c r="L214" s="437"/>
    </row>
    <row r="215" spans="1:12" ht="14.25">
      <c r="A215" s="437"/>
      <c r="B215" s="437"/>
      <c r="C215" s="437"/>
      <c r="D215" s="437"/>
      <c r="E215" s="437"/>
      <c r="F215" s="437"/>
      <c r="G215" s="437"/>
      <c r="H215" s="437"/>
      <c r="I215" s="437"/>
      <c r="J215" s="437"/>
      <c r="K215" s="437"/>
      <c r="L215" s="437"/>
    </row>
    <row r="216" spans="1:12" ht="14.25">
      <c r="A216" s="437"/>
      <c r="B216" s="437"/>
      <c r="C216" s="437"/>
      <c r="D216" s="437"/>
      <c r="E216" s="437"/>
      <c r="F216" s="437"/>
      <c r="G216" s="437"/>
      <c r="H216" s="437"/>
      <c r="I216" s="437"/>
      <c r="J216" s="437"/>
      <c r="K216" s="437"/>
      <c r="L216" s="437"/>
    </row>
    <row r="217" spans="1:12" ht="14.25">
      <c r="A217" s="437"/>
      <c r="B217" s="437"/>
      <c r="C217" s="437"/>
      <c r="D217" s="437"/>
      <c r="E217" s="437"/>
      <c r="F217" s="437"/>
      <c r="G217" s="437"/>
      <c r="H217" s="437"/>
      <c r="I217" s="437"/>
      <c r="J217" s="437"/>
      <c r="K217" s="437"/>
      <c r="L217" s="437"/>
    </row>
    <row r="218" spans="1:12" ht="14.25">
      <c r="A218" s="437"/>
      <c r="B218" s="437"/>
      <c r="C218" s="437"/>
      <c r="D218" s="437"/>
      <c r="E218" s="437"/>
      <c r="F218" s="437"/>
      <c r="G218" s="437"/>
      <c r="H218" s="437"/>
      <c r="I218" s="437"/>
      <c r="J218" s="437"/>
      <c r="K218" s="437"/>
      <c r="L218" s="437"/>
    </row>
    <row r="219" spans="1:12" ht="14.25">
      <c r="A219" s="437"/>
      <c r="B219" s="437"/>
      <c r="C219" s="437"/>
      <c r="D219" s="437"/>
      <c r="E219" s="437"/>
      <c r="F219" s="437"/>
      <c r="G219" s="437"/>
      <c r="H219" s="437"/>
      <c r="I219" s="437"/>
      <c r="J219" s="437"/>
      <c r="K219" s="437"/>
      <c r="L219" s="437"/>
    </row>
    <row r="220" spans="1:12" ht="14.25">
      <c r="A220" s="437"/>
      <c r="B220" s="437"/>
      <c r="C220" s="437"/>
      <c r="D220" s="437"/>
      <c r="E220" s="437"/>
      <c r="F220" s="437"/>
      <c r="G220" s="437"/>
      <c r="H220" s="437"/>
      <c r="I220" s="437"/>
      <c r="J220" s="437"/>
      <c r="K220" s="437"/>
      <c r="L220" s="437"/>
    </row>
    <row r="221" spans="1:12" ht="14.25">
      <c r="A221" s="437"/>
      <c r="B221" s="437"/>
      <c r="C221" s="437"/>
      <c r="D221" s="437"/>
      <c r="E221" s="437"/>
      <c r="F221" s="437"/>
      <c r="G221" s="437"/>
      <c r="H221" s="437"/>
      <c r="I221" s="437"/>
      <c r="J221" s="437"/>
      <c r="K221" s="437"/>
      <c r="L221" s="437"/>
    </row>
    <row r="222" spans="1:12" ht="14.25">
      <c r="A222" s="437"/>
      <c r="B222" s="437"/>
      <c r="C222" s="437"/>
      <c r="D222" s="437"/>
      <c r="E222" s="437"/>
      <c r="F222" s="437"/>
      <c r="G222" s="437"/>
      <c r="H222" s="437"/>
      <c r="I222" s="437"/>
      <c r="J222" s="437"/>
      <c r="K222" s="437"/>
      <c r="L222" s="437"/>
    </row>
    <row r="223" spans="1:12" ht="14.25">
      <c r="A223" s="437"/>
      <c r="B223" s="437"/>
      <c r="C223" s="437"/>
      <c r="D223" s="437"/>
      <c r="E223" s="437"/>
      <c r="F223" s="437"/>
      <c r="G223" s="437"/>
      <c r="H223" s="437"/>
      <c r="I223" s="437"/>
      <c r="J223" s="437"/>
      <c r="K223" s="437"/>
      <c r="L223" s="437"/>
    </row>
    <row r="224" spans="1:12" ht="14.25">
      <c r="A224" s="437"/>
      <c r="B224" s="437"/>
      <c r="C224" s="437"/>
      <c r="D224" s="437"/>
      <c r="E224" s="437"/>
      <c r="F224" s="437"/>
      <c r="G224" s="437"/>
      <c r="H224" s="437"/>
      <c r="I224" s="437"/>
      <c r="J224" s="437"/>
      <c r="K224" s="437"/>
      <c r="L224" s="437"/>
    </row>
    <row r="225" spans="1:12" ht="14.25">
      <c r="A225" s="437"/>
      <c r="B225" s="437"/>
      <c r="C225" s="437"/>
      <c r="D225" s="437"/>
      <c r="E225" s="437"/>
      <c r="F225" s="437"/>
      <c r="G225" s="437"/>
      <c r="H225" s="437"/>
      <c r="I225" s="437"/>
      <c r="J225" s="437"/>
      <c r="K225" s="437"/>
      <c r="L225" s="437"/>
    </row>
    <row r="226" spans="1:12" ht="14.25">
      <c r="A226" s="437"/>
      <c r="B226" s="437"/>
      <c r="C226" s="437"/>
      <c r="D226" s="437"/>
      <c r="E226" s="437"/>
      <c r="F226" s="437"/>
      <c r="G226" s="437"/>
      <c r="H226" s="437"/>
      <c r="I226" s="437"/>
      <c r="J226" s="437"/>
      <c r="K226" s="437"/>
      <c r="L226" s="437"/>
    </row>
    <row r="227" spans="1:12" ht="14.25">
      <c r="A227" s="437"/>
      <c r="B227" s="437"/>
      <c r="C227" s="437"/>
      <c r="D227" s="437"/>
      <c r="E227" s="437"/>
      <c r="F227" s="437"/>
      <c r="G227" s="437"/>
      <c r="H227" s="437"/>
      <c r="I227" s="437"/>
      <c r="J227" s="437"/>
      <c r="K227" s="437"/>
      <c r="L227" s="437"/>
    </row>
    <row r="228" spans="1:12" ht="14.25">
      <c r="A228" s="437"/>
      <c r="B228" s="437"/>
      <c r="C228" s="437"/>
      <c r="D228" s="437"/>
      <c r="E228" s="437"/>
      <c r="F228" s="437"/>
      <c r="G228" s="437"/>
      <c r="H228" s="437"/>
      <c r="I228" s="437"/>
      <c r="J228" s="437"/>
      <c r="K228" s="437"/>
      <c r="L228" s="437"/>
    </row>
    <row r="229" spans="1:12" ht="14.25">
      <c r="A229" s="437"/>
      <c r="B229" s="437"/>
      <c r="C229" s="437"/>
      <c r="D229" s="437"/>
      <c r="E229" s="437"/>
      <c r="F229" s="437"/>
      <c r="G229" s="437"/>
      <c r="H229" s="437"/>
      <c r="I229" s="437"/>
      <c r="J229" s="437"/>
      <c r="K229" s="437"/>
      <c r="L229" s="437"/>
    </row>
    <row r="230" spans="1:12" ht="14.25">
      <c r="A230" s="437"/>
      <c r="B230" s="437"/>
      <c r="C230" s="437"/>
      <c r="D230" s="437"/>
      <c r="E230" s="437"/>
      <c r="F230" s="437"/>
      <c r="G230" s="437"/>
      <c r="H230" s="437"/>
      <c r="I230" s="437"/>
      <c r="J230" s="437"/>
      <c r="K230" s="437"/>
      <c r="L230" s="437"/>
    </row>
    <row r="231" spans="1:12" ht="14.25">
      <c r="A231" s="437"/>
      <c r="B231" s="437"/>
      <c r="C231" s="437"/>
      <c r="D231" s="437"/>
      <c r="E231" s="437"/>
      <c r="F231" s="437"/>
      <c r="G231" s="437"/>
      <c r="H231" s="437"/>
      <c r="I231" s="437"/>
      <c r="J231" s="437"/>
      <c r="K231" s="437"/>
      <c r="L231" s="437"/>
    </row>
    <row r="232" spans="1:12" ht="14.25">
      <c r="A232" s="437"/>
      <c r="B232" s="437"/>
      <c r="C232" s="437"/>
      <c r="D232" s="437"/>
      <c r="E232" s="437"/>
      <c r="F232" s="437"/>
      <c r="G232" s="437"/>
      <c r="H232" s="437"/>
      <c r="I232" s="437"/>
      <c r="J232" s="437"/>
      <c r="K232" s="437"/>
      <c r="L232" s="437"/>
    </row>
    <row r="233" spans="1:12" ht="14.25">
      <c r="A233" s="437"/>
      <c r="B233" s="437"/>
      <c r="C233" s="437"/>
      <c r="D233" s="437"/>
      <c r="E233" s="437"/>
      <c r="F233" s="437"/>
      <c r="G233" s="437"/>
      <c r="H233" s="437"/>
      <c r="I233" s="437"/>
      <c r="J233" s="437"/>
      <c r="K233" s="437"/>
      <c r="L233" s="437"/>
    </row>
    <row r="234" spans="1:12" ht="14.25">
      <c r="A234" s="437"/>
      <c r="B234" s="437"/>
      <c r="C234" s="437"/>
      <c r="D234" s="437"/>
      <c r="E234" s="437"/>
      <c r="F234" s="437"/>
      <c r="G234" s="437"/>
      <c r="H234" s="437"/>
      <c r="I234" s="437"/>
      <c r="J234" s="437"/>
      <c r="K234" s="437"/>
      <c r="L234" s="437"/>
    </row>
    <row r="235" spans="1:12" ht="14.25">
      <c r="A235" s="437"/>
      <c r="B235" s="437"/>
      <c r="C235" s="437"/>
      <c r="D235" s="437"/>
      <c r="E235" s="437"/>
      <c r="F235" s="437"/>
      <c r="G235" s="437"/>
      <c r="H235" s="437"/>
      <c r="I235" s="437"/>
      <c r="J235" s="437"/>
      <c r="K235" s="437"/>
      <c r="L235" s="437"/>
    </row>
    <row r="236" spans="1:12" ht="14.25">
      <c r="A236" s="437"/>
      <c r="B236" s="437"/>
      <c r="C236" s="437"/>
      <c r="D236" s="437"/>
      <c r="E236" s="437"/>
      <c r="F236" s="437"/>
      <c r="G236" s="437"/>
      <c r="H236" s="437"/>
      <c r="I236" s="437"/>
      <c r="J236" s="437"/>
      <c r="K236" s="437"/>
      <c r="L236" s="437"/>
    </row>
    <row r="237" spans="1:12" ht="14.25">
      <c r="A237" s="437"/>
      <c r="B237" s="437"/>
      <c r="C237" s="437"/>
      <c r="D237" s="437"/>
      <c r="E237" s="437"/>
      <c r="F237" s="437"/>
      <c r="G237" s="437"/>
      <c r="H237" s="437"/>
      <c r="I237" s="437"/>
      <c r="J237" s="437"/>
      <c r="K237" s="437"/>
      <c r="L237" s="437"/>
    </row>
    <row r="238" spans="1:12" ht="14.25">
      <c r="A238" s="437"/>
      <c r="B238" s="437"/>
      <c r="C238" s="437"/>
      <c r="D238" s="437"/>
      <c r="E238" s="437"/>
      <c r="F238" s="437"/>
      <c r="G238" s="437"/>
      <c r="H238" s="437"/>
      <c r="I238" s="437"/>
      <c r="J238" s="437"/>
      <c r="K238" s="437"/>
      <c r="L238" s="437"/>
    </row>
    <row r="239" spans="1:12" ht="14.25">
      <c r="A239" s="437"/>
      <c r="B239" s="437"/>
      <c r="C239" s="437"/>
      <c r="D239" s="437"/>
      <c r="E239" s="437"/>
      <c r="F239" s="437"/>
      <c r="G239" s="437"/>
      <c r="H239" s="437"/>
      <c r="I239" s="437"/>
      <c r="J239" s="437"/>
      <c r="K239" s="437"/>
      <c r="L239" s="437"/>
    </row>
    <row r="240" spans="1:12" ht="14.25">
      <c r="A240" s="437"/>
      <c r="B240" s="437"/>
      <c r="C240" s="437"/>
      <c r="D240" s="437"/>
      <c r="E240" s="437"/>
      <c r="F240" s="437"/>
      <c r="G240" s="437"/>
      <c r="H240" s="437"/>
      <c r="I240" s="437"/>
      <c r="J240" s="437"/>
      <c r="K240" s="437"/>
      <c r="L240" s="437"/>
    </row>
    <row r="241" spans="1:12" ht="14.25">
      <c r="A241" s="437"/>
      <c r="B241" s="437"/>
      <c r="C241" s="437"/>
      <c r="D241" s="437"/>
      <c r="E241" s="437"/>
      <c r="F241" s="437"/>
      <c r="G241" s="437"/>
      <c r="H241" s="437"/>
      <c r="I241" s="437"/>
      <c r="J241" s="437"/>
      <c r="K241" s="437"/>
      <c r="L241" s="437"/>
    </row>
    <row r="242" spans="1:12" ht="14.25">
      <c r="A242" s="437"/>
      <c r="B242" s="437"/>
      <c r="C242" s="437"/>
      <c r="D242" s="437"/>
      <c r="E242" s="437"/>
      <c r="F242" s="437"/>
      <c r="G242" s="437"/>
      <c r="H242" s="437"/>
      <c r="I242" s="437"/>
      <c r="J242" s="437"/>
      <c r="K242" s="437"/>
      <c r="L242" s="437"/>
    </row>
    <row r="243" spans="1:12" ht="14.25">
      <c r="A243" s="437"/>
      <c r="B243" s="437"/>
      <c r="C243" s="437"/>
      <c r="D243" s="437"/>
      <c r="E243" s="437"/>
      <c r="F243" s="437"/>
      <c r="G243" s="437"/>
      <c r="H243" s="437"/>
      <c r="I243" s="437"/>
      <c r="J243" s="437"/>
      <c r="K243" s="437"/>
      <c r="L243" s="437"/>
    </row>
    <row r="244" spans="1:12" ht="14.25">
      <c r="A244" s="437"/>
      <c r="B244" s="437"/>
      <c r="C244" s="437"/>
      <c r="D244" s="437"/>
      <c r="E244" s="437"/>
      <c r="F244" s="437"/>
      <c r="G244" s="437"/>
      <c r="H244" s="437"/>
      <c r="I244" s="437"/>
      <c r="J244" s="437"/>
      <c r="K244" s="437"/>
      <c r="L244" s="437"/>
    </row>
    <row r="245" spans="1:12" ht="14.25">
      <c r="A245" s="437"/>
      <c r="B245" s="437"/>
      <c r="C245" s="437"/>
      <c r="D245" s="437"/>
      <c r="E245" s="437"/>
      <c r="F245" s="437"/>
      <c r="G245" s="437"/>
      <c r="H245" s="437"/>
      <c r="I245" s="437"/>
      <c r="J245" s="437"/>
      <c r="K245" s="437"/>
      <c r="L245" s="437"/>
    </row>
    <row r="246" spans="1:12" ht="14.25">
      <c r="A246" s="437"/>
      <c r="B246" s="437"/>
      <c r="C246" s="437"/>
      <c r="D246" s="437"/>
      <c r="E246" s="437"/>
      <c r="F246" s="437"/>
      <c r="G246" s="437"/>
      <c r="H246" s="437"/>
      <c r="I246" s="437"/>
      <c r="J246" s="437"/>
      <c r="K246" s="437"/>
      <c r="L246" s="437"/>
    </row>
    <row r="247" spans="1:12" ht="14.25">
      <c r="A247" s="437"/>
      <c r="B247" s="437"/>
      <c r="C247" s="437"/>
      <c r="D247" s="437"/>
      <c r="E247" s="437"/>
      <c r="F247" s="437"/>
      <c r="G247" s="437"/>
      <c r="H247" s="437"/>
      <c r="I247" s="437"/>
      <c r="J247" s="437"/>
      <c r="K247" s="437"/>
      <c r="L247" s="437"/>
    </row>
    <row r="248" spans="1:12" ht="14.25">
      <c r="A248" s="437"/>
      <c r="B248" s="437"/>
      <c r="C248" s="437"/>
      <c r="D248" s="437"/>
      <c r="E248" s="437"/>
      <c r="F248" s="437"/>
      <c r="G248" s="437"/>
      <c r="H248" s="437"/>
      <c r="I248" s="437"/>
      <c r="J248" s="437"/>
      <c r="K248" s="437"/>
      <c r="L248" s="437"/>
    </row>
    <row r="249" spans="1:12" ht="14.25">
      <c r="A249" s="437"/>
      <c r="B249" s="437"/>
      <c r="C249" s="437"/>
      <c r="D249" s="437"/>
      <c r="E249" s="437"/>
      <c r="F249" s="437"/>
      <c r="G249" s="437"/>
      <c r="H249" s="437"/>
      <c r="I249" s="437"/>
      <c r="J249" s="437"/>
      <c r="K249" s="437"/>
      <c r="L249" s="437"/>
    </row>
    <row r="250" spans="1:12" ht="14.25">
      <c r="A250" s="437"/>
      <c r="B250" s="437"/>
      <c r="C250" s="437"/>
      <c r="D250" s="437"/>
      <c r="E250" s="437"/>
      <c r="F250" s="437"/>
      <c r="G250" s="437"/>
      <c r="H250" s="437"/>
      <c r="I250" s="437"/>
      <c r="J250" s="437"/>
      <c r="K250" s="437"/>
      <c r="L250" s="437"/>
    </row>
    <row r="251" spans="1:12" ht="14.25">
      <c r="A251" s="437"/>
      <c r="B251" s="437"/>
      <c r="C251" s="437"/>
      <c r="D251" s="437"/>
      <c r="E251" s="437"/>
      <c r="F251" s="437"/>
      <c r="G251" s="437"/>
      <c r="H251" s="437"/>
      <c r="I251" s="437"/>
      <c r="J251" s="437"/>
      <c r="K251" s="437"/>
      <c r="L251" s="437"/>
    </row>
    <row r="252" spans="1:12" ht="14.25">
      <c r="A252" s="437"/>
      <c r="B252" s="437"/>
      <c r="C252" s="437"/>
      <c r="D252" s="437"/>
      <c r="E252" s="437"/>
      <c r="F252" s="437"/>
      <c r="G252" s="437"/>
      <c r="H252" s="437"/>
      <c r="I252" s="437"/>
      <c r="J252" s="437"/>
      <c r="K252" s="437"/>
      <c r="L252" s="437"/>
    </row>
    <row r="253" spans="1:12" ht="14.25">
      <c r="A253" s="437"/>
      <c r="B253" s="437"/>
      <c r="C253" s="437"/>
      <c r="D253" s="437"/>
      <c r="E253" s="437"/>
      <c r="F253" s="437"/>
      <c r="G253" s="437"/>
      <c r="H253" s="437"/>
      <c r="I253" s="437"/>
      <c r="J253" s="437"/>
      <c r="K253" s="437"/>
      <c r="L253" s="437"/>
    </row>
    <row r="254" spans="1:12" ht="14.25">
      <c r="A254" s="437"/>
      <c r="B254" s="437"/>
      <c r="C254" s="437"/>
      <c r="D254" s="437"/>
      <c r="E254" s="437"/>
      <c r="F254" s="437"/>
      <c r="G254" s="437"/>
      <c r="H254" s="437"/>
      <c r="I254" s="437"/>
      <c r="J254" s="437"/>
      <c r="K254" s="437"/>
      <c r="L254" s="437"/>
    </row>
    <row r="255" spans="1:12" ht="14.25">
      <c r="A255" s="437"/>
      <c r="B255" s="437"/>
      <c r="C255" s="437"/>
      <c r="D255" s="437"/>
      <c r="E255" s="437"/>
      <c r="F255" s="437"/>
      <c r="G255" s="437"/>
      <c r="H255" s="437"/>
      <c r="I255" s="437"/>
      <c r="J255" s="437"/>
      <c r="K255" s="437"/>
      <c r="L255" s="437"/>
    </row>
    <row r="256" spans="1:12" ht="14.25">
      <c r="A256" s="437"/>
      <c r="B256" s="437"/>
      <c r="C256" s="437"/>
      <c r="D256" s="437"/>
      <c r="E256" s="437"/>
      <c r="F256" s="437"/>
      <c r="G256" s="437"/>
      <c r="H256" s="437"/>
      <c r="I256" s="437"/>
      <c r="J256" s="437"/>
      <c r="K256" s="437"/>
      <c r="L256" s="437"/>
    </row>
    <row r="257" spans="1:12" ht="14.25">
      <c r="A257" s="437"/>
      <c r="B257" s="437"/>
      <c r="C257" s="437"/>
      <c r="D257" s="437"/>
      <c r="E257" s="437"/>
      <c r="F257" s="437"/>
      <c r="G257" s="437"/>
      <c r="H257" s="437"/>
      <c r="I257" s="437"/>
      <c r="J257" s="437"/>
      <c r="K257" s="437"/>
      <c r="L257" s="437"/>
    </row>
    <row r="258" spans="1:12" ht="14.25">
      <c r="A258" s="437"/>
      <c r="B258" s="437"/>
      <c r="C258" s="437"/>
      <c r="D258" s="437"/>
      <c r="E258" s="437"/>
      <c r="F258" s="437"/>
      <c r="G258" s="437"/>
      <c r="H258" s="437"/>
      <c r="I258" s="437"/>
      <c r="J258" s="437"/>
      <c r="K258" s="437"/>
      <c r="L258" s="437"/>
    </row>
    <row r="259" spans="1:12" ht="14.25">
      <c r="A259" s="437"/>
      <c r="B259" s="437"/>
      <c r="C259" s="437"/>
      <c r="D259" s="437"/>
      <c r="E259" s="437"/>
      <c r="F259" s="437"/>
      <c r="G259" s="437"/>
      <c r="H259" s="437"/>
      <c r="I259" s="437"/>
      <c r="J259" s="437"/>
      <c r="K259" s="437"/>
      <c r="L259" s="437"/>
    </row>
    <row r="260" spans="1:12" ht="14.25">
      <c r="A260" s="437"/>
      <c r="B260" s="437"/>
      <c r="C260" s="437"/>
      <c r="D260" s="437"/>
      <c r="E260" s="437"/>
      <c r="F260" s="437"/>
      <c r="G260" s="437"/>
      <c r="H260" s="437"/>
      <c r="I260" s="437"/>
      <c r="J260" s="437"/>
      <c r="K260" s="437"/>
      <c r="L260" s="437"/>
    </row>
    <row r="261" spans="1:12" ht="14.25">
      <c r="A261" s="437"/>
      <c r="B261" s="437"/>
      <c r="C261" s="437"/>
      <c r="D261" s="437"/>
      <c r="E261" s="437"/>
      <c r="F261" s="437"/>
      <c r="G261" s="437"/>
      <c r="H261" s="437"/>
      <c r="I261" s="437"/>
      <c r="J261" s="437"/>
      <c r="K261" s="437"/>
      <c r="L261" s="437"/>
    </row>
    <row r="262" spans="1:12" ht="14.25">
      <c r="A262" s="437"/>
      <c r="B262" s="437"/>
      <c r="C262" s="437"/>
      <c r="D262" s="437"/>
      <c r="E262" s="437"/>
      <c r="F262" s="437"/>
      <c r="G262" s="437"/>
      <c r="H262" s="437"/>
      <c r="I262" s="437"/>
      <c r="J262" s="437"/>
      <c r="K262" s="437"/>
      <c r="L262" s="437"/>
    </row>
    <row r="263" spans="1:12" ht="14.25">
      <c r="A263" s="437"/>
      <c r="B263" s="437"/>
      <c r="C263" s="437"/>
      <c r="D263" s="437"/>
      <c r="E263" s="437"/>
      <c r="F263" s="437"/>
      <c r="G263" s="437"/>
      <c r="H263" s="437"/>
      <c r="I263" s="437"/>
      <c r="J263" s="437"/>
      <c r="K263" s="437"/>
      <c r="L263" s="437"/>
    </row>
    <row r="264" spans="1:12" ht="14.25">
      <c r="A264" s="437"/>
      <c r="B264" s="437"/>
      <c r="C264" s="437"/>
      <c r="D264" s="437"/>
      <c r="E264" s="437"/>
      <c r="F264" s="437"/>
      <c r="G264" s="437"/>
      <c r="H264" s="437"/>
      <c r="I264" s="437"/>
      <c r="J264" s="437"/>
      <c r="K264" s="437"/>
      <c r="L264" s="437"/>
    </row>
    <row r="265" spans="1:12" ht="14.25">
      <c r="A265" s="437"/>
      <c r="B265" s="437"/>
      <c r="C265" s="437"/>
      <c r="D265" s="437"/>
      <c r="E265" s="437"/>
      <c r="F265" s="437"/>
      <c r="G265" s="437"/>
      <c r="H265" s="437"/>
      <c r="I265" s="437"/>
      <c r="J265" s="437"/>
      <c r="K265" s="437"/>
      <c r="L265" s="437"/>
    </row>
    <row r="266" spans="1:12" ht="14.25">
      <c r="A266" s="437"/>
      <c r="B266" s="437"/>
      <c r="C266" s="437"/>
      <c r="D266" s="437"/>
      <c r="E266" s="437"/>
      <c r="F266" s="437"/>
      <c r="G266" s="437"/>
      <c r="H266" s="437"/>
      <c r="I266" s="437"/>
      <c r="J266" s="437"/>
      <c r="K266" s="437"/>
      <c r="L266" s="437"/>
    </row>
    <row r="267" spans="1:12" ht="14.25">
      <c r="A267" s="437"/>
      <c r="B267" s="437"/>
      <c r="C267" s="437"/>
      <c r="D267" s="437"/>
      <c r="E267" s="437"/>
      <c r="F267" s="437"/>
      <c r="G267" s="437"/>
      <c r="H267" s="437"/>
      <c r="I267" s="437"/>
      <c r="J267" s="437"/>
      <c r="K267" s="437"/>
      <c r="L267" s="437"/>
    </row>
    <row r="268" spans="1:12" ht="14.25">
      <c r="A268" s="437"/>
      <c r="B268" s="437"/>
      <c r="C268" s="437"/>
      <c r="D268" s="437"/>
      <c r="E268" s="437"/>
      <c r="F268" s="437"/>
      <c r="G268" s="437"/>
      <c r="H268" s="437"/>
      <c r="I268" s="437"/>
      <c r="J268" s="437"/>
      <c r="K268" s="437"/>
      <c r="L268" s="437"/>
    </row>
    <row r="269" spans="1:12" ht="14.25">
      <c r="A269" s="437"/>
      <c r="B269" s="437"/>
      <c r="C269" s="437"/>
      <c r="D269" s="437"/>
      <c r="E269" s="437"/>
      <c r="F269" s="437"/>
      <c r="G269" s="437"/>
      <c r="H269" s="437"/>
      <c r="I269" s="437"/>
      <c r="J269" s="437"/>
      <c r="K269" s="437"/>
      <c r="L269" s="437"/>
    </row>
    <row r="270" spans="1:12" ht="14.25">
      <c r="A270" s="437"/>
      <c r="B270" s="437"/>
      <c r="C270" s="437"/>
      <c r="D270" s="437"/>
      <c r="E270" s="437"/>
      <c r="F270" s="437"/>
      <c r="G270" s="437"/>
      <c r="H270" s="437"/>
      <c r="I270" s="437"/>
      <c r="J270" s="437"/>
      <c r="K270" s="437"/>
      <c r="L270" s="437"/>
    </row>
    <row r="271" spans="1:12" ht="14.25">
      <c r="A271" s="437"/>
      <c r="B271" s="437"/>
      <c r="C271" s="437"/>
      <c r="D271" s="437"/>
      <c r="E271" s="437"/>
      <c r="F271" s="437"/>
      <c r="G271" s="437"/>
      <c r="H271" s="437"/>
      <c r="I271" s="437"/>
      <c r="J271" s="437"/>
      <c r="K271" s="437"/>
      <c r="L271" s="437"/>
    </row>
    <row r="272" spans="1:12" ht="14.25">
      <c r="A272" s="437"/>
      <c r="B272" s="437"/>
      <c r="C272" s="437"/>
      <c r="D272" s="437"/>
      <c r="E272" s="437"/>
      <c r="F272" s="437"/>
      <c r="G272" s="437"/>
      <c r="H272" s="437"/>
      <c r="I272" s="437"/>
      <c r="J272" s="437"/>
      <c r="K272" s="437"/>
      <c r="L272" s="437"/>
    </row>
    <row r="273" spans="1:12" ht="14.25">
      <c r="A273" s="437"/>
      <c r="B273" s="437"/>
      <c r="C273" s="437"/>
      <c r="D273" s="437"/>
      <c r="E273" s="437"/>
      <c r="F273" s="437"/>
      <c r="G273" s="437"/>
      <c r="H273" s="437"/>
      <c r="I273" s="437"/>
      <c r="J273" s="437"/>
      <c r="K273" s="437"/>
      <c r="L273" s="437"/>
    </row>
    <row r="274" spans="1:12" ht="14.25">
      <c r="A274" s="437"/>
      <c r="B274" s="437"/>
      <c r="C274" s="437"/>
      <c r="D274" s="437"/>
      <c r="E274" s="437"/>
      <c r="F274" s="437"/>
      <c r="G274" s="437"/>
      <c r="H274" s="437"/>
      <c r="I274" s="437"/>
      <c r="J274" s="437"/>
      <c r="K274" s="437"/>
      <c r="L274" s="437"/>
    </row>
    <row r="275" spans="1:12" ht="14.25">
      <c r="A275" s="437"/>
      <c r="B275" s="437"/>
      <c r="C275" s="437"/>
      <c r="D275" s="437"/>
      <c r="E275" s="437"/>
      <c r="F275" s="437"/>
      <c r="G275" s="437"/>
      <c r="H275" s="437"/>
      <c r="I275" s="437"/>
      <c r="J275" s="437"/>
      <c r="K275" s="437"/>
      <c r="L275" s="437"/>
    </row>
    <row r="276" spans="1:12" ht="14.25">
      <c r="A276" s="437"/>
      <c r="B276" s="437"/>
      <c r="C276" s="437"/>
      <c r="D276" s="437"/>
      <c r="E276" s="437"/>
      <c r="F276" s="437"/>
      <c r="G276" s="437"/>
      <c r="H276" s="437"/>
      <c r="I276" s="437"/>
      <c r="J276" s="437"/>
      <c r="K276" s="437"/>
      <c r="L276" s="437"/>
    </row>
    <row r="277" spans="1:12" ht="14.25">
      <c r="A277" s="437"/>
      <c r="B277" s="437"/>
      <c r="C277" s="437"/>
      <c r="D277" s="437"/>
      <c r="E277" s="437"/>
      <c r="F277" s="437"/>
      <c r="G277" s="437"/>
      <c r="H277" s="437"/>
      <c r="I277" s="437"/>
      <c r="J277" s="437"/>
      <c r="K277" s="437"/>
      <c r="L277" s="437"/>
    </row>
    <row r="278" spans="1:12" ht="14.25">
      <c r="A278" s="437"/>
      <c r="B278" s="437"/>
      <c r="C278" s="437"/>
      <c r="D278" s="437"/>
      <c r="E278" s="437"/>
      <c r="F278" s="437"/>
      <c r="G278" s="437"/>
      <c r="H278" s="437"/>
      <c r="I278" s="437"/>
      <c r="J278" s="437"/>
      <c r="K278" s="437"/>
      <c r="L278" s="437"/>
    </row>
    <row r="279" spans="1:12" ht="14.25">
      <c r="A279" s="437"/>
      <c r="B279" s="437"/>
      <c r="C279" s="437"/>
      <c r="D279" s="437"/>
      <c r="E279" s="437"/>
      <c r="F279" s="437"/>
      <c r="G279" s="437"/>
      <c r="H279" s="437"/>
      <c r="I279" s="437"/>
      <c r="J279" s="437"/>
      <c r="K279" s="437"/>
      <c r="L279" s="437"/>
    </row>
    <row r="280" spans="1:12" ht="14.25">
      <c r="A280" s="437"/>
      <c r="B280" s="437"/>
      <c r="C280" s="437"/>
      <c r="D280" s="437"/>
      <c r="E280" s="437"/>
      <c r="F280" s="437"/>
      <c r="G280" s="437"/>
      <c r="H280" s="437"/>
      <c r="I280" s="437"/>
      <c r="J280" s="437"/>
      <c r="K280" s="437"/>
      <c r="L280" s="437"/>
    </row>
    <row r="281" spans="1:12" ht="14.25">
      <c r="A281" s="437"/>
      <c r="B281" s="437"/>
      <c r="C281" s="437"/>
      <c r="D281" s="437"/>
      <c r="E281" s="437"/>
      <c r="F281" s="437"/>
      <c r="G281" s="437"/>
      <c r="H281" s="437"/>
      <c r="I281" s="437"/>
      <c r="J281" s="437"/>
      <c r="K281" s="437"/>
      <c r="L281" s="437"/>
    </row>
    <row r="282" spans="1:12" ht="14.25">
      <c r="A282" s="437"/>
      <c r="B282" s="437"/>
      <c r="C282" s="437"/>
      <c r="D282" s="437"/>
      <c r="E282" s="437"/>
      <c r="F282" s="437"/>
      <c r="G282" s="437"/>
      <c r="H282" s="437"/>
      <c r="I282" s="437"/>
      <c r="J282" s="437"/>
      <c r="K282" s="437"/>
      <c r="L282" s="437"/>
    </row>
    <row r="283" spans="1:12" ht="14.25">
      <c r="A283" s="437"/>
      <c r="B283" s="437"/>
      <c r="C283" s="437"/>
      <c r="D283" s="437"/>
      <c r="E283" s="437"/>
      <c r="F283" s="437"/>
      <c r="G283" s="437"/>
      <c r="H283" s="437"/>
      <c r="I283" s="437"/>
      <c r="J283" s="437"/>
      <c r="K283" s="437"/>
      <c r="L283" s="437"/>
    </row>
    <row r="284" spans="1:12" ht="14.25">
      <c r="A284" s="437"/>
      <c r="B284" s="437"/>
      <c r="C284" s="437"/>
      <c r="D284" s="437"/>
      <c r="E284" s="437"/>
      <c r="F284" s="437"/>
      <c r="G284" s="437"/>
      <c r="H284" s="437"/>
      <c r="I284" s="437"/>
      <c r="J284" s="437"/>
      <c r="K284" s="437"/>
      <c r="L284" s="437"/>
    </row>
    <row r="285" spans="1:12" ht="14.25">
      <c r="A285" s="437"/>
      <c r="B285" s="437"/>
      <c r="C285" s="437"/>
      <c r="D285" s="437"/>
      <c r="E285" s="437"/>
      <c r="F285" s="437"/>
      <c r="G285" s="437"/>
      <c r="H285" s="437"/>
      <c r="I285" s="437"/>
      <c r="J285" s="437"/>
      <c r="K285" s="437"/>
      <c r="L285" s="437"/>
    </row>
    <row r="286" spans="1:12" ht="14.25">
      <c r="A286" s="437"/>
      <c r="B286" s="437"/>
      <c r="C286" s="437"/>
      <c r="D286" s="437"/>
      <c r="E286" s="437"/>
      <c r="F286" s="437"/>
      <c r="G286" s="437"/>
      <c r="H286" s="437"/>
      <c r="I286" s="437"/>
      <c r="J286" s="437"/>
      <c r="K286" s="437"/>
      <c r="L286" s="437"/>
    </row>
    <row r="287" spans="1:12" ht="14.25">
      <c r="A287" s="437"/>
      <c r="B287" s="437"/>
      <c r="C287" s="437"/>
      <c r="D287" s="437"/>
      <c r="E287" s="437"/>
      <c r="F287" s="437"/>
      <c r="G287" s="437"/>
      <c r="H287" s="437"/>
      <c r="I287" s="437"/>
      <c r="J287" s="437"/>
      <c r="K287" s="437"/>
      <c r="L287" s="437"/>
    </row>
    <row r="288" spans="1:12" ht="14.25">
      <c r="A288" s="437"/>
      <c r="B288" s="437"/>
      <c r="C288" s="437"/>
      <c r="D288" s="437"/>
      <c r="E288" s="437"/>
      <c r="F288" s="437"/>
      <c r="G288" s="437"/>
      <c r="H288" s="437"/>
      <c r="I288" s="437"/>
      <c r="J288" s="437"/>
      <c r="K288" s="437"/>
      <c r="L288" s="437"/>
    </row>
    <row r="289" spans="1:12" ht="14.25">
      <c r="A289" s="437"/>
      <c r="B289" s="437"/>
      <c r="C289" s="437"/>
      <c r="D289" s="437"/>
      <c r="E289" s="437"/>
      <c r="F289" s="437"/>
      <c r="G289" s="437"/>
      <c r="H289" s="437"/>
      <c r="I289" s="437"/>
      <c r="J289" s="437"/>
      <c r="K289" s="437"/>
      <c r="L289" s="437"/>
    </row>
    <row r="290" spans="1:12" ht="14.25">
      <c r="A290" s="437"/>
      <c r="B290" s="437"/>
      <c r="C290" s="437"/>
      <c r="D290" s="437"/>
      <c r="E290" s="437"/>
      <c r="F290" s="437"/>
      <c r="G290" s="437"/>
      <c r="H290" s="437"/>
      <c r="I290" s="437"/>
      <c r="J290" s="437"/>
      <c r="K290" s="437"/>
      <c r="L290" s="437"/>
    </row>
    <row r="291" spans="1:12" ht="14.25">
      <c r="A291" s="437"/>
      <c r="B291" s="437"/>
      <c r="C291" s="437"/>
      <c r="D291" s="437"/>
      <c r="E291" s="437"/>
      <c r="F291" s="437"/>
      <c r="G291" s="437"/>
      <c r="H291" s="437"/>
      <c r="I291" s="437"/>
      <c r="J291" s="437"/>
      <c r="K291" s="437"/>
      <c r="L291" s="437"/>
    </row>
    <row r="292" spans="1:12" ht="14.25">
      <c r="A292" s="437"/>
      <c r="B292" s="437"/>
      <c r="C292" s="437"/>
      <c r="D292" s="437"/>
      <c r="E292" s="437"/>
      <c r="F292" s="437"/>
      <c r="G292" s="437"/>
      <c r="H292" s="437"/>
      <c r="I292" s="437"/>
      <c r="J292" s="437"/>
      <c r="K292" s="437"/>
      <c r="L292" s="437"/>
    </row>
    <row r="293" spans="1:12" ht="14.25">
      <c r="A293" s="437"/>
      <c r="B293" s="437"/>
      <c r="C293" s="437"/>
      <c r="D293" s="437"/>
      <c r="E293" s="437"/>
      <c r="F293" s="437"/>
      <c r="G293" s="437"/>
      <c r="H293" s="437"/>
      <c r="I293" s="437"/>
      <c r="J293" s="437"/>
      <c r="K293" s="437"/>
      <c r="L293" s="437"/>
    </row>
    <row r="294" spans="1:12" ht="14.25">
      <c r="A294" s="437"/>
      <c r="B294" s="437"/>
      <c r="C294" s="437"/>
      <c r="D294" s="437"/>
      <c r="E294" s="437"/>
      <c r="F294" s="437"/>
      <c r="G294" s="437"/>
      <c r="H294" s="437"/>
      <c r="I294" s="437"/>
      <c r="J294" s="437"/>
      <c r="K294" s="437"/>
      <c r="L294" s="437"/>
    </row>
    <row r="295" spans="1:12" ht="14.25">
      <c r="A295" s="437"/>
      <c r="B295" s="437"/>
      <c r="C295" s="437"/>
      <c r="D295" s="437"/>
      <c r="E295" s="437"/>
      <c r="F295" s="437"/>
      <c r="G295" s="437"/>
      <c r="H295" s="437"/>
      <c r="I295" s="437"/>
      <c r="J295" s="437"/>
      <c r="K295" s="437"/>
      <c r="L295" s="437"/>
    </row>
    <row r="296" spans="1:12" ht="14.25">
      <c r="A296" s="437"/>
      <c r="B296" s="437"/>
      <c r="C296" s="437"/>
      <c r="D296" s="437"/>
      <c r="E296" s="437"/>
      <c r="F296" s="437"/>
      <c r="G296" s="437"/>
      <c r="H296" s="437"/>
      <c r="I296" s="437"/>
      <c r="J296" s="437"/>
      <c r="K296" s="437"/>
      <c r="L296" s="437"/>
    </row>
    <row r="297" spans="1:12" ht="14.25">
      <c r="A297" s="437"/>
      <c r="B297" s="437"/>
      <c r="C297" s="437"/>
      <c r="D297" s="437"/>
      <c r="E297" s="437"/>
      <c r="F297" s="437"/>
      <c r="G297" s="437"/>
      <c r="H297" s="437"/>
      <c r="I297" s="437"/>
      <c r="J297" s="437"/>
      <c r="K297" s="437"/>
      <c r="L297" s="437"/>
    </row>
    <row r="298" spans="1:12" ht="14.25">
      <c r="A298" s="437"/>
      <c r="B298" s="437"/>
      <c r="C298" s="437"/>
      <c r="D298" s="437"/>
      <c r="E298" s="437"/>
      <c r="F298" s="437"/>
      <c r="G298" s="437"/>
      <c r="H298" s="437"/>
      <c r="I298" s="437"/>
      <c r="J298" s="437"/>
      <c r="K298" s="437"/>
      <c r="L298" s="437"/>
    </row>
    <row r="299" spans="1:12" ht="14.25">
      <c r="A299" s="437"/>
      <c r="B299" s="437"/>
      <c r="C299" s="437"/>
      <c r="D299" s="437"/>
      <c r="E299" s="437"/>
      <c r="F299" s="437"/>
      <c r="G299" s="437"/>
      <c r="H299" s="437"/>
      <c r="I299" s="437"/>
      <c r="J299" s="437"/>
      <c r="K299" s="437"/>
      <c r="L299" s="437"/>
    </row>
    <row r="300" spans="1:12" ht="14.25">
      <c r="A300" s="437"/>
      <c r="B300" s="437"/>
      <c r="C300" s="437"/>
      <c r="D300" s="437"/>
      <c r="E300" s="437"/>
      <c r="F300" s="437"/>
      <c r="G300" s="437"/>
      <c r="H300" s="437"/>
      <c r="I300" s="437"/>
      <c r="J300" s="437"/>
      <c r="K300" s="437"/>
      <c r="L300" s="437"/>
    </row>
    <row r="301" spans="1:12" ht="14.25">
      <c r="A301" s="437"/>
      <c r="B301" s="437"/>
      <c r="C301" s="437"/>
      <c r="D301" s="437"/>
      <c r="E301" s="437"/>
      <c r="F301" s="437"/>
      <c r="G301" s="437"/>
      <c r="H301" s="437"/>
      <c r="I301" s="437"/>
      <c r="J301" s="437"/>
      <c r="K301" s="437"/>
      <c r="L301" s="437"/>
    </row>
    <row r="302" spans="1:12" ht="14.25">
      <c r="A302" s="437"/>
      <c r="B302" s="437"/>
      <c r="C302" s="437"/>
      <c r="D302" s="437"/>
      <c r="E302" s="437"/>
      <c r="F302" s="437"/>
      <c r="G302" s="437"/>
      <c r="H302" s="437"/>
      <c r="I302" s="437"/>
      <c r="J302" s="437"/>
      <c r="K302" s="437"/>
      <c r="L302" s="437"/>
    </row>
    <row r="303" spans="1:12" ht="14.25">
      <c r="A303" s="437"/>
      <c r="B303" s="437"/>
      <c r="C303" s="437"/>
      <c r="D303" s="437"/>
      <c r="E303" s="437"/>
      <c r="F303" s="437"/>
      <c r="G303" s="437"/>
      <c r="H303" s="437"/>
      <c r="I303" s="437"/>
      <c r="J303" s="437"/>
      <c r="K303" s="437"/>
      <c r="L303" s="437"/>
    </row>
    <row r="304" spans="1:12" ht="14.25">
      <c r="A304" s="437"/>
      <c r="B304" s="437"/>
      <c r="C304" s="437"/>
      <c r="D304" s="437"/>
      <c r="E304" s="437"/>
      <c r="F304" s="437"/>
      <c r="G304" s="437"/>
      <c r="H304" s="437"/>
      <c r="I304" s="437"/>
      <c r="J304" s="437"/>
      <c r="K304" s="437"/>
      <c r="L304" s="437"/>
    </row>
    <row r="305" spans="1:12" ht="14.25">
      <c r="A305" s="437"/>
      <c r="B305" s="437"/>
      <c r="C305" s="437"/>
      <c r="D305" s="437"/>
      <c r="E305" s="437"/>
      <c r="F305" s="437"/>
      <c r="G305" s="437"/>
      <c r="H305" s="437"/>
      <c r="I305" s="437"/>
      <c r="J305" s="437"/>
      <c r="K305" s="437"/>
      <c r="L305" s="437"/>
    </row>
    <row r="306" spans="1:12" ht="14.25">
      <c r="A306" s="437"/>
      <c r="B306" s="437"/>
      <c r="C306" s="437"/>
      <c r="D306" s="437"/>
      <c r="E306" s="437"/>
      <c r="F306" s="437"/>
      <c r="G306" s="437"/>
      <c r="H306" s="437"/>
      <c r="I306" s="437"/>
      <c r="J306" s="437"/>
      <c r="K306" s="437"/>
      <c r="L306" s="437"/>
    </row>
    <row r="307" spans="1:12" ht="14.25">
      <c r="A307" s="437"/>
      <c r="B307" s="437"/>
      <c r="C307" s="437"/>
      <c r="D307" s="437"/>
      <c r="E307" s="437"/>
      <c r="F307" s="437"/>
      <c r="G307" s="437"/>
      <c r="H307" s="437"/>
      <c r="I307" s="437"/>
      <c r="J307" s="437"/>
      <c r="K307" s="437"/>
      <c r="L307" s="437"/>
    </row>
    <row r="308" spans="1:12" ht="14.25">
      <c r="A308" s="437"/>
      <c r="B308" s="437"/>
      <c r="C308" s="437"/>
      <c r="D308" s="437"/>
      <c r="E308" s="437"/>
      <c r="F308" s="437"/>
      <c r="G308" s="437"/>
      <c r="H308" s="437"/>
      <c r="I308" s="437"/>
      <c r="J308" s="437"/>
      <c r="K308" s="437"/>
      <c r="L308" s="437"/>
    </row>
    <row r="309" spans="1:12" ht="14.25">
      <c r="A309" s="437"/>
      <c r="B309" s="437"/>
      <c r="C309" s="437"/>
      <c r="D309" s="437"/>
      <c r="E309" s="437"/>
      <c r="F309" s="437"/>
      <c r="G309" s="437"/>
      <c r="H309" s="437"/>
      <c r="I309" s="437"/>
      <c r="J309" s="437"/>
      <c r="K309" s="437"/>
      <c r="L309" s="437"/>
    </row>
    <row r="310" spans="1:12" ht="14.25">
      <c r="A310" s="437"/>
      <c r="B310" s="437"/>
      <c r="C310" s="437"/>
      <c r="D310" s="437"/>
      <c r="E310" s="437"/>
      <c r="F310" s="437"/>
      <c r="G310" s="437"/>
      <c r="H310" s="437"/>
      <c r="I310" s="437"/>
      <c r="J310" s="437"/>
      <c r="K310" s="437"/>
      <c r="L310" s="437"/>
    </row>
    <row r="311" spans="1:12" ht="14.25">
      <c r="A311" s="437"/>
      <c r="B311" s="437"/>
      <c r="C311" s="437"/>
      <c r="D311" s="437"/>
      <c r="E311" s="437"/>
      <c r="F311" s="437"/>
      <c r="G311" s="437"/>
      <c r="H311" s="437"/>
      <c r="I311" s="437"/>
      <c r="J311" s="437"/>
      <c r="K311" s="437"/>
      <c r="L311" s="437"/>
    </row>
    <row r="312" spans="1:12" ht="14.25">
      <c r="A312" s="437"/>
      <c r="B312" s="437"/>
      <c r="C312" s="437"/>
      <c r="D312" s="437"/>
      <c r="E312" s="437"/>
      <c r="F312" s="437"/>
      <c r="G312" s="437"/>
      <c r="H312" s="437"/>
      <c r="I312" s="437"/>
      <c r="J312" s="437"/>
      <c r="K312" s="437"/>
      <c r="L312" s="437"/>
    </row>
    <row r="313" spans="1:12" ht="14.25">
      <c r="A313" s="437"/>
      <c r="B313" s="437"/>
      <c r="C313" s="437"/>
      <c r="D313" s="437"/>
      <c r="E313" s="437"/>
      <c r="F313" s="437"/>
      <c r="G313" s="437"/>
      <c r="H313" s="437"/>
      <c r="I313" s="437"/>
      <c r="J313" s="437"/>
      <c r="K313" s="437"/>
      <c r="L313" s="437"/>
    </row>
    <row r="314" spans="1:12" ht="14.25">
      <c r="A314" s="437"/>
      <c r="B314" s="437"/>
      <c r="C314" s="437"/>
      <c r="D314" s="437"/>
      <c r="E314" s="437"/>
      <c r="F314" s="437"/>
      <c r="G314" s="437"/>
      <c r="H314" s="437"/>
      <c r="I314" s="437"/>
      <c r="J314" s="437"/>
      <c r="K314" s="437"/>
      <c r="L314" s="437"/>
    </row>
    <row r="315" spans="1:12" ht="14.25">
      <c r="A315" s="437"/>
      <c r="B315" s="437"/>
      <c r="C315" s="437"/>
      <c r="D315" s="437"/>
      <c r="E315" s="437"/>
      <c r="F315" s="437"/>
      <c r="G315" s="437"/>
      <c r="H315" s="437"/>
      <c r="I315" s="437"/>
      <c r="J315" s="437"/>
      <c r="K315" s="437"/>
      <c r="L315" s="437"/>
    </row>
    <row r="316" spans="1:12" ht="14.25">
      <c r="A316" s="437"/>
      <c r="B316" s="437"/>
      <c r="C316" s="437"/>
      <c r="D316" s="437"/>
      <c r="E316" s="437"/>
      <c r="F316" s="437"/>
      <c r="G316" s="437"/>
      <c r="H316" s="437"/>
      <c r="I316" s="437"/>
      <c r="J316" s="437"/>
      <c r="K316" s="437"/>
      <c r="L316" s="437"/>
    </row>
    <row r="317" spans="1:12" ht="14.25">
      <c r="A317" s="437"/>
      <c r="B317" s="437"/>
      <c r="C317" s="437"/>
      <c r="D317" s="437"/>
      <c r="E317" s="437"/>
      <c r="F317" s="437"/>
      <c r="G317" s="437"/>
      <c r="H317" s="437"/>
      <c r="I317" s="437"/>
      <c r="J317" s="437"/>
      <c r="K317" s="437"/>
      <c r="L317" s="437"/>
    </row>
    <row r="318" spans="1:12" ht="14.25">
      <c r="A318" s="437"/>
      <c r="B318" s="437"/>
      <c r="C318" s="437"/>
      <c r="D318" s="437"/>
      <c r="E318" s="437"/>
      <c r="F318" s="437"/>
      <c r="G318" s="437"/>
      <c r="H318" s="437"/>
      <c r="I318" s="437"/>
      <c r="J318" s="437"/>
      <c r="K318" s="437"/>
      <c r="L318" s="437"/>
    </row>
    <row r="319" spans="1:12" ht="14.25">
      <c r="A319" s="437"/>
      <c r="B319" s="437"/>
      <c r="C319" s="437"/>
      <c r="D319" s="437"/>
      <c r="E319" s="437"/>
      <c r="F319" s="437"/>
      <c r="G319" s="437"/>
      <c r="H319" s="437"/>
      <c r="I319" s="437"/>
      <c r="J319" s="437"/>
      <c r="K319" s="437"/>
      <c r="L319" s="437"/>
    </row>
    <row r="320" spans="1:12" ht="14.25">
      <c r="A320" s="437"/>
      <c r="B320" s="437"/>
      <c r="C320" s="437"/>
      <c r="D320" s="437"/>
      <c r="E320" s="437"/>
      <c r="F320" s="437"/>
      <c r="G320" s="437"/>
      <c r="H320" s="437"/>
      <c r="I320" s="437"/>
      <c r="J320" s="437"/>
      <c r="K320" s="437"/>
      <c r="L320" s="437"/>
    </row>
    <row r="321" spans="1:12" ht="14.25">
      <c r="A321" s="437"/>
      <c r="B321" s="437"/>
      <c r="C321" s="437"/>
      <c r="D321" s="437"/>
      <c r="E321" s="437"/>
      <c r="F321" s="437"/>
      <c r="G321" s="437"/>
      <c r="H321" s="437"/>
      <c r="I321" s="437"/>
      <c r="J321" s="437"/>
      <c r="K321" s="437"/>
      <c r="L321" s="437"/>
    </row>
    <row r="322" spans="1:12" ht="14.25">
      <c r="A322" s="437"/>
      <c r="B322" s="437"/>
      <c r="C322" s="437"/>
      <c r="D322" s="437"/>
      <c r="E322" s="437"/>
      <c r="F322" s="437"/>
      <c r="G322" s="437"/>
      <c r="H322" s="437"/>
      <c r="I322" s="437"/>
      <c r="J322" s="437"/>
      <c r="K322" s="437"/>
      <c r="L322" s="437"/>
    </row>
    <row r="323" spans="1:12" ht="14.25">
      <c r="A323" s="437"/>
      <c r="B323" s="437"/>
      <c r="C323" s="437"/>
      <c r="D323" s="437"/>
      <c r="E323" s="437"/>
      <c r="F323" s="437"/>
      <c r="G323" s="437"/>
      <c r="H323" s="437"/>
      <c r="I323" s="437"/>
      <c r="J323" s="437"/>
      <c r="K323" s="437"/>
      <c r="L323" s="437"/>
    </row>
    <row r="324" spans="1:12" ht="14.25">
      <c r="A324" s="437"/>
      <c r="B324" s="437"/>
      <c r="C324" s="437"/>
      <c r="D324" s="437"/>
      <c r="E324" s="437"/>
      <c r="F324" s="437"/>
      <c r="G324" s="437"/>
      <c r="H324" s="437"/>
      <c r="I324" s="437"/>
      <c r="J324" s="437"/>
      <c r="K324" s="437"/>
      <c r="L324" s="437"/>
    </row>
    <row r="325" spans="1:12" ht="14.25">
      <c r="A325" s="437"/>
      <c r="B325" s="437"/>
      <c r="C325" s="437"/>
      <c r="D325" s="437"/>
      <c r="E325" s="437"/>
      <c r="F325" s="437"/>
      <c r="G325" s="437"/>
      <c r="H325" s="437"/>
      <c r="I325" s="437"/>
      <c r="J325" s="437"/>
      <c r="K325" s="437"/>
      <c r="L325" s="437"/>
    </row>
    <row r="326" spans="1:12" ht="14.25">
      <c r="A326" s="437"/>
      <c r="B326" s="437"/>
      <c r="C326" s="437"/>
      <c r="D326" s="437"/>
      <c r="E326" s="437"/>
      <c r="F326" s="437"/>
      <c r="G326" s="437"/>
      <c r="H326" s="437"/>
      <c r="I326" s="437"/>
      <c r="J326" s="437"/>
      <c r="K326" s="437"/>
      <c r="L326" s="437"/>
    </row>
    <row r="327" spans="1:12" ht="14.25">
      <c r="A327" s="437"/>
      <c r="B327" s="437"/>
      <c r="C327" s="437"/>
      <c r="D327" s="437"/>
      <c r="E327" s="437"/>
      <c r="F327" s="437"/>
      <c r="G327" s="437"/>
      <c r="H327" s="437"/>
      <c r="I327" s="437"/>
      <c r="J327" s="437"/>
      <c r="K327" s="437"/>
      <c r="L327" s="437"/>
    </row>
    <row r="328" spans="1:12" ht="14.25">
      <c r="A328" s="437"/>
      <c r="B328" s="437"/>
      <c r="C328" s="437"/>
      <c r="D328" s="437"/>
      <c r="E328" s="437"/>
      <c r="F328" s="437"/>
      <c r="G328" s="437"/>
      <c r="H328" s="437"/>
      <c r="I328" s="437"/>
      <c r="J328" s="437"/>
      <c r="K328" s="437"/>
      <c r="L328" s="437"/>
    </row>
    <row r="329" spans="1:12" ht="14.25">
      <c r="A329" s="437"/>
      <c r="B329" s="437"/>
      <c r="C329" s="437"/>
      <c r="D329" s="437"/>
      <c r="E329" s="437"/>
      <c r="F329" s="437"/>
      <c r="G329" s="437"/>
      <c r="H329" s="437"/>
      <c r="I329" s="437"/>
      <c r="J329" s="437"/>
      <c r="K329" s="437"/>
      <c r="L329" s="437"/>
    </row>
    <row r="330" spans="1:12" ht="14.25">
      <c r="A330" s="437"/>
      <c r="B330" s="437"/>
      <c r="C330" s="437"/>
      <c r="D330" s="437"/>
      <c r="E330" s="437"/>
      <c r="F330" s="437"/>
      <c r="G330" s="437"/>
      <c r="H330" s="437"/>
      <c r="I330" s="437"/>
      <c r="J330" s="437"/>
      <c r="K330" s="437"/>
      <c r="L330" s="437"/>
    </row>
    <row r="331" spans="1:12" ht="14.25">
      <c r="A331" s="437"/>
      <c r="B331" s="437"/>
      <c r="C331" s="437"/>
      <c r="D331" s="437"/>
      <c r="E331" s="437"/>
      <c r="F331" s="437"/>
      <c r="G331" s="437"/>
      <c r="H331" s="437"/>
      <c r="I331" s="437"/>
      <c r="J331" s="437"/>
      <c r="K331" s="437"/>
      <c r="L331" s="437"/>
    </row>
    <row r="332" spans="1:12" ht="14.25">
      <c r="A332" s="437"/>
      <c r="B332" s="437"/>
      <c r="C332" s="437"/>
      <c r="D332" s="437"/>
      <c r="E332" s="437"/>
      <c r="F332" s="437"/>
      <c r="G332" s="437"/>
      <c r="H332" s="437"/>
      <c r="I332" s="437"/>
      <c r="J332" s="437"/>
      <c r="K332" s="437"/>
      <c r="L332" s="437"/>
    </row>
    <row r="333" spans="1:12" ht="14.25">
      <c r="A333" s="437"/>
      <c r="B333" s="437"/>
      <c r="C333" s="437"/>
      <c r="D333" s="437"/>
      <c r="E333" s="437"/>
      <c r="F333" s="437"/>
      <c r="G333" s="437"/>
      <c r="H333" s="437"/>
      <c r="I333" s="437"/>
      <c r="J333" s="437"/>
      <c r="K333" s="437"/>
      <c r="L333" s="437"/>
    </row>
    <row r="334" spans="1:12" ht="14.25">
      <c r="A334" s="437"/>
      <c r="B334" s="437"/>
      <c r="C334" s="437"/>
      <c r="D334" s="437"/>
      <c r="E334" s="437"/>
      <c r="F334" s="437"/>
      <c r="G334" s="437"/>
      <c r="H334" s="437"/>
      <c r="I334" s="437"/>
      <c r="J334" s="437"/>
      <c r="K334" s="437"/>
      <c r="L334" s="437"/>
    </row>
    <row r="335" spans="1:12" ht="14.25">
      <c r="A335" s="437"/>
      <c r="B335" s="437"/>
      <c r="C335" s="437"/>
      <c r="D335" s="437"/>
      <c r="E335" s="437"/>
      <c r="F335" s="437"/>
      <c r="G335" s="437"/>
      <c r="H335" s="437"/>
      <c r="I335" s="437"/>
      <c r="J335" s="437"/>
      <c r="K335" s="437"/>
      <c r="L335" s="437"/>
    </row>
    <row r="336" spans="1:12" ht="14.25">
      <c r="A336" s="437"/>
      <c r="B336" s="437"/>
      <c r="C336" s="437"/>
      <c r="D336" s="437"/>
      <c r="E336" s="437"/>
      <c r="F336" s="437"/>
      <c r="G336" s="437"/>
      <c r="H336" s="437"/>
      <c r="I336" s="437"/>
      <c r="J336" s="437"/>
      <c r="K336" s="437"/>
      <c r="L336" s="437"/>
    </row>
    <row r="337" spans="1:12" ht="14.25">
      <c r="A337" s="437"/>
      <c r="B337" s="437"/>
      <c r="C337" s="437"/>
      <c r="D337" s="437"/>
      <c r="E337" s="437"/>
      <c r="F337" s="437"/>
      <c r="G337" s="437"/>
      <c r="H337" s="437"/>
      <c r="I337" s="437"/>
      <c r="J337" s="437"/>
      <c r="K337" s="437"/>
      <c r="L337" s="437"/>
    </row>
    <row r="338" spans="1:12" ht="14.25">
      <c r="A338" s="437"/>
      <c r="B338" s="437"/>
      <c r="C338" s="437"/>
      <c r="D338" s="437"/>
      <c r="E338" s="437"/>
      <c r="F338" s="437"/>
      <c r="G338" s="437"/>
      <c r="H338" s="437"/>
      <c r="I338" s="437"/>
      <c r="J338" s="437"/>
      <c r="K338" s="437"/>
      <c r="L338" s="437"/>
    </row>
    <row r="339" spans="1:12" ht="14.25">
      <c r="A339" s="437"/>
      <c r="B339" s="437"/>
      <c r="C339" s="437"/>
      <c r="D339" s="437"/>
      <c r="E339" s="437"/>
      <c r="F339" s="437"/>
      <c r="G339" s="437"/>
      <c r="H339" s="437"/>
      <c r="I339" s="437"/>
      <c r="J339" s="437"/>
      <c r="K339" s="437"/>
      <c r="L339" s="437"/>
    </row>
    <row r="340" spans="1:12" ht="14.25">
      <c r="A340" s="437"/>
      <c r="B340" s="437"/>
      <c r="C340" s="437"/>
      <c r="D340" s="437"/>
      <c r="E340" s="437"/>
      <c r="F340" s="437"/>
      <c r="G340" s="437"/>
      <c r="H340" s="437"/>
      <c r="I340" s="437"/>
      <c r="J340" s="437"/>
      <c r="K340" s="437"/>
      <c r="L340" s="437"/>
    </row>
    <row r="341" spans="1:12" ht="14.25">
      <c r="A341" s="437"/>
      <c r="B341" s="437"/>
      <c r="C341" s="437"/>
      <c r="D341" s="437"/>
      <c r="E341" s="437"/>
      <c r="F341" s="437"/>
      <c r="G341" s="437"/>
      <c r="H341" s="437"/>
      <c r="I341" s="437"/>
      <c r="J341" s="437"/>
      <c r="K341" s="437"/>
      <c r="L341" s="437"/>
    </row>
    <row r="342" spans="1:12" ht="14.25">
      <c r="A342" s="437"/>
      <c r="B342" s="437"/>
      <c r="C342" s="437"/>
      <c r="D342" s="437"/>
      <c r="E342" s="437"/>
      <c r="F342" s="437"/>
      <c r="G342" s="437"/>
      <c r="H342" s="437"/>
      <c r="I342" s="437"/>
      <c r="J342" s="437"/>
      <c r="K342" s="437"/>
      <c r="L342" s="437"/>
    </row>
    <row r="343" spans="1:12" ht="14.25">
      <c r="A343" s="437"/>
      <c r="B343" s="437"/>
      <c r="C343" s="437"/>
      <c r="D343" s="437"/>
      <c r="E343" s="437"/>
      <c r="F343" s="437"/>
      <c r="G343" s="437"/>
      <c r="H343" s="437"/>
      <c r="I343" s="437"/>
      <c r="J343" s="437"/>
      <c r="K343" s="437"/>
      <c r="L343" s="437"/>
    </row>
    <row r="344" spans="1:12" ht="14.25">
      <c r="A344" s="437"/>
      <c r="B344" s="437"/>
      <c r="C344" s="437"/>
      <c r="D344" s="437"/>
      <c r="E344" s="437"/>
      <c r="F344" s="437"/>
      <c r="G344" s="437"/>
      <c r="H344" s="437"/>
      <c r="I344" s="437"/>
      <c r="J344" s="437"/>
      <c r="K344" s="437"/>
      <c r="L344" s="437"/>
    </row>
    <row r="345" spans="1:12" ht="14.25">
      <c r="A345" s="437"/>
      <c r="B345" s="437"/>
      <c r="C345" s="437"/>
      <c r="D345" s="437"/>
      <c r="E345" s="437"/>
      <c r="F345" s="437"/>
      <c r="G345" s="437"/>
      <c r="H345" s="437"/>
      <c r="I345" s="437"/>
      <c r="J345" s="437"/>
      <c r="K345" s="437"/>
      <c r="L345" s="437"/>
    </row>
    <row r="346" spans="1:12" ht="14.25">
      <c r="A346" s="437"/>
      <c r="B346" s="437"/>
      <c r="C346" s="437"/>
      <c r="D346" s="437"/>
      <c r="E346" s="437"/>
      <c r="F346" s="437"/>
      <c r="G346" s="437"/>
      <c r="H346" s="437"/>
      <c r="I346" s="437"/>
      <c r="J346" s="437"/>
      <c r="K346" s="437"/>
      <c r="L346" s="437"/>
    </row>
    <row r="347" spans="1:12" ht="14.25">
      <c r="A347" s="437"/>
      <c r="B347" s="437"/>
      <c r="C347" s="437"/>
      <c r="D347" s="437"/>
      <c r="E347" s="437"/>
      <c r="F347" s="437"/>
      <c r="G347" s="437"/>
      <c r="H347" s="437"/>
      <c r="I347" s="437"/>
      <c r="J347" s="437"/>
      <c r="K347" s="437"/>
      <c r="L347" s="437"/>
    </row>
    <row r="348" spans="1:12" ht="14.25">
      <c r="A348" s="437"/>
      <c r="B348" s="437"/>
      <c r="C348" s="437"/>
      <c r="D348" s="437"/>
      <c r="E348" s="437"/>
      <c r="F348" s="437"/>
      <c r="G348" s="437"/>
      <c r="H348" s="437"/>
      <c r="I348" s="437"/>
      <c r="J348" s="437"/>
      <c r="K348" s="437"/>
      <c r="L348" s="437"/>
    </row>
    <row r="349" spans="1:12" ht="14.25">
      <c r="A349" s="437"/>
      <c r="B349" s="437"/>
      <c r="C349" s="437"/>
      <c r="D349" s="437"/>
      <c r="E349" s="437"/>
      <c r="F349" s="437"/>
      <c r="G349" s="437"/>
      <c r="H349" s="437"/>
      <c r="I349" s="437"/>
      <c r="J349" s="437"/>
      <c r="K349" s="437"/>
      <c r="L349" s="437"/>
    </row>
    <row r="350" spans="1:12" ht="14.25">
      <c r="A350" s="437"/>
      <c r="B350" s="437"/>
      <c r="C350" s="437"/>
      <c r="D350" s="437"/>
      <c r="E350" s="437"/>
      <c r="F350" s="437"/>
      <c r="G350" s="437"/>
      <c r="H350" s="437"/>
      <c r="I350" s="437"/>
      <c r="J350" s="437"/>
      <c r="K350" s="437"/>
      <c r="L350" s="437"/>
    </row>
    <row r="351" spans="1:12" ht="14.25">
      <c r="A351" s="437"/>
      <c r="B351" s="437"/>
      <c r="C351" s="437"/>
      <c r="D351" s="437"/>
      <c r="E351" s="437"/>
      <c r="F351" s="437"/>
      <c r="G351" s="437"/>
      <c r="H351" s="437"/>
      <c r="I351" s="437"/>
      <c r="J351" s="437"/>
      <c r="K351" s="437"/>
      <c r="L351" s="437"/>
    </row>
    <row r="352" spans="1:12" ht="14.25">
      <c r="A352" s="437"/>
      <c r="B352" s="437"/>
      <c r="C352" s="437"/>
      <c r="D352" s="437"/>
      <c r="E352" s="437"/>
      <c r="F352" s="437"/>
      <c r="G352" s="437"/>
      <c r="H352" s="437"/>
      <c r="I352" s="437"/>
      <c r="J352" s="437"/>
      <c r="K352" s="437"/>
      <c r="L352" s="437"/>
    </row>
    <row r="353" spans="1:12" ht="14.25">
      <c r="A353" s="437"/>
      <c r="B353" s="437"/>
      <c r="C353" s="437"/>
      <c r="D353" s="437"/>
      <c r="E353" s="437"/>
      <c r="F353" s="437"/>
      <c r="G353" s="437"/>
      <c r="H353" s="437"/>
      <c r="I353" s="437"/>
      <c r="J353" s="437"/>
      <c r="K353" s="437"/>
      <c r="L353" s="437"/>
    </row>
    <row r="354" spans="1:12" ht="14.25">
      <c r="A354" s="437"/>
      <c r="B354" s="437"/>
      <c r="C354" s="437"/>
      <c r="D354" s="437"/>
      <c r="E354" s="437"/>
      <c r="F354" s="437"/>
      <c r="G354" s="437"/>
      <c r="H354" s="437"/>
      <c r="I354" s="437"/>
      <c r="J354" s="437"/>
      <c r="K354" s="437"/>
      <c r="L354" s="437"/>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r:id="rId1"/>
  <rowBreaks count="4" manualBreakCount="4">
    <brk id="32" min="1" max="22" man="1"/>
    <brk id="54" min="1" max="22" man="1"/>
    <brk id="88" min="1" max="22" man="1"/>
    <brk id="109" min="1" max="22"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A40"/>
  <sheetViews>
    <sheetView zoomScalePageLayoutView="0" workbookViewId="0" topLeftCell="A1">
      <selection activeCell="A68" sqref="A68"/>
    </sheetView>
  </sheetViews>
  <sheetFormatPr defaultColWidth="8.796875" defaultRowHeight="15"/>
  <cols>
    <col min="1" max="1" width="132.3984375" style="0" customWidth="1"/>
  </cols>
  <sheetData>
    <row r="1" ht="15">
      <c r="A1" s="973" t="s">
        <v>1036</v>
      </c>
    </row>
    <row r="2" ht="15">
      <c r="A2" s="974"/>
    </row>
    <row r="3" ht="15">
      <c r="A3" s="974"/>
    </row>
    <row r="4" ht="15">
      <c r="A4" s="974"/>
    </row>
    <row r="5" ht="15">
      <c r="A5" s="974"/>
    </row>
    <row r="6" ht="15">
      <c r="A6" s="974"/>
    </row>
    <row r="7" ht="15">
      <c r="A7" s="974"/>
    </row>
    <row r="8" ht="15">
      <c r="A8" s="974"/>
    </row>
    <row r="9" ht="15">
      <c r="A9" s="974"/>
    </row>
    <row r="10" ht="15">
      <c r="A10" s="974"/>
    </row>
    <row r="11" ht="15">
      <c r="A11" s="974"/>
    </row>
    <row r="12" ht="15">
      <c r="A12" s="974"/>
    </row>
    <row r="13" ht="15">
      <c r="A13" s="974"/>
    </row>
    <row r="14" ht="15">
      <c r="A14" s="974"/>
    </row>
    <row r="15" ht="15">
      <c r="A15" s="974"/>
    </row>
    <row r="16" ht="15">
      <c r="A16" s="974"/>
    </row>
    <row r="17" ht="15">
      <c r="A17" s="974"/>
    </row>
    <row r="18" ht="15">
      <c r="A18" s="974"/>
    </row>
    <row r="19" ht="15">
      <c r="A19" s="974"/>
    </row>
    <row r="20" ht="15">
      <c r="A20" s="974"/>
    </row>
    <row r="21" ht="15">
      <c r="A21" s="974"/>
    </row>
    <row r="22" ht="15">
      <c r="A22" s="974"/>
    </row>
    <row r="23" ht="15">
      <c r="A23" s="974"/>
    </row>
    <row r="24" ht="15">
      <c r="A24" s="974"/>
    </row>
    <row r="25" ht="15">
      <c r="A25" s="974"/>
    </row>
    <row r="26" ht="15">
      <c r="A26" s="974"/>
    </row>
    <row r="27" ht="15">
      <c r="A27" s="974"/>
    </row>
    <row r="28" ht="15">
      <c r="A28" s="974"/>
    </row>
    <row r="29" ht="15">
      <c r="A29" s="974"/>
    </row>
    <row r="30" ht="15">
      <c r="A30" s="974"/>
    </row>
    <row r="31" ht="15">
      <c r="A31" s="974"/>
    </row>
    <row r="32" ht="15">
      <c r="A32" s="974"/>
    </row>
    <row r="33" ht="15">
      <c r="A33" s="974"/>
    </row>
    <row r="34" ht="15">
      <c r="A34" s="974"/>
    </row>
    <row r="35" ht="15">
      <c r="A35" s="974"/>
    </row>
    <row r="36" ht="15">
      <c r="A36" s="974"/>
    </row>
    <row r="37" ht="15">
      <c r="A37" s="974"/>
    </row>
    <row r="38" ht="15">
      <c r="A38" s="974"/>
    </row>
    <row r="39" ht="15">
      <c r="A39" s="974"/>
    </row>
    <row r="40" ht="15">
      <c r="A40" s="974"/>
    </row>
  </sheetData>
  <sheetProtection/>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40"/>
  <sheetViews>
    <sheetView zoomScalePageLayoutView="0" workbookViewId="0" topLeftCell="A1">
      <selection activeCell="N74" sqref="N74"/>
    </sheetView>
  </sheetViews>
  <sheetFormatPr defaultColWidth="8.796875" defaultRowHeight="15"/>
  <cols>
    <col min="1" max="1" width="71.19921875" style="1" customWidth="1"/>
    <col min="2" max="16384" width="8.8984375" style="1" customWidth="1"/>
  </cols>
  <sheetData>
    <row r="1" ht="16.5">
      <c r="A1" s="438" t="s">
        <v>693</v>
      </c>
    </row>
    <row r="3" ht="31.5">
      <c r="A3" s="439" t="s">
        <v>694</v>
      </c>
    </row>
    <row r="4" ht="15.75">
      <c r="A4" s="440" t="s">
        <v>695</v>
      </c>
    </row>
    <row r="7" ht="31.5">
      <c r="A7" s="439" t="s">
        <v>696</v>
      </c>
    </row>
    <row r="8" ht="15.75">
      <c r="A8" s="440" t="s">
        <v>697</v>
      </c>
    </row>
    <row r="11" ht="15.75">
      <c r="A11" s="1" t="s">
        <v>698</v>
      </c>
    </row>
    <row r="12" ht="15.75">
      <c r="A12" s="440" t="s">
        <v>699</v>
      </c>
    </row>
    <row r="15" ht="15.75">
      <c r="A15" s="1" t="s">
        <v>700</v>
      </c>
    </row>
    <row r="16" ht="15.75">
      <c r="A16" s="440" t="s">
        <v>701</v>
      </c>
    </row>
    <row r="19" ht="15.75">
      <c r="A19" s="1" t="s">
        <v>702</v>
      </c>
    </row>
    <row r="20" ht="15.75">
      <c r="A20" s="440" t="s">
        <v>703</v>
      </c>
    </row>
    <row r="23" ht="15.75">
      <c r="A23" s="1" t="s">
        <v>704</v>
      </c>
    </row>
    <row r="24" ht="15.75">
      <c r="A24" s="440" t="s">
        <v>705</v>
      </c>
    </row>
    <row r="27" ht="15.75">
      <c r="A27" s="1" t="s">
        <v>706</v>
      </c>
    </row>
    <row r="28" ht="15.75">
      <c r="A28" s="440" t="s">
        <v>707</v>
      </c>
    </row>
    <row r="31" ht="15.75">
      <c r="A31" s="1" t="s">
        <v>708</v>
      </c>
    </row>
    <row r="32" ht="15.75">
      <c r="A32" s="440" t="s">
        <v>709</v>
      </c>
    </row>
    <row r="35" ht="15.75">
      <c r="A35" s="1" t="s">
        <v>710</v>
      </c>
    </row>
    <row r="36" ht="15.75">
      <c r="A36" s="440" t="s">
        <v>711</v>
      </c>
    </row>
    <row r="39" ht="15.75">
      <c r="A39" s="1" t="s">
        <v>712</v>
      </c>
    </row>
    <row r="40" ht="15.75">
      <c r="A40" s="440" t="s">
        <v>713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51.xml><?xml version="1.0" encoding="utf-8"?>
<worksheet xmlns="http://schemas.openxmlformats.org/spreadsheetml/2006/main" xmlns:r="http://schemas.openxmlformats.org/officeDocument/2006/relationships">
  <dimension ref="A1:A259"/>
  <sheetViews>
    <sheetView zoomScalePageLayoutView="0" workbookViewId="0" topLeftCell="A1">
      <selection activeCell="E62" sqref="E62"/>
    </sheetView>
  </sheetViews>
  <sheetFormatPr defaultColWidth="8.796875" defaultRowHeight="15"/>
  <cols>
    <col min="1" max="1" width="84.19921875" style="18" customWidth="1"/>
    <col min="2" max="16384" width="8.8984375" style="18" customWidth="1"/>
  </cols>
  <sheetData>
    <row r="1" ht="15.75">
      <c r="A1" s="939" t="s">
        <v>1086</v>
      </c>
    </row>
    <row r="2" ht="15.75">
      <c r="A2" s="18" t="s">
        <v>1087</v>
      </c>
    </row>
    <row r="3" ht="15.75">
      <c r="A3" s="18" t="s">
        <v>1088</v>
      </c>
    </row>
    <row r="4" ht="15.75">
      <c r="A4" s="18" t="s">
        <v>1089</v>
      </c>
    </row>
    <row r="5" ht="15.75">
      <c r="A5" s="18" t="s">
        <v>1090</v>
      </c>
    </row>
    <row r="6" ht="15.75">
      <c r="A6" s="18" t="s">
        <v>1091</v>
      </c>
    </row>
    <row r="7" ht="15.75">
      <c r="A7" s="18" t="s">
        <v>1092</v>
      </c>
    </row>
    <row r="8" ht="15.75">
      <c r="A8" s="18" t="s">
        <v>1093</v>
      </c>
    </row>
    <row r="9" ht="15.75">
      <c r="A9" s="18" t="s">
        <v>1094</v>
      </c>
    </row>
    <row r="11" ht="15.75">
      <c r="A11" s="289" t="s">
        <v>1031</v>
      </c>
    </row>
    <row r="12" ht="15.75">
      <c r="A12" s="18" t="s">
        <v>1032</v>
      </c>
    </row>
    <row r="13" ht="15.75">
      <c r="A13" s="18" t="s">
        <v>1033</v>
      </c>
    </row>
    <row r="15" ht="15.75">
      <c r="A15" s="939" t="s">
        <v>1021</v>
      </c>
    </row>
    <row r="16" ht="15.75">
      <c r="A16" s="938" t="s">
        <v>1022</v>
      </c>
    </row>
    <row r="18" ht="15.75">
      <c r="A18" s="939" t="s">
        <v>1020</v>
      </c>
    </row>
    <row r="19" ht="15.75">
      <c r="A19" s="18" t="s">
        <v>1023</v>
      </c>
    </row>
    <row r="21" ht="15.75">
      <c r="A21" s="939" t="s">
        <v>1020</v>
      </c>
    </row>
    <row r="22" ht="15.75">
      <c r="A22" s="938" t="s">
        <v>1024</v>
      </c>
    </row>
    <row r="23" ht="15.75">
      <c r="A23" s="938" t="s">
        <v>1025</v>
      </c>
    </row>
    <row r="24" ht="15.75">
      <c r="A24" s="938" t="s">
        <v>1026</v>
      </c>
    </row>
    <row r="25" ht="15.75">
      <c r="A25" s="938" t="s">
        <v>1027</v>
      </c>
    </row>
    <row r="26" ht="15.75">
      <c r="A26" s="938" t="s">
        <v>1028</v>
      </c>
    </row>
    <row r="27" ht="15.75">
      <c r="A27" s="938" t="s">
        <v>1029</v>
      </c>
    </row>
    <row r="29" ht="15.75">
      <c r="A29" s="481" t="s">
        <v>1017</v>
      </c>
    </row>
    <row r="30" ht="15.75">
      <c r="A30" s="851" t="s">
        <v>1018</v>
      </c>
    </row>
    <row r="31" ht="15.75">
      <c r="A31" s="18" t="s">
        <v>1019</v>
      </c>
    </row>
    <row r="33" ht="15.75">
      <c r="A33" s="481" t="s">
        <v>1016</v>
      </c>
    </row>
    <row r="34" ht="15.75">
      <c r="A34" s="851" t="s">
        <v>1015</v>
      </c>
    </row>
    <row r="36" ht="15.75">
      <c r="A36" s="481" t="s">
        <v>991</v>
      </c>
    </row>
    <row r="37" ht="15.75">
      <c r="A37" s="851" t="s">
        <v>990</v>
      </c>
    </row>
    <row r="39" ht="15.75">
      <c r="A39" s="481" t="s">
        <v>988</v>
      </c>
    </row>
    <row r="40" ht="15.75">
      <c r="A40" s="851" t="s">
        <v>989</v>
      </c>
    </row>
    <row r="42" ht="15.75">
      <c r="A42" s="481" t="s">
        <v>971</v>
      </c>
    </row>
    <row r="43" ht="15.75">
      <c r="A43" s="18" t="s">
        <v>970</v>
      </c>
    </row>
    <row r="45" ht="15.75">
      <c r="A45" s="481" t="s">
        <v>972</v>
      </c>
    </row>
    <row r="46" ht="15.75">
      <c r="A46" s="836" t="s">
        <v>957</v>
      </c>
    </row>
    <row r="48" ht="15.75">
      <c r="A48" s="481" t="s">
        <v>973</v>
      </c>
    </row>
    <row r="49" ht="15.75">
      <c r="A49" s="18" t="s">
        <v>956</v>
      </c>
    </row>
    <row r="51" ht="15.75">
      <c r="A51" s="481" t="s">
        <v>974</v>
      </c>
    </row>
    <row r="52" ht="15.75">
      <c r="A52" s="18" t="s">
        <v>955</v>
      </c>
    </row>
    <row r="54" ht="15.75">
      <c r="A54" s="481" t="s">
        <v>975</v>
      </c>
    </row>
    <row r="55" ht="15.75">
      <c r="A55" s="809" t="s">
        <v>954</v>
      </c>
    </row>
    <row r="57" ht="15.75">
      <c r="A57" s="481" t="s">
        <v>976</v>
      </c>
    </row>
    <row r="58" ht="15.75">
      <c r="A58" s="18" t="s">
        <v>953</v>
      </c>
    </row>
    <row r="60" ht="15.75">
      <c r="A60" s="481" t="s">
        <v>977</v>
      </c>
    </row>
    <row r="61" ht="15.75">
      <c r="A61" s="825" t="s">
        <v>952</v>
      </c>
    </row>
    <row r="63" ht="15.75">
      <c r="A63" s="481" t="s">
        <v>978</v>
      </c>
    </row>
    <row r="64" ht="15.75">
      <c r="A64" s="18" t="s">
        <v>951</v>
      </c>
    </row>
    <row r="66" ht="15.75">
      <c r="A66" s="481" t="s">
        <v>979</v>
      </c>
    </row>
    <row r="67" ht="15.75">
      <c r="A67" s="809" t="s">
        <v>877</v>
      </c>
    </row>
    <row r="68" ht="15.75">
      <c r="A68" s="18" t="s">
        <v>878</v>
      </c>
    </row>
    <row r="69" ht="15.75">
      <c r="A69" s="18" t="s">
        <v>879</v>
      </c>
    </row>
    <row r="70" ht="15.75">
      <c r="A70" s="18" t="s">
        <v>880</v>
      </c>
    </row>
    <row r="71" ht="15.75">
      <c r="A71" s="18" t="s">
        <v>881</v>
      </c>
    </row>
    <row r="72" ht="15.75">
      <c r="A72" s="18" t="s">
        <v>882</v>
      </c>
    </row>
    <row r="73" ht="15.75">
      <c r="A73" s="18" t="s">
        <v>883</v>
      </c>
    </row>
    <row r="74" ht="15.75">
      <c r="A74" s="18" t="s">
        <v>884</v>
      </c>
    </row>
    <row r="75" ht="15.75">
      <c r="A75" s="18" t="s">
        <v>885</v>
      </c>
    </row>
    <row r="76" ht="15.75">
      <c r="A76" s="18" t="s">
        <v>886</v>
      </c>
    </row>
    <row r="77" ht="15.75">
      <c r="A77" s="18" t="s">
        <v>887</v>
      </c>
    </row>
    <row r="78" ht="15.75">
      <c r="A78" s="18" t="s">
        <v>888</v>
      </c>
    </row>
    <row r="79" ht="15.75">
      <c r="A79" s="18" t="s">
        <v>889</v>
      </c>
    </row>
    <row r="80" ht="15.75">
      <c r="A80" s="18" t="s">
        <v>890</v>
      </c>
    </row>
    <row r="81" ht="15.75">
      <c r="A81" s="18" t="s">
        <v>891</v>
      </c>
    </row>
    <row r="82" ht="15.75">
      <c r="A82" s="18" t="s">
        <v>892</v>
      </c>
    </row>
    <row r="83" ht="47.25">
      <c r="A83" s="20" t="s">
        <v>893</v>
      </c>
    </row>
    <row r="84" ht="15.75">
      <c r="A84" s="19" t="s">
        <v>894</v>
      </c>
    </row>
    <row r="85" ht="31.5">
      <c r="A85" s="20" t="s">
        <v>895</v>
      </c>
    </row>
    <row r="86" ht="15.75">
      <c r="A86" s="18" t="s">
        <v>896</v>
      </c>
    </row>
    <row r="87" ht="15.75">
      <c r="A87" s="18" t="s">
        <v>897</v>
      </c>
    </row>
    <row r="88" ht="15.75">
      <c r="A88" s="18" t="s">
        <v>898</v>
      </c>
    </row>
    <row r="89" ht="15.75">
      <c r="A89" s="18" t="s">
        <v>899</v>
      </c>
    </row>
    <row r="90" ht="15.75">
      <c r="A90" s="18" t="s">
        <v>900</v>
      </c>
    </row>
    <row r="91" ht="15.75">
      <c r="A91" s="18" t="s">
        <v>901</v>
      </c>
    </row>
    <row r="92" ht="15.75">
      <c r="A92" s="18" t="s">
        <v>902</v>
      </c>
    </row>
    <row r="93" ht="15.75">
      <c r="A93" s="18" t="s">
        <v>903</v>
      </c>
    </row>
    <row r="94" ht="15.75">
      <c r="A94" s="18" t="s">
        <v>904</v>
      </c>
    </row>
    <row r="95" ht="15.75">
      <c r="A95" s="18" t="s">
        <v>905</v>
      </c>
    </row>
    <row r="96" ht="15.75">
      <c r="A96" s="18" t="s">
        <v>906</v>
      </c>
    </row>
    <row r="97" ht="15.75">
      <c r="A97" s="18" t="s">
        <v>907</v>
      </c>
    </row>
    <row r="98" ht="15.75">
      <c r="A98" s="18" t="s">
        <v>908</v>
      </c>
    </row>
    <row r="99" ht="15.75">
      <c r="A99" s="18" t="s">
        <v>909</v>
      </c>
    </row>
    <row r="100" ht="15.75">
      <c r="A100" s="18" t="s">
        <v>910</v>
      </c>
    </row>
    <row r="101" ht="15.75">
      <c r="A101" s="18" t="s">
        <v>911</v>
      </c>
    </row>
    <row r="102" ht="15.75">
      <c r="A102" s="18" t="s">
        <v>912</v>
      </c>
    </row>
    <row r="103" ht="15.75">
      <c r="A103" s="18" t="s">
        <v>913</v>
      </c>
    </row>
    <row r="104" ht="37.5" customHeight="1">
      <c r="A104" s="20" t="s">
        <v>947</v>
      </c>
    </row>
    <row r="106" ht="15.75">
      <c r="A106" s="481" t="s">
        <v>980</v>
      </c>
    </row>
    <row r="107" ht="15.75">
      <c r="A107" s="461" t="s">
        <v>784</v>
      </c>
    </row>
    <row r="109" ht="15.75">
      <c r="A109" s="481" t="s">
        <v>981</v>
      </c>
    </row>
    <row r="110" ht="15.75">
      <c r="A110" s="18" t="s">
        <v>783</v>
      </c>
    </row>
    <row r="112" ht="15.75">
      <c r="A112" s="481" t="s">
        <v>982</v>
      </c>
    </row>
    <row r="113" ht="15.75">
      <c r="A113" s="461" t="s">
        <v>718</v>
      </c>
    </row>
    <row r="114" ht="15.75">
      <c r="A114" s="461" t="s">
        <v>719</v>
      </c>
    </row>
    <row r="115" ht="31.5">
      <c r="A115" s="444" t="s">
        <v>743</v>
      </c>
    </row>
    <row r="116" ht="15.75">
      <c r="A116" s="461" t="s">
        <v>720</v>
      </c>
    </row>
    <row r="117" ht="15.75">
      <c r="A117" s="461" t="s">
        <v>721</v>
      </c>
    </row>
    <row r="118" ht="15.75">
      <c r="A118" s="461" t="s">
        <v>722</v>
      </c>
    </row>
    <row r="119" ht="15.75">
      <c r="A119" s="461" t="s">
        <v>723</v>
      </c>
    </row>
    <row r="120" ht="15.75">
      <c r="A120" s="461" t="s">
        <v>724</v>
      </c>
    </row>
    <row r="121" ht="15.75">
      <c r="A121" s="461" t="s">
        <v>725</v>
      </c>
    </row>
    <row r="122" ht="15.75">
      <c r="A122" s="461" t="s">
        <v>726</v>
      </c>
    </row>
    <row r="123" ht="15.75">
      <c r="A123" s="461" t="s">
        <v>727</v>
      </c>
    </row>
    <row r="124" ht="15.75">
      <c r="A124" s="461" t="s">
        <v>728</v>
      </c>
    </row>
    <row r="125" ht="15.75">
      <c r="A125" s="461" t="s">
        <v>729</v>
      </c>
    </row>
    <row r="126" ht="15.75">
      <c r="A126" s="461" t="s">
        <v>730</v>
      </c>
    </row>
    <row r="127" ht="15.75">
      <c r="A127" s="461" t="s">
        <v>731</v>
      </c>
    </row>
    <row r="128" ht="15.75">
      <c r="A128" s="461" t="s">
        <v>732</v>
      </c>
    </row>
    <row r="129" ht="15.75">
      <c r="A129" s="461" t="s">
        <v>733</v>
      </c>
    </row>
    <row r="130" ht="15.75">
      <c r="A130" s="461" t="s">
        <v>734</v>
      </c>
    </row>
    <row r="131" ht="15.75">
      <c r="A131" s="461" t="s">
        <v>735</v>
      </c>
    </row>
    <row r="132" ht="15.75">
      <c r="A132" s="461" t="s">
        <v>736</v>
      </c>
    </row>
    <row r="133" ht="15.75">
      <c r="A133" s="461" t="s">
        <v>737</v>
      </c>
    </row>
    <row r="134" ht="15.75">
      <c r="A134" s="461" t="s">
        <v>738</v>
      </c>
    </row>
    <row r="135" ht="15.75">
      <c r="A135" s="461" t="s">
        <v>739</v>
      </c>
    </row>
    <row r="136" ht="15.75">
      <c r="A136" s="461" t="s">
        <v>740</v>
      </c>
    </row>
    <row r="137" ht="15.75">
      <c r="A137" s="461" t="s">
        <v>741</v>
      </c>
    </row>
    <row r="138" ht="15.75">
      <c r="A138" s="461" t="s">
        <v>742</v>
      </c>
    </row>
    <row r="139" ht="15.75">
      <c r="A139" s="461" t="s">
        <v>751</v>
      </c>
    </row>
    <row r="140" ht="15.75">
      <c r="A140" s="461" t="s">
        <v>752</v>
      </c>
    </row>
    <row r="141" ht="15.75">
      <c r="A141" s="461" t="s">
        <v>753</v>
      </c>
    </row>
    <row r="142" ht="15.75">
      <c r="A142" s="461" t="s">
        <v>754</v>
      </c>
    </row>
    <row r="143" ht="15.75">
      <c r="A143" s="461" t="s">
        <v>755</v>
      </c>
    </row>
    <row r="144" ht="15.75">
      <c r="A144" s="461" t="s">
        <v>756</v>
      </c>
    </row>
    <row r="145" ht="15.75">
      <c r="A145" s="461" t="s">
        <v>757</v>
      </c>
    </row>
    <row r="146" ht="15.75">
      <c r="A146" s="461" t="s">
        <v>763</v>
      </c>
    </row>
    <row r="147" ht="15.75">
      <c r="A147" s="461" t="s">
        <v>770</v>
      </c>
    </row>
    <row r="149" ht="15.75">
      <c r="A149" s="314" t="s">
        <v>983</v>
      </c>
    </row>
    <row r="150" ht="15.75">
      <c r="A150" s="18" t="s">
        <v>621</v>
      </c>
    </row>
    <row r="151" ht="15.75">
      <c r="A151" s="18" t="s">
        <v>622</v>
      </c>
    </row>
    <row r="152" ht="15.75">
      <c r="A152" s="18" t="s">
        <v>623</v>
      </c>
    </row>
    <row r="154" ht="15.75">
      <c r="A154" s="314" t="s">
        <v>984</v>
      </c>
    </row>
    <row r="155" ht="15.75">
      <c r="A155" s="18" t="s">
        <v>620</v>
      </c>
    </row>
    <row r="157" ht="15.75">
      <c r="A157" s="314" t="s">
        <v>985</v>
      </c>
    </row>
    <row r="158" ht="15.75">
      <c r="A158" s="313" t="s">
        <v>391</v>
      </c>
    </row>
    <row r="159" ht="15.75">
      <c r="A159" s="313" t="s">
        <v>392</v>
      </c>
    </row>
    <row r="160" ht="15.75">
      <c r="A160" s="313" t="s">
        <v>393</v>
      </c>
    </row>
    <row r="161" ht="15.75">
      <c r="A161" s="18" t="s">
        <v>610</v>
      </c>
    </row>
    <row r="163" ht="15.75">
      <c r="A163" s="289" t="s">
        <v>986</v>
      </c>
    </row>
    <row r="164" ht="15.75">
      <c r="A164" s="293" t="s">
        <v>371</v>
      </c>
    </row>
    <row r="165" ht="15.75">
      <c r="A165" s="18" t="s">
        <v>372</v>
      </c>
    </row>
    <row r="166" ht="15.75">
      <c r="A166" s="18" t="s">
        <v>373</v>
      </c>
    </row>
    <row r="167" ht="21.75" customHeight="1">
      <c r="A167" s="20" t="s">
        <v>374</v>
      </c>
    </row>
    <row r="168" ht="15.75">
      <c r="A168" s="18" t="s">
        <v>375</v>
      </c>
    </row>
    <row r="169" ht="15.75">
      <c r="A169" s="18" t="s">
        <v>376</v>
      </c>
    </row>
    <row r="170" ht="15.75">
      <c r="A170" s="18" t="s">
        <v>377</v>
      </c>
    </row>
    <row r="171" ht="15.75">
      <c r="A171" s="18" t="s">
        <v>378</v>
      </c>
    </row>
    <row r="172" ht="15.75">
      <c r="A172" s="18" t="s">
        <v>379</v>
      </c>
    </row>
    <row r="173" ht="15.75">
      <c r="A173" s="18" t="s">
        <v>380</v>
      </c>
    </row>
    <row r="174" ht="15.75">
      <c r="A174" s="18" t="s">
        <v>381</v>
      </c>
    </row>
    <row r="176" ht="15.75">
      <c r="A176" s="289" t="s">
        <v>987</v>
      </c>
    </row>
    <row r="177" ht="15.75">
      <c r="A177" s="18" t="s">
        <v>320</v>
      </c>
    </row>
    <row r="179" ht="15.75">
      <c r="A179" s="289" t="s">
        <v>318</v>
      </c>
    </row>
    <row r="180" ht="15.75">
      <c r="A180" s="18" t="s">
        <v>319</v>
      </c>
    </row>
    <row r="182" ht="15.75">
      <c r="A182" s="289" t="s">
        <v>315</v>
      </c>
    </row>
    <row r="183" ht="15.75">
      <c r="A183" s="18" t="s">
        <v>316</v>
      </c>
    </row>
    <row r="184" ht="15.75">
      <c r="A184" s="18" t="s">
        <v>317</v>
      </c>
    </row>
    <row r="186" ht="15.75">
      <c r="A186" s="289" t="s">
        <v>61</v>
      </c>
    </row>
    <row r="187" ht="15.75">
      <c r="A187" s="18" t="s">
        <v>46</v>
      </c>
    </row>
    <row r="188" ht="15.75">
      <c r="A188" s="18" t="s">
        <v>47</v>
      </c>
    </row>
    <row r="189" ht="15.75">
      <c r="A189" s="18" t="s">
        <v>48</v>
      </c>
    </row>
    <row r="190" ht="15.75">
      <c r="A190" s="18" t="s">
        <v>55</v>
      </c>
    </row>
    <row r="191" ht="15.75">
      <c r="A191" s="18" t="s">
        <v>49</v>
      </c>
    </row>
    <row r="192" ht="15.75">
      <c r="A192" s="18" t="s">
        <v>50</v>
      </c>
    </row>
    <row r="193" ht="31.5">
      <c r="A193" s="20" t="s">
        <v>56</v>
      </c>
    </row>
    <row r="194" ht="31.5">
      <c r="A194" s="20" t="s">
        <v>51</v>
      </c>
    </row>
    <row r="195" ht="15.75">
      <c r="A195" s="20" t="s">
        <v>52</v>
      </c>
    </row>
    <row r="196" ht="15.75">
      <c r="A196" s="20" t="s">
        <v>53</v>
      </c>
    </row>
    <row r="197" ht="31.5">
      <c r="A197" s="20" t="s">
        <v>308</v>
      </c>
    </row>
    <row r="198" ht="15.75">
      <c r="A198" s="18" t="s">
        <v>309</v>
      </c>
    </row>
    <row r="199" ht="15.75">
      <c r="A199" s="20" t="s">
        <v>54</v>
      </c>
    </row>
    <row r="200" ht="15.75">
      <c r="A200" s="18" t="s">
        <v>58</v>
      </c>
    </row>
    <row r="201" ht="15.75">
      <c r="A201" s="18" t="s">
        <v>59</v>
      </c>
    </row>
    <row r="202" ht="15.75">
      <c r="A202" s="18" t="s">
        <v>60</v>
      </c>
    </row>
    <row r="203" ht="31.5">
      <c r="A203" s="20" t="s">
        <v>307</v>
      </c>
    </row>
    <row r="204" ht="15.75">
      <c r="A204" s="18" t="s">
        <v>306</v>
      </c>
    </row>
    <row r="205" ht="31.5">
      <c r="A205" s="20" t="s">
        <v>305</v>
      </c>
    </row>
    <row r="206" ht="15.75">
      <c r="A206" s="18" t="s">
        <v>310</v>
      </c>
    </row>
    <row r="208" ht="15.75">
      <c r="A208" s="289" t="s">
        <v>65</v>
      </c>
    </row>
    <row r="209" ht="15.75">
      <c r="A209" s="18" t="s">
        <v>66</v>
      </c>
    </row>
    <row r="210" ht="15.75">
      <c r="A210" s="18" t="s">
        <v>67</v>
      </c>
    </row>
    <row r="211" ht="15.75">
      <c r="A211" s="18" t="s">
        <v>68</v>
      </c>
    </row>
    <row r="212" ht="15.75">
      <c r="A212" s="18" t="s">
        <v>57</v>
      </c>
    </row>
    <row r="215" ht="15.75">
      <c r="A215" s="289" t="s">
        <v>42</v>
      </c>
    </row>
    <row r="216" ht="15.75">
      <c r="A216" s="18" t="s">
        <v>43</v>
      </c>
    </row>
    <row r="218" ht="15.75">
      <c r="A218" s="289" t="s">
        <v>35</v>
      </c>
    </row>
    <row r="219" ht="15.75">
      <c r="A219" s="18" t="s">
        <v>36</v>
      </c>
    </row>
    <row r="220" ht="15.75">
      <c r="A220" s="18" t="s">
        <v>37</v>
      </c>
    </row>
    <row r="221" ht="31.5">
      <c r="A221" s="20" t="s">
        <v>38</v>
      </c>
    </row>
    <row r="222" ht="15.75">
      <c r="A222" s="18" t="s">
        <v>39</v>
      </c>
    </row>
    <row r="223" ht="15.75">
      <c r="A223" s="18" t="s">
        <v>40</v>
      </c>
    </row>
    <row r="224" ht="15.75">
      <c r="A224" s="18" t="s">
        <v>41</v>
      </c>
    </row>
    <row r="226" ht="18" customHeight="1">
      <c r="A226" s="289" t="s">
        <v>278</v>
      </c>
    </row>
    <row r="227" ht="48.75" customHeight="1">
      <c r="A227" s="20" t="s">
        <v>311</v>
      </c>
    </row>
    <row r="228" ht="15.75">
      <c r="A228" s="18" t="s">
        <v>279</v>
      </c>
    </row>
    <row r="229" ht="15.75">
      <c r="A229" s="18" t="s">
        <v>280</v>
      </c>
    </row>
    <row r="230" ht="15.75">
      <c r="A230" s="18" t="s">
        <v>312</v>
      </c>
    </row>
    <row r="231" ht="15.75">
      <c r="A231" s="18" t="s">
        <v>281</v>
      </c>
    </row>
    <row r="232" ht="15.75">
      <c r="A232" s="18" t="s">
        <v>282</v>
      </c>
    </row>
    <row r="233" ht="15.75">
      <c r="A233" s="18" t="s">
        <v>6</v>
      </c>
    </row>
    <row r="234" ht="15.75">
      <c r="A234" s="18" t="s">
        <v>283</v>
      </c>
    </row>
    <row r="235" ht="15.75">
      <c r="A235" s="18" t="s">
        <v>284</v>
      </c>
    </row>
    <row r="236" ht="31.5">
      <c r="A236" s="20" t="s">
        <v>285</v>
      </c>
    </row>
    <row r="237" ht="31.5">
      <c r="A237" s="20" t="s">
        <v>14</v>
      </c>
    </row>
    <row r="238" ht="15.75">
      <c r="A238" s="18" t="s">
        <v>286</v>
      </c>
    </row>
    <row r="239" ht="15.75">
      <c r="A239" s="18" t="s">
        <v>287</v>
      </c>
    </row>
    <row r="240" ht="15.75">
      <c r="A240" s="18" t="s">
        <v>313</v>
      </c>
    </row>
    <row r="241" ht="15.75">
      <c r="A241" s="18" t="s">
        <v>288</v>
      </c>
    </row>
    <row r="242" ht="15.75">
      <c r="A242" s="18" t="s">
        <v>0</v>
      </c>
    </row>
    <row r="243" ht="31.5">
      <c r="A243" s="20" t="s">
        <v>1</v>
      </c>
    </row>
    <row r="244" ht="15.75">
      <c r="A244" s="18" t="s">
        <v>297</v>
      </c>
    </row>
    <row r="245" ht="15.75">
      <c r="A245" s="18" t="s">
        <v>298</v>
      </c>
    </row>
    <row r="246" ht="31.5">
      <c r="A246" s="20" t="s">
        <v>299</v>
      </c>
    </row>
    <row r="247" ht="15.75">
      <c r="A247" s="18" t="s">
        <v>22</v>
      </c>
    </row>
    <row r="248" ht="15.75">
      <c r="A248" s="18" t="s">
        <v>23</v>
      </c>
    </row>
    <row r="249" ht="15.75">
      <c r="A249" s="18" t="s">
        <v>24</v>
      </c>
    </row>
    <row r="250" ht="15.75">
      <c r="A250" s="18" t="s">
        <v>25</v>
      </c>
    </row>
    <row r="251" ht="15.75">
      <c r="A251" s="18" t="s">
        <v>26</v>
      </c>
    </row>
    <row r="252" ht="15.75">
      <c r="A252" s="18" t="s">
        <v>27</v>
      </c>
    </row>
    <row r="253" ht="15.75">
      <c r="A253" s="18" t="s">
        <v>28</v>
      </c>
    </row>
    <row r="254" ht="15.75">
      <c r="A254" s="18" t="s">
        <v>29</v>
      </c>
    </row>
    <row r="255" ht="15.75">
      <c r="A255" s="18" t="s">
        <v>30</v>
      </c>
    </row>
    <row r="256" ht="15.75">
      <c r="A256" s="18" t="s">
        <v>32</v>
      </c>
    </row>
    <row r="257" ht="15.75">
      <c r="A257" s="18" t="s">
        <v>33</v>
      </c>
    </row>
    <row r="258" ht="15.75">
      <c r="A258" s="18" t="s">
        <v>34</v>
      </c>
    </row>
    <row r="259" ht="15.75">
      <c r="A259" s="18" t="s">
        <v>31</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1:K103"/>
  <sheetViews>
    <sheetView zoomScalePageLayoutView="0" workbookViewId="0" topLeftCell="A1">
      <selection activeCell="M54" sqref="M54"/>
    </sheetView>
  </sheetViews>
  <sheetFormatPr defaultColWidth="8.796875" defaultRowHeight="15"/>
  <cols>
    <col min="1" max="1" width="8.8984375" style="70" customWidth="1"/>
    <col min="2" max="2" width="24.296875" style="30" customWidth="1"/>
    <col min="3" max="3" width="10.796875" style="30" customWidth="1"/>
    <col min="4" max="4" width="5.796875" style="30" customWidth="1"/>
    <col min="5" max="5" width="14" style="30" customWidth="1"/>
    <col min="6" max="6" width="13.296875" style="30" customWidth="1"/>
    <col min="7" max="7" width="12.296875" style="30" customWidth="1"/>
    <col min="8" max="10" width="8.8984375" style="70" customWidth="1"/>
    <col min="11" max="11" width="12" style="70" bestFit="1" customWidth="1"/>
    <col min="12" max="16384" width="8.8984375" style="70" customWidth="1"/>
  </cols>
  <sheetData>
    <row r="1" spans="2:9" ht="15.75">
      <c r="B1" s="32"/>
      <c r="C1" s="32"/>
      <c r="D1" s="31" t="s">
        <v>164</v>
      </c>
      <c r="E1" s="32"/>
      <c r="F1" s="32"/>
      <c r="G1" s="94"/>
      <c r="I1" s="18">
        <f>inputPrYr!C6</f>
        <v>0</v>
      </c>
    </row>
    <row r="2" spans="2:7" ht="15.75">
      <c r="B2" s="1115" t="str">
        <f>CONCATENATE("To the Clerk of ",(inputPrYr!D4),", State of Kansas")</f>
        <v>To the Clerk of , State of Kansas</v>
      </c>
      <c r="C2" s="1094"/>
      <c r="D2" s="1094"/>
      <c r="E2" s="1094"/>
      <c r="F2" s="1094"/>
      <c r="G2" s="1094"/>
    </row>
    <row r="3" spans="2:7" ht="15.75">
      <c r="B3" s="96" t="s">
        <v>624</v>
      </c>
      <c r="C3" s="37"/>
      <c r="D3" s="37"/>
      <c r="E3" s="37"/>
      <c r="F3" s="37"/>
      <c r="G3" s="37"/>
    </row>
    <row r="4" spans="2:7" ht="15.75">
      <c r="B4" s="1093">
        <f>(inputPrYr!D3)</f>
        <v>0</v>
      </c>
      <c r="C4" s="1114"/>
      <c r="D4" s="1114"/>
      <c r="E4" s="1114"/>
      <c r="F4" s="1114"/>
      <c r="G4" s="1114"/>
    </row>
    <row r="5" spans="2:7" ht="15.75">
      <c r="B5" s="96" t="s">
        <v>77</v>
      </c>
      <c r="C5" s="37"/>
      <c r="D5" s="37"/>
      <c r="E5" s="37"/>
      <c r="F5" s="37"/>
      <c r="G5" s="37"/>
    </row>
    <row r="6" spans="2:7" ht="15.75">
      <c r="B6" s="96" t="s">
        <v>78</v>
      </c>
      <c r="C6" s="37"/>
      <c r="D6" s="37"/>
      <c r="E6" s="37"/>
      <c r="F6" s="37"/>
      <c r="G6" s="37"/>
    </row>
    <row r="7" spans="2:7" ht="15.75">
      <c r="B7" s="96" t="str">
        <f>CONCATENATE("maximum expenditures for the various funds for the year ",I1,"; and")</f>
        <v>maximum expenditures for the various funds for the year 0; and</v>
      </c>
      <c r="C7" s="37"/>
      <c r="D7" s="37"/>
      <c r="E7" s="37"/>
      <c r="F7" s="37"/>
      <c r="G7" s="37"/>
    </row>
    <row r="8" spans="2:7" ht="15.75">
      <c r="B8" s="96" t="str">
        <f>CONCATENATE("(3) the Amounts(s) of ",I1-1," Ad Valorem Tax are within statutory limitations.")</f>
        <v>(3) the Amounts(s) of -1 Ad Valorem Tax are within statutory limitations.</v>
      </c>
      <c r="C8" s="37"/>
      <c r="D8" s="37"/>
      <c r="E8" s="37"/>
      <c r="F8" s="37"/>
      <c r="G8" s="37"/>
    </row>
    <row r="9" spans="2:7" ht="15.75">
      <c r="B9" s="32"/>
      <c r="C9" s="32"/>
      <c r="D9" s="32"/>
      <c r="E9" s="97" t="str">
        <f>CONCATENATE("",I1," Adopted Budget")</f>
        <v>0 Adopted Budget</v>
      </c>
      <c r="F9" s="98"/>
      <c r="G9" s="99"/>
    </row>
    <row r="10" spans="2:7" ht="21" customHeight="1">
      <c r="B10" s="32"/>
      <c r="C10" s="32"/>
      <c r="D10" s="100"/>
      <c r="E10" s="101" t="s">
        <v>79</v>
      </c>
      <c r="F10" s="102" t="str">
        <f>CONCATENATE("Amount of ",I1-1,"")</f>
        <v>Amount of -1</v>
      </c>
      <c r="G10" s="102" t="s">
        <v>80</v>
      </c>
    </row>
    <row r="11" spans="2:7" ht="15.75">
      <c r="B11" s="33"/>
      <c r="C11" s="32"/>
      <c r="D11" s="102" t="s">
        <v>81</v>
      </c>
      <c r="E11" s="388" t="s">
        <v>9</v>
      </c>
      <c r="F11" s="104" t="s">
        <v>252</v>
      </c>
      <c r="G11" s="103" t="s">
        <v>82</v>
      </c>
    </row>
    <row r="12" spans="2:7" ht="15.75">
      <c r="B12" s="105" t="s">
        <v>83</v>
      </c>
      <c r="C12" s="47"/>
      <c r="D12" s="106" t="s">
        <v>84</v>
      </c>
      <c r="E12" s="389" t="s">
        <v>639</v>
      </c>
      <c r="F12" s="107" t="s">
        <v>253</v>
      </c>
      <c r="G12" s="106" t="s">
        <v>85</v>
      </c>
    </row>
    <row r="13" spans="2:7" ht="15.75">
      <c r="B13" s="108" t="str">
        <f>CONCATENATE("Computation to Determine Limit for ",I1,"")</f>
        <v>Computation to Determine Limit for 0</v>
      </c>
      <c r="C13" s="60"/>
      <c r="D13" s="109">
        <v>2</v>
      </c>
      <c r="E13" s="110"/>
      <c r="F13" s="110"/>
      <c r="G13" s="110"/>
    </row>
    <row r="14" spans="2:7" ht="15.75">
      <c r="B14" s="108" t="s">
        <v>871</v>
      </c>
      <c r="C14" s="47"/>
      <c r="D14" s="106">
        <v>3</v>
      </c>
      <c r="E14" s="103"/>
      <c r="F14" s="103"/>
      <c r="G14" s="103"/>
    </row>
    <row r="15" spans="2:7" ht="15.75">
      <c r="B15" s="108" t="s">
        <v>216</v>
      </c>
      <c r="C15" s="47"/>
      <c r="D15" s="106">
        <v>4</v>
      </c>
      <c r="E15" s="103"/>
      <c r="F15" s="103"/>
      <c r="G15" s="103"/>
    </row>
    <row r="16" spans="2:7" ht="15.75">
      <c r="B16" s="108" t="s">
        <v>86</v>
      </c>
      <c r="C16" s="60"/>
      <c r="D16" s="109">
        <v>5</v>
      </c>
      <c r="E16" s="111"/>
      <c r="F16" s="111"/>
      <c r="G16" s="111"/>
    </row>
    <row r="17" spans="2:7" ht="15.75">
      <c r="B17" s="108" t="s">
        <v>87</v>
      </c>
      <c r="C17" s="60"/>
      <c r="D17" s="109">
        <v>6</v>
      </c>
      <c r="E17" s="111"/>
      <c r="F17" s="111"/>
      <c r="G17" s="111"/>
    </row>
    <row r="18" spans="2:7" ht="15.75">
      <c r="B18" s="228">
        <f>IF(inputPrYr!D24&gt;0,"Computation to Determine State Library Grant","")</f>
      </c>
      <c r="C18" s="60"/>
      <c r="D18" s="109">
        <f>IF(inputPrYr!D24&gt;0,'Library Grant'!F40,"")</f>
      </c>
      <c r="E18" s="111"/>
      <c r="F18" s="111"/>
      <c r="G18" s="111"/>
    </row>
    <row r="19" spans="2:7" ht="15.75">
      <c r="B19" s="112" t="s">
        <v>88</v>
      </c>
      <c r="C19" s="113" t="s">
        <v>89</v>
      </c>
      <c r="D19" s="114"/>
      <c r="E19" s="115"/>
      <c r="F19" s="115"/>
      <c r="G19" s="115"/>
    </row>
    <row r="20" spans="2:11" ht="15.75">
      <c r="B20" s="41" t="s">
        <v>72</v>
      </c>
      <c r="C20" s="116" t="str">
        <f>IF(inputPrYr!C22&gt;0,(inputPrYr!C22),"  ")</f>
        <v>12-101a</v>
      </c>
      <c r="D20" s="109">
        <f>general!C60</f>
        <v>7</v>
      </c>
      <c r="E20" s="787" t="str">
        <f>IF(general!$E$110&lt;&gt;0,general!$E$110,"  ")</f>
        <v>  </v>
      </c>
      <c r="F20" s="800">
        <f>IF(general!$E$117&lt;&gt;0,general!$E$117,0)</f>
        <v>0</v>
      </c>
      <c r="G20" s="789">
        <f>IF($G$57=0,"",ROUND(F20/$G$57*1000,3))</f>
      </c>
      <c r="K20" s="940"/>
    </row>
    <row r="21" spans="2:7" ht="15.75">
      <c r="B21" s="41" t="s">
        <v>44</v>
      </c>
      <c r="C21" s="116" t="str">
        <f>IF(inputPrYr!C23&gt;0,(inputPrYr!C23),"  ")</f>
        <v>10-113</v>
      </c>
      <c r="D21" s="109" t="str">
        <f>IF(DebtService!C66&gt;0,DebtService!C66,"  ")</f>
        <v>  </v>
      </c>
      <c r="E21" s="787" t="str">
        <f>IF(DebtService!E53&lt;&gt;0,DebtService!E53,"  ")</f>
        <v>  </v>
      </c>
      <c r="F21" s="800">
        <f>IF(DebtService!$E$60&lt;&gt;0,DebtService!$E$60,0)</f>
        <v>0</v>
      </c>
      <c r="G21" s="789">
        <f aca="true" t="shared" si="0" ref="G21:G32">IF($G$57=0,"",ROUND(F21/$G$57*1000,3))</f>
      </c>
    </row>
    <row r="22" spans="2:7" ht="15.75">
      <c r="B22" s="58" t="str">
        <f>IF(inputPrYr!$B24&gt;"  ",(inputPrYr!$B24),"  ")</f>
        <v>Library</v>
      </c>
      <c r="C22" s="116" t="str">
        <f>IF(inputPrYr!C24&gt;0,(inputPrYr!C24),"  ")</f>
        <v>12-1220</v>
      </c>
      <c r="D22" s="109" t="str">
        <f>IF('Library-Rec'!C86&gt;0,'Library-Rec'!C86,"  ")</f>
        <v>  </v>
      </c>
      <c r="E22" s="787" t="str">
        <f>IF('Library-Rec'!E33&lt;&gt;0,'Library-Rec'!E33,"  ")</f>
        <v>  </v>
      </c>
      <c r="F22" s="800">
        <f>IF('Library-Rec'!$E$40&lt;&gt;0,'Library-Rec'!$E$40,0)</f>
        <v>0</v>
      </c>
      <c r="G22" s="789">
        <f t="shared" si="0"/>
      </c>
    </row>
    <row r="23" spans="2:7" ht="15.75">
      <c r="B23" s="58" t="str">
        <f>IF(inputPrYr!$B26&gt;"  ",(inputPrYr!$B26),"  ")</f>
        <v>  </v>
      </c>
      <c r="C23" s="116" t="str">
        <f>IF(inputPrYr!C26&gt;0,(inputPrYr!C26),"  ")</f>
        <v>  </v>
      </c>
      <c r="D23" s="109" t="str">
        <f>IF('levy page9'!C82&gt;0,'levy page9'!C82,"  ")</f>
        <v>  </v>
      </c>
      <c r="E23" s="787" t="str">
        <f>IF('levy page9'!$E$31&gt;0,'levy page9'!$E$31,"  ")</f>
        <v>  </v>
      </c>
      <c r="F23" s="800">
        <f>IF('levy page9'!$E$38&lt;&gt;0,'levy page9'!$E$38,0)</f>
        <v>0</v>
      </c>
      <c r="G23" s="789">
        <f t="shared" si="0"/>
      </c>
    </row>
    <row r="24" spans="2:7" ht="15.75">
      <c r="B24" s="58" t="str">
        <f>IF(inputPrYr!$B27&gt;"  ",(inputPrYr!$B27),"  ")</f>
        <v>  </v>
      </c>
      <c r="C24" s="116" t="str">
        <f>IF(inputPrYr!C27&gt;0,(inputPrYr!C27),"  ")</f>
        <v>  </v>
      </c>
      <c r="D24" s="109" t="str">
        <f>IF('levy page9'!C82&gt;0,'levy page9'!C82,"  ")</f>
        <v>  </v>
      </c>
      <c r="E24" s="787" t="str">
        <f>IF('levy page9'!$E$70&gt;0,'levy page9'!$E$70,"  ")</f>
        <v>  </v>
      </c>
      <c r="F24" s="800">
        <f>IF('levy page9'!$E$77&lt;&gt;0,'levy page9'!$E$77,0)</f>
        <v>0</v>
      </c>
      <c r="G24" s="789">
        <f t="shared" si="0"/>
      </c>
    </row>
    <row r="25" spans="2:7" ht="15.75">
      <c r="B25" s="58" t="str">
        <f>IF(inputPrYr!$B28&gt;"  ",(inputPrYr!$B28),"  ")</f>
        <v>  </v>
      </c>
      <c r="C25" s="116" t="str">
        <f>IF(inputPrYr!C28&gt;0,(inputPrYr!C28),"  ")</f>
        <v>  </v>
      </c>
      <c r="D25" s="109" t="str">
        <f>IF('levy page10'!C86&gt;0,'levy page10'!C86,"  ")</f>
        <v>  </v>
      </c>
      <c r="E25" s="787" t="str">
        <f>IF('levy page10'!$E$32&gt;0,'levy page10'!$E$32,"  ")</f>
        <v>  </v>
      </c>
      <c r="F25" s="800">
        <f>IF('levy page10'!$E$39&lt;&gt;0,'levy page10'!$E$39,0)</f>
        <v>0</v>
      </c>
      <c r="G25" s="789">
        <f t="shared" si="0"/>
      </c>
    </row>
    <row r="26" spans="2:7" ht="15.75">
      <c r="B26" s="58" t="str">
        <f>IF(inputPrYr!$B29&gt;"  ",(inputPrYr!$B29),"  ")</f>
        <v>  </v>
      </c>
      <c r="C26" s="116" t="str">
        <f>IF(inputPrYr!C29&gt;0,(inputPrYr!C29),"  ")</f>
        <v>  </v>
      </c>
      <c r="D26" s="109" t="str">
        <f>IF('levy page10'!C86&gt;0,'levy page10'!C86,"  ")</f>
        <v>  </v>
      </c>
      <c r="E26" s="787" t="str">
        <f>IF('levy page10'!$E$73&gt;0,'levy page10'!$E$73,"  ")</f>
        <v>  </v>
      </c>
      <c r="F26" s="800">
        <f>IF('levy page10'!$E$80&lt;&gt;0,'levy page10'!$E$80,0)</f>
        <v>0</v>
      </c>
      <c r="G26" s="789">
        <f t="shared" si="0"/>
      </c>
    </row>
    <row r="27" spans="2:7" ht="15.75">
      <c r="B27" s="58" t="str">
        <f>IF(inputPrYr!$B30&gt;"  ",(inputPrYr!$B30),"  ")</f>
        <v>  </v>
      </c>
      <c r="C27" s="116" t="str">
        <f>IF(inputPrYr!C30&gt;0,(inputPrYr!C30),"  ")</f>
        <v>  </v>
      </c>
      <c r="D27" s="109" t="str">
        <f>IF('levy page11'!C82&gt;0,'levy page11'!C82,"  ")</f>
        <v>  </v>
      </c>
      <c r="E27" s="787" t="str">
        <f>IF('levy page11'!$E$32&gt;0,'levy page11'!$E$32,"  ")</f>
        <v>  </v>
      </c>
      <c r="F27" s="800">
        <f>IF('levy page11'!$E$39&lt;&gt;0,'levy page11'!$E$39,0)</f>
        <v>0</v>
      </c>
      <c r="G27" s="789">
        <f t="shared" si="0"/>
      </c>
    </row>
    <row r="28" spans="2:7" ht="15.75">
      <c r="B28" s="58" t="str">
        <f>IF(inputPrYr!$B31&gt;"  ",(inputPrYr!$B31),"  ")</f>
        <v>  </v>
      </c>
      <c r="C28" s="116" t="str">
        <f>IF(inputPrYr!C31&gt;0,(inputPrYr!C31),"  ")</f>
        <v>  </v>
      </c>
      <c r="D28" s="109" t="str">
        <f>IF('levy page11'!C82&gt;0,'levy page11'!C82,"  ")</f>
        <v>  </v>
      </c>
      <c r="E28" s="787" t="str">
        <f>IF('levy page11'!$E$70&gt;0,'levy page11'!$E$70,"  ")</f>
        <v>  </v>
      </c>
      <c r="F28" s="800">
        <f>IF('levy page11'!$E$77&lt;&gt;0,'levy page11'!$E$77,0)</f>
        <v>0</v>
      </c>
      <c r="G28" s="789">
        <f t="shared" si="0"/>
      </c>
    </row>
    <row r="29" spans="2:7" ht="15.75">
      <c r="B29" s="58" t="str">
        <f>IF(inputPrYr!$B32&gt;"  ",(inputPrYr!$B32),"  ")</f>
        <v>  </v>
      </c>
      <c r="C29" s="116" t="str">
        <f>IF(inputPrYr!C32&gt;0,(inputPrYr!C32),"  ")</f>
        <v>  </v>
      </c>
      <c r="D29" s="109" t="str">
        <f>IF('levy page12'!C84&gt;0,'levy page12'!C84,"  ")</f>
        <v>  </v>
      </c>
      <c r="E29" s="787" t="str">
        <f>IF('levy page12'!$E$32&gt;0,'levy page12'!$E$32,"  ")</f>
        <v>  </v>
      </c>
      <c r="F29" s="800">
        <f>IF('levy page12'!$E$39&lt;&gt;0,'levy page12'!$E$39,0)</f>
        <v>0</v>
      </c>
      <c r="G29" s="789">
        <f t="shared" si="0"/>
      </c>
    </row>
    <row r="30" spans="2:7" ht="15.75">
      <c r="B30" s="58" t="str">
        <f>IF(inputPrYr!$B33&gt;"  ",(inputPrYr!$B33),"  ")</f>
        <v>  </v>
      </c>
      <c r="C30" s="116" t="str">
        <f>IF(inputPrYr!C33&gt;0,(inputPrYr!C33),"  ")</f>
        <v>  </v>
      </c>
      <c r="D30" s="109" t="str">
        <f>IF('levy page12'!C84&gt;0,'levy page12'!C84,"  ")</f>
        <v>  </v>
      </c>
      <c r="E30" s="787" t="str">
        <f>IF('levy page12'!$E$71&gt;0,'levy page12'!$E$71,"  ")</f>
        <v>  </v>
      </c>
      <c r="F30" s="800">
        <f>IF('levy page12'!$E$78&lt;&gt;0,'levy page12'!$E$78,0)</f>
        <v>0</v>
      </c>
      <c r="G30" s="789">
        <f t="shared" si="0"/>
      </c>
    </row>
    <row r="31" spans="2:7" ht="15.75">
      <c r="B31" s="58" t="str">
        <f>IF(inputPrYr!$B34&gt;"  ",(inputPrYr!$B34),"  ")</f>
        <v>  </v>
      </c>
      <c r="C31" s="116" t="str">
        <f>IF(inputPrYr!C34&gt;0,(inputPrYr!C34),"  ")</f>
        <v>  </v>
      </c>
      <c r="D31" s="109" t="str">
        <f>IF('levy page13'!C85&gt;0,'levy page13'!C85,"  ")</f>
        <v>  </v>
      </c>
      <c r="E31" s="787" t="str">
        <f>IF('levy page13'!$E$33&gt;0,'levy page13'!$E$33,"  ")</f>
        <v>  </v>
      </c>
      <c r="F31" s="800">
        <f>IF('levy page13'!$E$40&lt;&gt;0,'levy page13'!$E$40,0)</f>
        <v>0</v>
      </c>
      <c r="G31" s="789">
        <f t="shared" si="0"/>
      </c>
    </row>
    <row r="32" spans="2:7" ht="15.75">
      <c r="B32" s="58" t="str">
        <f>IF(inputPrYr!$B35&gt;"  ",(inputPrYr!$B35),"  ")</f>
        <v>  </v>
      </c>
      <c r="C32" s="116" t="str">
        <f>IF(inputPrYr!C35&gt;0,(inputPrYr!C35),"  ")</f>
        <v>  </v>
      </c>
      <c r="D32" s="109" t="str">
        <f>IF('levy page13'!C85&gt;0,'levy page13'!C85,"  ")</f>
        <v>  </v>
      </c>
      <c r="E32" s="787" t="str">
        <f>IF('levy page13'!$E$72&gt;0,'levy page13'!$E$72,"  ")</f>
        <v>  </v>
      </c>
      <c r="F32" s="800">
        <f>IF('levy page13'!$E$79&lt;&gt;0,'levy page13'!$E$79,0)</f>
        <v>0</v>
      </c>
      <c r="G32" s="789">
        <f t="shared" si="0"/>
      </c>
    </row>
    <row r="33" spans="2:7" ht="15.75">
      <c r="B33" s="117" t="str">
        <f>IF(inputPrYr!$B41&gt;"  ",(inputPrYr!$B41),"  ")</f>
        <v>Special Highway</v>
      </c>
      <c r="C33" s="118"/>
      <c r="D33" s="119" t="str">
        <f>IF('Sp Hiway'!C65&gt;0,'Sp Hiway'!C65,"  ")</f>
        <v>  </v>
      </c>
      <c r="E33" s="787" t="str">
        <f>IF('Sp Hiway'!$E$26&gt;0,'Sp Hiway'!$E$26,"  ")</f>
        <v>  </v>
      </c>
      <c r="F33" s="787"/>
      <c r="G33" s="801"/>
    </row>
    <row r="34" spans="2:7" ht="15.75">
      <c r="B34" s="117" t="str">
        <f>IF(inputPrYr!$B42&gt;"  ",(inputPrYr!$B42),"  ")</f>
        <v>  </v>
      </c>
      <c r="C34" s="118"/>
      <c r="D34" s="119" t="str">
        <f>IF('Sp Hiway'!C65&gt;0,'Sp Hiway'!C65,"  ")</f>
        <v>  </v>
      </c>
      <c r="E34" s="787" t="str">
        <f>IF('Sp Hiway'!$E$57&gt;0,'Sp Hiway'!$E$57,"  ")</f>
        <v>  </v>
      </c>
      <c r="F34" s="787"/>
      <c r="G34" s="801"/>
    </row>
    <row r="35" spans="2:7" ht="15.75">
      <c r="B35" s="117" t="str">
        <f>IF(inputPrYr!$B43&gt;"  ",(inputPrYr!$B43),"  ")</f>
        <v>  </v>
      </c>
      <c r="C35" s="120"/>
      <c r="D35" s="119" t="str">
        <f>IF('no levy page15'!C64&gt;0,'no levy page15'!C64,"  ")</f>
        <v>  </v>
      </c>
      <c r="E35" s="787" t="str">
        <f>IF('no levy page15'!$E$26&gt;0,'no levy page15'!$E$26,"  ")</f>
        <v>  </v>
      </c>
      <c r="F35" s="787"/>
      <c r="G35" s="801"/>
    </row>
    <row r="36" spans="2:7" ht="15.75">
      <c r="B36" s="117" t="str">
        <f>IF(inputPrYr!$B48&gt;"  ",(inputPrYr!$B48),"  ")</f>
        <v>  </v>
      </c>
      <c r="C36" s="121"/>
      <c r="D36" s="119" t="str">
        <f>IF('no levy page17'!C65&gt;0,'no levy page17'!C65,"  ")</f>
        <v>  </v>
      </c>
      <c r="E36" s="787" t="str">
        <f>IF('no levy page17'!$E$57&gt;0,'no levy page17'!$E$57,"  ")</f>
        <v>  </v>
      </c>
      <c r="F36" s="787"/>
      <c r="G36" s="801"/>
    </row>
    <row r="37" spans="2:7" ht="15.75">
      <c r="B37" s="117" t="str">
        <f>IF(inputPrYr!$B49&gt;"  ",(inputPrYr!$B49),"  ")</f>
        <v>  </v>
      </c>
      <c r="C37" s="118"/>
      <c r="D37" s="119" t="str">
        <f>IF('no levy page18'!C66&gt;0,'no levy page18'!C66,"  ")</f>
        <v>  </v>
      </c>
      <c r="E37" s="787" t="str">
        <f>IF('no levy page18'!$E$28&gt;0,'no levy page18'!$E$28,"  ")</f>
        <v>  </v>
      </c>
      <c r="F37" s="787"/>
      <c r="G37" s="801"/>
    </row>
    <row r="38" spans="2:7" ht="15.75">
      <c r="B38" s="117" t="str">
        <f>IF(inputPrYr!$B50&gt;"  ",(inputPrYr!$B50),"  ")</f>
        <v>  </v>
      </c>
      <c r="C38" s="118"/>
      <c r="D38" s="119" t="str">
        <f>IF('no levy page18'!C66&gt;0,'no levy page18'!C66,"  ")</f>
        <v>  </v>
      </c>
      <c r="E38" s="787" t="str">
        <f>IF('no levy page18'!$E$58&gt;0,'no levy page18'!$E$58,"  ")</f>
        <v>  </v>
      </c>
      <c r="F38" s="787"/>
      <c r="G38" s="801"/>
    </row>
    <row r="39" spans="2:7" ht="15.75">
      <c r="B39" s="117" t="str">
        <f>IF(inputPrYr!$B51&gt;"  ",(inputPrYr!$B51),"  ")</f>
        <v>  </v>
      </c>
      <c r="C39" s="118"/>
      <c r="D39" s="119" t="str">
        <f>IF('no levy page19'!C66&gt;0,'no levy page19'!C66,"  ")</f>
        <v>  </v>
      </c>
      <c r="E39" s="787" t="str">
        <f>IF('no levy page19'!$E$28&gt;0,'no levy page19'!$E$28,"  ")</f>
        <v>  </v>
      </c>
      <c r="F39" s="787"/>
      <c r="G39" s="801"/>
    </row>
    <row r="40" spans="2:7" ht="15.75">
      <c r="B40" s="117" t="str">
        <f>IF(inputPrYr!$B52&gt;"  ",(inputPrYr!$B52),"  ")</f>
        <v>  </v>
      </c>
      <c r="C40" s="118"/>
      <c r="D40" s="119" t="str">
        <f>IF('no levy page19'!C66&gt;0,'no levy page19'!C66,"  ")</f>
        <v>  </v>
      </c>
      <c r="E40" s="787" t="str">
        <f>IF('no levy page19'!$E$58&gt;0,'no levy page19'!$E$58,"  ")</f>
        <v>  </v>
      </c>
      <c r="F40" s="787"/>
      <c r="G40" s="801"/>
    </row>
    <row r="41" spans="2:7" ht="15.75">
      <c r="B41" s="117" t="str">
        <f>IF(inputPrYr!$B53&gt;"  ",(inputPrYr!$B53),"  ")</f>
        <v>  </v>
      </c>
      <c r="C41" s="118"/>
      <c r="D41" s="119" t="str">
        <f>IF('no levy page20'!C66&gt;0,'no levy page20'!C66,"  ")</f>
        <v>  </v>
      </c>
      <c r="E41" s="787" t="str">
        <f>IF('no levy page20'!$E$28&gt;0,'no levy page20'!$E$28,"  ")</f>
        <v>  </v>
      </c>
      <c r="F41" s="787"/>
      <c r="G41" s="801"/>
    </row>
    <row r="42" spans="2:7" ht="15.75">
      <c r="B42" s="117" t="str">
        <f>IF(inputPrYr!$B54&gt;"  ",(inputPrYr!$B54),"  ")</f>
        <v>  </v>
      </c>
      <c r="C42" s="118"/>
      <c r="D42" s="119" t="str">
        <f>IF('no levy page20'!C66&gt;0,'no levy page20'!C66,"  ")</f>
        <v>  </v>
      </c>
      <c r="E42" s="787" t="str">
        <f>IF('no levy page20'!$E$58&gt;0,'no levy page20'!$E$58,"  ")</f>
        <v>  </v>
      </c>
      <c r="F42" s="787"/>
      <c r="G42" s="801"/>
    </row>
    <row r="43" spans="2:7" ht="15.75">
      <c r="B43" s="117" t="str">
        <f>IF(inputPrYr!$B55&gt;"  ",(inputPrYr!$B55),"  ")</f>
        <v>  </v>
      </c>
      <c r="C43" s="120"/>
      <c r="D43" s="119" t="str">
        <f>IF('no levy page21'!C66&gt;0,'no levy page21'!C66,"  ")</f>
        <v>  </v>
      </c>
      <c r="E43" s="787" t="str">
        <f>IF('no levy page21'!$E$28&gt;0,'no levy page21'!$E$28,"  ")</f>
        <v>  </v>
      </c>
      <c r="F43" s="787"/>
      <c r="G43" s="801"/>
    </row>
    <row r="44" spans="2:7" ht="15.75">
      <c r="B44" s="117" t="str">
        <f>IF(inputPrYr!$B56&gt;"  ",(inputPrYr!$B56),"  ")</f>
        <v>  </v>
      </c>
      <c r="C44" s="121"/>
      <c r="D44" s="119" t="str">
        <f>IF('no levy page21'!C66&gt;0,'no levy page21'!C66,"  ")</f>
        <v>  </v>
      </c>
      <c r="E44" s="787" t="str">
        <f>IF('no levy page21'!$E$58&gt;0,'no levy page21'!$E$58,"  ")</f>
        <v>  </v>
      </c>
      <c r="F44" s="787"/>
      <c r="G44" s="801"/>
    </row>
    <row r="45" spans="2:7" ht="15.75">
      <c r="B45" s="117" t="str">
        <f>IF(inputPrYr!$B58&gt;"  ",(inputPrYr!$B58),"  ")</f>
        <v>  </v>
      </c>
      <c r="C45" s="118"/>
      <c r="D45" s="119" t="str">
        <f>IF(SinNoLevy22!C52&gt;0,SinNoLevy22!C52,"  ")</f>
        <v>  </v>
      </c>
      <c r="E45" s="787" t="str">
        <f>IF(SinNoLevy22!$E$44&gt;0,SinNoLevy22!$E$44,"  ")</f>
        <v>  </v>
      </c>
      <c r="F45" s="787"/>
      <c r="G45" s="801"/>
    </row>
    <row r="46" spans="2:7" ht="15.75">
      <c r="B46" s="117" t="str">
        <f>IF(inputPrYr!$B59&gt;"  ",(inputPrYr!$B59),"  ")</f>
        <v>  </v>
      </c>
      <c r="C46" s="118"/>
      <c r="D46" s="119" t="str">
        <f>IF(SinNoLevy23!C48&gt;0,SinNoLevy23!C48,"  ")</f>
        <v>  </v>
      </c>
      <c r="E46" s="787" t="str">
        <f>IF(SinNoLevy23!$E$40&gt;0,SinNoLevy23!$E$40,"  ")</f>
        <v>  </v>
      </c>
      <c r="F46" s="787"/>
      <c r="G46" s="801"/>
    </row>
    <row r="47" spans="2:7" ht="15.75">
      <c r="B47" s="117" t="str">
        <f>IF(inputPrYr!$B60&gt;"  ",(inputPrYr!$B60),"  ")</f>
        <v>  </v>
      </c>
      <c r="C47" s="120"/>
      <c r="D47" s="119" t="str">
        <f>IF(SinNoLevy24!C52&gt;0,SinNoLevy24!C52,"  ")</f>
        <v>  </v>
      </c>
      <c r="E47" s="787" t="str">
        <f>IF(SinNoLevy24!$E$44&gt;0,SinNoLevy24!$E$44,"  ")</f>
        <v>  </v>
      </c>
      <c r="F47" s="787"/>
      <c r="G47" s="801"/>
    </row>
    <row r="48" spans="2:7" ht="15.75">
      <c r="B48" s="117" t="str">
        <f>IF(inputPrYr!$B61&gt;"  ",(inputPrYr!$B61),"  ")</f>
        <v>  </v>
      </c>
      <c r="C48" s="121"/>
      <c r="D48" s="119" t="str">
        <f>IF(SinNoLevy25!C53&gt;0,SinNoLevy25!C53,"  ")</f>
        <v>  </v>
      </c>
      <c r="E48" s="787" t="str">
        <f>IF(SinNoLevy25!$E$44&gt;0,SinNoLevy25!$E$44,"  ")</f>
        <v>  </v>
      </c>
      <c r="F48" s="787"/>
      <c r="G48" s="801"/>
    </row>
    <row r="49" spans="2:7" ht="15.75">
      <c r="B49" s="117" t="str">
        <f>IF(inputPrYr!$B64&gt;"  ",(NonBudA!$A3),"  ")</f>
        <v>  </v>
      </c>
      <c r="C49" s="121"/>
      <c r="D49" s="119" t="str">
        <f>IF(NonBudA!F37&gt;0,NonBudA!F37,"  ")</f>
        <v>  </v>
      </c>
      <c r="E49" s="787"/>
      <c r="F49" s="787"/>
      <c r="G49" s="801"/>
    </row>
    <row r="50" spans="2:7" ht="15.75">
      <c r="B50" s="117" t="str">
        <f>IF(inputPrYr!$B70&gt;"  ",(NonBudB!$A3),"  ")</f>
        <v>  </v>
      </c>
      <c r="C50" s="121"/>
      <c r="D50" s="119" t="str">
        <f>IF(NonBudB!F37&gt;0,NonBudB!F37,"  ")</f>
        <v>  </v>
      </c>
      <c r="E50" s="787"/>
      <c r="F50" s="787"/>
      <c r="G50" s="801"/>
    </row>
    <row r="51" spans="2:7" ht="15.75">
      <c r="B51" s="117" t="str">
        <f>IF(inputPrYr!$B76&gt;"  ",(NonBudC!$A3),"  ")</f>
        <v>  </v>
      </c>
      <c r="C51" s="118"/>
      <c r="D51" s="119" t="str">
        <f>IF(NonBudC!F37&gt;0,NonBudC!F37,"  ")</f>
        <v>  </v>
      </c>
      <c r="E51" s="787"/>
      <c r="F51" s="787"/>
      <c r="G51" s="801"/>
    </row>
    <row r="52" spans="2:7" ht="16.5" thickBot="1">
      <c r="B52" s="117" t="str">
        <f>IF(inputPrYr!$B82&gt;"  ",(NonBudD!$A3),"  ")</f>
        <v>  </v>
      </c>
      <c r="C52" s="120"/>
      <c r="D52" s="119" t="str">
        <f>IF(NonBudD!F37&gt;0,NonBudD!F37,"  ")</f>
        <v>  </v>
      </c>
      <c r="E52" s="802"/>
      <c r="F52" s="802"/>
      <c r="G52" s="803"/>
    </row>
    <row r="53" spans="2:7" ht="15.75">
      <c r="B53" s="354" t="s">
        <v>633</v>
      </c>
      <c r="C53" s="60"/>
      <c r="D53" s="203" t="s">
        <v>91</v>
      </c>
      <c r="E53" s="804">
        <f>SUM(E20:E52)</f>
        <v>0</v>
      </c>
      <c r="F53" s="804">
        <f>SUM(F20:F52)</f>
        <v>0</v>
      </c>
      <c r="G53" s="805">
        <f>IF(SUM(G20:G52)=0,"",SUM(G20:G52))</f>
      </c>
    </row>
    <row r="54" spans="2:8" ht="15.75">
      <c r="B54" s="108" t="str">
        <f>inputPrYr!B38</f>
        <v>Recreation</v>
      </c>
      <c r="C54" s="327" t="s">
        <v>632</v>
      </c>
      <c r="D54" s="109" t="str">
        <f>IF('Library-Rec'!C86&gt;0,'Library-Rec'!C86,"  ")</f>
        <v>  </v>
      </c>
      <c r="E54" s="787" t="str">
        <f>IF('Library-Rec'!E73&lt;&gt;0,'Library-Rec'!E73,"  ")</f>
        <v>  </v>
      </c>
      <c r="F54" s="800">
        <f>IF('Library-Rec'!E80&lt;&gt;0,'Library-Rec'!E80,0)</f>
        <v>0</v>
      </c>
      <c r="G54" s="800">
        <f>IF($G$57=0,0,ROUND(F54/$G$57*1000,3))</f>
        <v>0</v>
      </c>
      <c r="H54" s="18">
        <f>IF(G54&gt;inputOth!E6,"Exceed Limit","")</f>
      </c>
    </row>
    <row r="55" spans="2:7" ht="16.5" thickBot="1">
      <c r="B55" s="381" t="s">
        <v>634</v>
      </c>
      <c r="C55" s="382"/>
      <c r="D55" s="203" t="s">
        <v>91</v>
      </c>
      <c r="E55" s="806">
        <f>SUM(E53:E54)</f>
        <v>0</v>
      </c>
      <c r="F55" s="806">
        <f>SUM(F53:F54)</f>
        <v>0</v>
      </c>
      <c r="G55" s="807" t="s">
        <v>629</v>
      </c>
    </row>
    <row r="56" spans="2:7" ht="16.5" thickTop="1">
      <c r="B56" s="850"/>
      <c r="C56" s="122"/>
      <c r="D56" s="123"/>
      <c r="E56" s="124"/>
      <c r="F56" s="125"/>
      <c r="G56" s="380" t="s">
        <v>220</v>
      </c>
    </row>
    <row r="57" spans="2:7" ht="15.75">
      <c r="B57" s="108" t="s">
        <v>301</v>
      </c>
      <c r="C57" s="60"/>
      <c r="D57" s="109">
        <f>summ!D73</f>
        <v>0</v>
      </c>
      <c r="E57" s="32"/>
      <c r="F57" s="32"/>
      <c r="G57" s="487"/>
    </row>
    <row r="58" spans="2:7" ht="15.75">
      <c r="B58" s="108" t="s">
        <v>12</v>
      </c>
      <c r="C58" s="60"/>
      <c r="D58" s="109">
        <f>IF(nhood!C40&gt;0,nhood!C40,"")</f>
      </c>
      <c r="E58" s="32"/>
      <c r="F58" s="32"/>
      <c r="G58" s="1118" t="str">
        <f>CONCATENATE("Nov 1, ",I1-1," Total Assessed Valuation")</f>
        <v>Nov 1, -1 Total Assessed Valuation</v>
      </c>
    </row>
    <row r="59" spans="2:7" ht="15.75">
      <c r="B59" s="51"/>
      <c r="C59" s="52"/>
      <c r="D59" s="694"/>
      <c r="E59" s="32"/>
      <c r="F59" s="32"/>
      <c r="G59" s="1119"/>
    </row>
    <row r="60" spans="2:7" ht="15.75">
      <c r="B60" s="985" t="s">
        <v>1039</v>
      </c>
      <c r="C60" s="52"/>
      <c r="D60" s="694"/>
      <c r="E60" s="1080" t="e">
        <f>Comp3!J16</f>
        <v>#DIV/0!</v>
      </c>
      <c r="F60" s="32"/>
      <c r="G60" s="1119"/>
    </row>
    <row r="61" spans="2:7" ht="15.75">
      <c r="B61" s="985" t="s">
        <v>1040</v>
      </c>
      <c r="C61" s="52"/>
      <c r="D61" s="694"/>
      <c r="E61" s="1081" t="e">
        <f>IF(F55&gt;E60,"YES","NO")</f>
        <v>#DIV/0!</v>
      </c>
      <c r="F61" s="32"/>
      <c r="G61" s="1119"/>
    </row>
    <row r="62" spans="2:7" ht="15.75">
      <c r="B62" s="51"/>
      <c r="C62" s="52"/>
      <c r="D62" s="694"/>
      <c r="E62" s="32"/>
      <c r="F62" s="32"/>
      <c r="G62" s="1119"/>
    </row>
    <row r="63" spans="2:7" ht="15.75">
      <c r="B63" s="51" t="s">
        <v>92</v>
      </c>
      <c r="C63" s="52"/>
      <c r="D63" s="52"/>
      <c r="E63" s="52"/>
      <c r="F63" s="52"/>
      <c r="G63" s="1120"/>
    </row>
    <row r="64" spans="2:7" ht="15.75">
      <c r="B64" s="295"/>
      <c r="C64" s="52"/>
      <c r="D64" s="32"/>
      <c r="E64" s="232"/>
      <c r="F64" s="52"/>
      <c r="G64" s="52"/>
    </row>
    <row r="65" spans="2:7" ht="15.75">
      <c r="B65" s="296"/>
      <c r="C65" s="52"/>
      <c r="D65" s="52" t="s">
        <v>870</v>
      </c>
      <c r="E65" s="232"/>
      <c r="F65" s="52"/>
      <c r="G65" s="52"/>
    </row>
    <row r="66" spans="2:7" ht="15.75">
      <c r="B66" s="51" t="s">
        <v>223</v>
      </c>
      <c r="C66" s="32"/>
      <c r="D66" s="51"/>
      <c r="E66" s="232"/>
      <c r="F66" s="52"/>
      <c r="G66" s="52"/>
    </row>
    <row r="67" spans="2:7" ht="15.75">
      <c r="B67" s="295"/>
      <c r="C67" s="52"/>
      <c r="D67" s="52" t="s">
        <v>870</v>
      </c>
      <c r="E67" s="232"/>
      <c r="F67" s="232"/>
      <c r="G67" s="232"/>
    </row>
    <row r="68" spans="2:7" ht="15.75">
      <c r="B68" s="296"/>
      <c r="C68" s="126"/>
      <c r="D68" s="52"/>
      <c r="E68" s="52"/>
      <c r="F68" s="690"/>
      <c r="G68" s="690"/>
    </row>
    <row r="69" spans="2:7" ht="15.75">
      <c r="B69" s="53" t="s">
        <v>869</v>
      </c>
      <c r="C69" s="126"/>
      <c r="D69" s="52" t="s">
        <v>870</v>
      </c>
      <c r="E69" s="52"/>
      <c r="F69" s="691"/>
      <c r="G69" s="691"/>
    </row>
    <row r="70" spans="2:7" ht="15.75">
      <c r="B70" s="295"/>
      <c r="C70" s="127"/>
      <c r="D70" s="52"/>
      <c r="E70" s="52"/>
      <c r="F70" s="690"/>
      <c r="G70" s="690"/>
    </row>
    <row r="71" spans="2:7" ht="15.75">
      <c r="B71" s="232"/>
      <c r="C71" s="127"/>
      <c r="D71" s="52" t="s">
        <v>870</v>
      </c>
      <c r="E71" s="52"/>
      <c r="F71" s="691"/>
      <c r="G71" s="691"/>
    </row>
    <row r="72" spans="2:7" ht="15.75">
      <c r="B72" s="33" t="s">
        <v>5</v>
      </c>
      <c r="C72" s="128">
        <f>I1-1</f>
        <v>-1</v>
      </c>
      <c r="D72" s="52"/>
      <c r="E72" s="52"/>
      <c r="F72" s="692"/>
      <c r="G72" s="52"/>
    </row>
    <row r="73" spans="2:7" ht="15.75">
      <c r="B73" s="100"/>
      <c r="C73" s="32"/>
      <c r="D73" s="52" t="s">
        <v>870</v>
      </c>
      <c r="E73" s="52"/>
      <c r="F73" s="52"/>
      <c r="G73" s="52"/>
    </row>
    <row r="74" spans="2:7" ht="15.75">
      <c r="B74" s="95" t="s">
        <v>94</v>
      </c>
      <c r="C74" s="32"/>
      <c r="D74" s="1116" t="s">
        <v>93</v>
      </c>
      <c r="E74" s="1117"/>
      <c r="F74" s="1117"/>
      <c r="G74" s="1117"/>
    </row>
    <row r="75" spans="2:7" ht="15.75">
      <c r="B75" s="232"/>
      <c r="C75" s="127"/>
      <c r="D75" s="52"/>
      <c r="E75" s="52"/>
      <c r="F75" s="691"/>
      <c r="G75" s="691"/>
    </row>
    <row r="76" spans="2:7" ht="15.75">
      <c r="B76" s="975" t="s">
        <v>1034</v>
      </c>
      <c r="C76" s="941"/>
      <c r="D76" s="75"/>
      <c r="E76" s="75"/>
      <c r="F76" s="942"/>
      <c r="G76" s="943"/>
    </row>
    <row r="77" spans="2:7" ht="15.75">
      <c r="B77" s="944"/>
      <c r="C77" s="127"/>
      <c r="D77" s="52"/>
      <c r="E77" s="52"/>
      <c r="F77" s="691"/>
      <c r="G77" s="945"/>
    </row>
    <row r="78" spans="2:7" ht="15.75">
      <c r="B78" s="946"/>
      <c r="C78" s="947"/>
      <c r="D78" s="47"/>
      <c r="E78" s="47"/>
      <c r="F78" s="948"/>
      <c r="G78" s="949"/>
    </row>
    <row r="79" spans="2:7" ht="15.75">
      <c r="B79" s="232"/>
      <c r="C79" s="127"/>
      <c r="D79" s="52"/>
      <c r="E79" s="52"/>
      <c r="F79" s="691"/>
      <c r="G79" s="691"/>
    </row>
    <row r="85" spans="2:7" ht="15">
      <c r="B85" s="70"/>
      <c r="C85" s="70"/>
      <c r="D85" s="70"/>
      <c r="E85" s="70"/>
      <c r="F85" s="70"/>
      <c r="G85" s="70"/>
    </row>
    <row r="86" spans="2:7" ht="15">
      <c r="B86" s="70"/>
      <c r="C86" s="70"/>
      <c r="D86" s="70"/>
      <c r="E86" s="70"/>
      <c r="F86" s="70"/>
      <c r="G86" s="70"/>
    </row>
    <row r="87" spans="2:7" ht="15">
      <c r="B87" s="70"/>
      <c r="C87" s="70"/>
      <c r="D87" s="70"/>
      <c r="E87" s="70"/>
      <c r="F87" s="70"/>
      <c r="G87" s="70"/>
    </row>
    <row r="88" spans="2:7" ht="15">
      <c r="B88" s="70"/>
      <c r="C88" s="70"/>
      <c r="D88" s="70"/>
      <c r="E88" s="70"/>
      <c r="F88" s="70"/>
      <c r="G88" s="70"/>
    </row>
    <row r="89" spans="2:7" ht="15">
      <c r="B89" s="70"/>
      <c r="C89" s="70"/>
      <c r="D89" s="70"/>
      <c r="E89" s="70"/>
      <c r="F89" s="70"/>
      <c r="G89" s="70"/>
    </row>
    <row r="90" spans="2:7" ht="15">
      <c r="B90" s="70"/>
      <c r="C90" s="70"/>
      <c r="D90" s="70"/>
      <c r="E90" s="70"/>
      <c r="F90" s="70"/>
      <c r="G90" s="70"/>
    </row>
    <row r="91" spans="2:7" ht="15">
      <c r="B91" s="70"/>
      <c r="C91" s="70"/>
      <c r="D91" s="70"/>
      <c r="E91" s="70"/>
      <c r="F91" s="70"/>
      <c r="G91" s="70"/>
    </row>
    <row r="92" spans="2:7" ht="15">
      <c r="B92" s="70"/>
      <c r="C92" s="70"/>
      <c r="D92" s="70"/>
      <c r="E92" s="70"/>
      <c r="F92" s="70"/>
      <c r="G92" s="70"/>
    </row>
    <row r="93" spans="2:7" ht="15">
      <c r="B93" s="70"/>
      <c r="C93" s="70"/>
      <c r="D93" s="70"/>
      <c r="E93" s="70"/>
      <c r="F93" s="70"/>
      <c r="G93" s="70"/>
    </row>
    <row r="94" spans="2:7" ht="15">
      <c r="B94" s="70"/>
      <c r="C94" s="70"/>
      <c r="D94" s="70"/>
      <c r="E94" s="70"/>
      <c r="F94" s="70"/>
      <c r="G94" s="70"/>
    </row>
    <row r="95" spans="2:7" ht="15">
      <c r="B95" s="70"/>
      <c r="C95" s="70"/>
      <c r="D95" s="70"/>
      <c r="E95" s="70"/>
      <c r="F95" s="70"/>
      <c r="G95" s="70"/>
    </row>
    <row r="96" spans="2:7" ht="15">
      <c r="B96" s="70"/>
      <c r="C96" s="70"/>
      <c r="D96" s="70"/>
      <c r="E96" s="70"/>
      <c r="F96" s="70"/>
      <c r="G96" s="70"/>
    </row>
    <row r="97" spans="2:7" ht="15">
      <c r="B97" s="70"/>
      <c r="C97" s="70"/>
      <c r="D97" s="70"/>
      <c r="E97" s="70"/>
      <c r="F97" s="70"/>
      <c r="G97" s="70"/>
    </row>
    <row r="98" spans="2:7" ht="15">
      <c r="B98" s="70"/>
      <c r="C98" s="70"/>
      <c r="D98" s="70"/>
      <c r="E98" s="70"/>
      <c r="F98" s="70"/>
      <c r="G98" s="70"/>
    </row>
    <row r="99" spans="2:7" ht="15">
      <c r="B99" s="70"/>
      <c r="C99" s="70"/>
      <c r="D99" s="70"/>
      <c r="E99" s="70"/>
      <c r="F99" s="70"/>
      <c r="G99" s="70"/>
    </row>
    <row r="100" spans="2:7" ht="15">
      <c r="B100" s="70"/>
      <c r="C100" s="70"/>
      <c r="D100" s="70"/>
      <c r="E100" s="70"/>
      <c r="F100" s="70"/>
      <c r="G100" s="70"/>
    </row>
    <row r="103" spans="2:7" ht="15.75">
      <c r="B103" s="18"/>
      <c r="C103" s="18"/>
      <c r="D103" s="18"/>
      <c r="E103" s="18"/>
      <c r="F103" s="18"/>
      <c r="G103" s="18"/>
    </row>
  </sheetData>
  <sheetProtection/>
  <mergeCells count="4">
    <mergeCell ref="B4:G4"/>
    <mergeCell ref="B2:G2"/>
    <mergeCell ref="D74:G74"/>
    <mergeCell ref="G58:G63"/>
  </mergeCells>
  <printOptions/>
  <pageMargins left="0.82" right="0.5" top="1" bottom="0.5" header="0.5" footer="0.25"/>
  <pageSetup blackAndWhite="1" fitToHeight="1" fitToWidth="1" horizontalDpi="120" verticalDpi="120" orientation="portrait" scale="58" r:id="rId1"/>
  <headerFooter alignWithMargins="0">
    <oddHeader>&amp;RState of Kansas
City
</oddHeader>
    <oddFooter>&amp;C   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85" zoomScaleNormal="85" zoomScalePageLayoutView="0" workbookViewId="0" topLeftCell="A1">
      <selection activeCell="P23" sqref="P23"/>
    </sheetView>
  </sheetViews>
  <sheetFormatPr defaultColWidth="8.796875" defaultRowHeight="15.75" customHeight="1"/>
  <cols>
    <col min="1" max="1" width="2.8984375" style="18" customWidth="1"/>
    <col min="2" max="2" width="3.296875" style="18" customWidth="1"/>
    <col min="3" max="3" width="31.296875" style="18" customWidth="1"/>
    <col min="4" max="4" width="2.296875" style="18" customWidth="1"/>
    <col min="5" max="5" width="19.19921875" style="18" customWidth="1"/>
    <col min="6" max="6" width="2" style="18" customWidth="1"/>
    <col min="7" max="7" width="15.796875" style="18" customWidth="1"/>
    <col min="8" max="8" width="1.8984375" style="18" customWidth="1"/>
    <col min="9" max="9" width="1.796875" style="18" customWidth="1"/>
    <col min="10" max="10" width="15.796875" style="18" customWidth="1"/>
    <col min="11" max="16384" width="8.8984375" style="18" customWidth="1"/>
  </cols>
  <sheetData>
    <row r="1" spans="1:10" ht="15.75" customHeight="1">
      <c r="A1" s="32"/>
      <c r="B1" s="32"/>
      <c r="C1" s="140">
        <f>inputPrYr!D3</f>
        <v>0</v>
      </c>
      <c r="D1" s="32"/>
      <c r="E1" s="32"/>
      <c r="F1" s="32"/>
      <c r="G1" s="32"/>
      <c r="H1" s="32"/>
      <c r="I1" s="32"/>
      <c r="J1" s="161">
        <f>inputPrYr!C6</f>
        <v>0</v>
      </c>
    </row>
    <row r="2" spans="1:10" ht="15.75" customHeight="1">
      <c r="A2" s="32"/>
      <c r="B2" s="32"/>
      <c r="C2" s="32"/>
      <c r="D2" s="32"/>
      <c r="E2" s="32"/>
      <c r="F2" s="32"/>
      <c r="G2" s="32"/>
      <c r="H2" s="32"/>
      <c r="I2" s="32"/>
      <c r="J2" s="32"/>
    </row>
    <row r="3" spans="1:10" ht="15.75">
      <c r="A3" s="36" t="str">
        <f>CONCATENATE("Computation to Determine Limit for ",J1)</f>
        <v>Computation to Determine Limit for 0</v>
      </c>
      <c r="B3" s="986"/>
      <c r="C3" s="986"/>
      <c r="D3" s="986"/>
      <c r="E3" s="986"/>
      <c r="F3" s="986"/>
      <c r="G3" s="986"/>
      <c r="H3" s="986"/>
      <c r="I3" s="986"/>
      <c r="J3" s="986"/>
    </row>
    <row r="4" spans="1:10" ht="15.75">
      <c r="A4" s="32"/>
      <c r="B4" s="32"/>
      <c r="C4" s="32"/>
      <c r="D4" s="32"/>
      <c r="E4" s="1121"/>
      <c r="F4" s="1121"/>
      <c r="G4" s="1121"/>
      <c r="H4" s="519"/>
      <c r="I4" s="32"/>
      <c r="J4" s="987" t="s">
        <v>176</v>
      </c>
    </row>
    <row r="5" spans="1:10" ht="15.75">
      <c r="A5" s="849" t="s">
        <v>177</v>
      </c>
      <c r="B5" s="32" t="str">
        <f>CONCATENATE("Total tax levy amount in ",J1-1," budget")</f>
        <v>Total tax levy amount in -1 budget</v>
      </c>
      <c r="C5" s="32"/>
      <c r="D5" s="32"/>
      <c r="E5" s="62"/>
      <c r="F5" s="62"/>
      <c r="G5" s="62"/>
      <c r="H5" s="988" t="s">
        <v>178</v>
      </c>
      <c r="I5" s="62" t="s">
        <v>179</v>
      </c>
      <c r="J5" s="846">
        <f>inputPrYr!E36+inputPrYr!E38</f>
        <v>0</v>
      </c>
    </row>
    <row r="6" spans="1:10" ht="15.75">
      <c r="A6" s="849" t="s">
        <v>180</v>
      </c>
      <c r="B6" s="32" t="str">
        <f>CONCATENATE("Library levy in ",J1-1," budget")</f>
        <v>Library levy in -1 budget</v>
      </c>
      <c r="C6" s="32"/>
      <c r="D6" s="32"/>
      <c r="E6" s="62"/>
      <c r="F6" s="62"/>
      <c r="G6" s="62"/>
      <c r="H6" s="988" t="s">
        <v>181</v>
      </c>
      <c r="I6" s="62" t="s">
        <v>179</v>
      </c>
      <c r="J6" s="989"/>
    </row>
    <row r="7" spans="1:10" ht="15.75">
      <c r="A7" s="990"/>
      <c r="B7" s="32" t="str">
        <f>CONCATENATE("Recreation Commission levy in ",J1-1," budget")</f>
        <v>Recreation Commission levy in -1 budget</v>
      </c>
      <c r="C7" s="32"/>
      <c r="D7" s="32"/>
      <c r="E7" s="62"/>
      <c r="F7" s="62"/>
      <c r="G7" s="62"/>
      <c r="H7" s="988" t="s">
        <v>181</v>
      </c>
      <c r="I7" s="62" t="s">
        <v>179</v>
      </c>
      <c r="J7" s="62">
        <f>inputPrYr!E38</f>
        <v>0</v>
      </c>
    </row>
    <row r="8" spans="1:10" ht="15.75">
      <c r="A8" s="849" t="s">
        <v>205</v>
      </c>
      <c r="B8" s="32" t="s">
        <v>1041</v>
      </c>
      <c r="C8" s="32"/>
      <c r="D8" s="32"/>
      <c r="E8" s="62"/>
      <c r="F8" s="62"/>
      <c r="G8" s="62"/>
      <c r="H8" s="62"/>
      <c r="I8" s="62" t="s">
        <v>179</v>
      </c>
      <c r="J8" s="845">
        <f>J5-J6-J7</f>
        <v>0</v>
      </c>
    </row>
    <row r="9" spans="1:10" ht="15.75">
      <c r="A9" s="32"/>
      <c r="B9" s="32"/>
      <c r="C9" s="32"/>
      <c r="D9" s="32"/>
      <c r="E9" s="62"/>
      <c r="F9" s="62"/>
      <c r="G9" s="62"/>
      <c r="H9" s="62"/>
      <c r="I9" s="62"/>
      <c r="J9" s="62"/>
    </row>
    <row r="10" spans="1:10" ht="15.75">
      <c r="A10" s="1121" t="str">
        <f>CONCATENATE(J1," Budget Percentage Adjustments")</f>
        <v>0 Budget Percentage Adjustments</v>
      </c>
      <c r="B10" s="1094"/>
      <c r="C10" s="1094"/>
      <c r="D10" s="1094"/>
      <c r="E10" s="1094"/>
      <c r="F10" s="1094"/>
      <c r="G10" s="1094"/>
      <c r="H10" s="1094"/>
      <c r="I10" s="1094"/>
      <c r="J10" s="1094"/>
    </row>
    <row r="11" spans="1:10" ht="15.75">
      <c r="A11" s="32"/>
      <c r="B11" s="32"/>
      <c r="C11" s="32"/>
      <c r="D11" s="32"/>
      <c r="E11" s="62"/>
      <c r="F11" s="62"/>
      <c r="G11" s="62"/>
      <c r="H11" s="62"/>
      <c r="I11" s="62"/>
      <c r="J11" s="62"/>
    </row>
    <row r="12" spans="1:10" ht="15.75">
      <c r="A12" s="849" t="s">
        <v>182</v>
      </c>
      <c r="B12" s="32" t="str">
        <f>CONCATENATE("New improvements for ",J1-1," :")</f>
        <v>New improvements for -1 :</v>
      </c>
      <c r="C12" s="32"/>
      <c r="D12" s="32"/>
      <c r="E12" s="988"/>
      <c r="F12" s="988" t="s">
        <v>178</v>
      </c>
      <c r="G12" s="846">
        <f>inputOth!E10</f>
        <v>0</v>
      </c>
      <c r="H12" s="325"/>
      <c r="I12" s="62"/>
      <c r="J12" s="62"/>
    </row>
    <row r="13" spans="1:10" ht="15.75">
      <c r="A13" s="990"/>
      <c r="B13" s="848"/>
      <c r="C13" s="32"/>
      <c r="D13" s="32"/>
      <c r="E13" s="988"/>
      <c r="F13" s="988"/>
      <c r="G13" s="325"/>
      <c r="H13" s="325"/>
      <c r="I13" s="62"/>
      <c r="J13" s="62"/>
    </row>
    <row r="14" spans="1:10" ht="15.75">
      <c r="A14" s="849" t="s">
        <v>183</v>
      </c>
      <c r="B14" s="32" t="str">
        <f>CONCATENATE("Increase in personal property for ",J1-1," :")</f>
        <v>Increase in personal property for -1 :</v>
      </c>
      <c r="C14" s="32"/>
      <c r="D14" s="32"/>
      <c r="E14" s="988"/>
      <c r="F14" s="988"/>
      <c r="G14" s="325"/>
      <c r="H14" s="325"/>
      <c r="I14" s="62"/>
      <c r="J14" s="62"/>
    </row>
    <row r="15" spans="1:13" ht="15.75">
      <c r="A15" s="94"/>
      <c r="B15" s="32" t="s">
        <v>184</v>
      </c>
      <c r="C15" s="32" t="str">
        <f>CONCATENATE("Personal property ",J1-1)</f>
        <v>Personal property -1</v>
      </c>
      <c r="D15" s="848" t="s">
        <v>178</v>
      </c>
      <c r="E15" s="846">
        <f>inputOth!E11</f>
        <v>0</v>
      </c>
      <c r="F15" s="988"/>
      <c r="G15" s="62"/>
      <c r="H15" s="62"/>
      <c r="I15" s="325"/>
      <c r="J15" s="62"/>
      <c r="M15" s="19"/>
    </row>
    <row r="16" spans="1:10" ht="15.75">
      <c r="A16" s="848"/>
      <c r="B16" s="32" t="s">
        <v>185</v>
      </c>
      <c r="C16" s="32" t="str">
        <f>CONCATENATE("Personal property ",J1-2)</f>
        <v>Personal property -2</v>
      </c>
      <c r="D16" s="848" t="s">
        <v>181</v>
      </c>
      <c r="E16" s="845">
        <f>inputOth!E17</f>
        <v>0</v>
      </c>
      <c r="F16" s="988"/>
      <c r="G16" s="325"/>
      <c r="H16" s="325"/>
      <c r="I16" s="62"/>
      <c r="J16" s="62"/>
    </row>
    <row r="17" spans="1:10" ht="15.75">
      <c r="A17" s="848"/>
      <c r="B17" s="32" t="s">
        <v>186</v>
      </c>
      <c r="C17" s="32" t="s">
        <v>965</v>
      </c>
      <c r="D17" s="32"/>
      <c r="E17" s="62"/>
      <c r="F17" s="62" t="s">
        <v>178</v>
      </c>
      <c r="G17" s="846">
        <f>IF(E15&gt;E16,E15-E16,0)</f>
        <v>0</v>
      </c>
      <c r="H17" s="325"/>
      <c r="I17" s="62"/>
      <c r="J17" s="62"/>
    </row>
    <row r="18" spans="1:10" ht="15.75">
      <c r="A18" s="848"/>
      <c r="B18" s="848"/>
      <c r="C18" s="32"/>
      <c r="D18" s="32"/>
      <c r="E18" s="62"/>
      <c r="F18" s="62"/>
      <c r="G18" s="325" t="s">
        <v>199</v>
      </c>
      <c r="H18" s="325"/>
      <c r="I18" s="62"/>
      <c r="J18" s="62"/>
    </row>
    <row r="19" spans="1:10" ht="15.75">
      <c r="A19" s="848" t="s">
        <v>187</v>
      </c>
      <c r="B19" s="32" t="str">
        <f>CONCATENATE("Valuation of annexed territory for ",J1-1," :")</f>
        <v>Valuation of annexed territory for -1 :</v>
      </c>
      <c r="C19" s="32"/>
      <c r="D19" s="32"/>
      <c r="E19" s="325"/>
      <c r="F19" s="62"/>
      <c r="G19" s="62"/>
      <c r="H19" s="62"/>
      <c r="I19" s="62"/>
      <c r="J19" s="62"/>
    </row>
    <row r="20" spans="1:15" ht="15.75">
      <c r="A20" s="848"/>
      <c r="B20" s="32" t="s">
        <v>188</v>
      </c>
      <c r="C20" s="32" t="s">
        <v>966</v>
      </c>
      <c r="D20" s="848" t="s">
        <v>178</v>
      </c>
      <c r="E20" s="846">
        <f>inputOth!E13</f>
        <v>0</v>
      </c>
      <c r="F20" s="62"/>
      <c r="G20" s="62"/>
      <c r="H20" s="62"/>
      <c r="I20" s="62"/>
      <c r="J20" s="62"/>
      <c r="O20" s="19"/>
    </row>
    <row r="21" spans="1:10" ht="15.75">
      <c r="A21" s="848"/>
      <c r="B21" s="32" t="s">
        <v>189</v>
      </c>
      <c r="C21" s="32" t="s">
        <v>967</v>
      </c>
      <c r="D21" s="848" t="s">
        <v>178</v>
      </c>
      <c r="E21" s="845">
        <f>inputOth!E14</f>
        <v>0</v>
      </c>
      <c r="F21" s="62"/>
      <c r="G21" s="325"/>
      <c r="H21" s="325"/>
      <c r="I21" s="62"/>
      <c r="J21" s="62"/>
    </row>
    <row r="22" spans="1:10" ht="15.75">
      <c r="A22" s="848"/>
      <c r="B22" s="32" t="s">
        <v>190</v>
      </c>
      <c r="C22" s="32" t="s">
        <v>968</v>
      </c>
      <c r="D22" s="848" t="s">
        <v>178</v>
      </c>
      <c r="E22" s="845">
        <f>inputOth!E15</f>
        <v>0</v>
      </c>
      <c r="F22" s="62"/>
      <c r="G22" s="325"/>
      <c r="H22" s="325"/>
      <c r="I22" s="62"/>
      <c r="J22" s="62"/>
    </row>
    <row r="23" spans="1:10" ht="15.75">
      <c r="A23" s="848"/>
      <c r="B23" s="32" t="s">
        <v>191</v>
      </c>
      <c r="C23" s="32" t="s">
        <v>969</v>
      </c>
      <c r="D23" s="848"/>
      <c r="E23" s="325"/>
      <c r="F23" s="62" t="s">
        <v>178</v>
      </c>
      <c r="G23" s="846">
        <f>E20+E21+E22</f>
        <v>0</v>
      </c>
      <c r="H23" s="325"/>
      <c r="I23" s="62"/>
      <c r="J23" s="62"/>
    </row>
    <row r="24" spans="1:10" ht="15.75">
      <c r="A24" s="848"/>
      <c r="B24" s="848"/>
      <c r="C24" s="32"/>
      <c r="D24" s="848"/>
      <c r="E24" s="325"/>
      <c r="F24" s="62"/>
      <c r="G24" s="325"/>
      <c r="H24" s="325"/>
      <c r="I24" s="62"/>
      <c r="J24" s="62"/>
    </row>
    <row r="25" spans="1:10" ht="15.75">
      <c r="A25" s="848" t="s">
        <v>192</v>
      </c>
      <c r="B25" s="32" t="str">
        <f>CONCATENATE("Valuation of property that has changed in use during ",J1-1," :")</f>
        <v>Valuation of property that has changed in use during -1 :</v>
      </c>
      <c r="C25" s="32"/>
      <c r="D25" s="32"/>
      <c r="E25" s="62"/>
      <c r="F25" s="988" t="s">
        <v>178</v>
      </c>
      <c r="G25" s="846">
        <f>inputOth!E16</f>
        <v>0</v>
      </c>
      <c r="H25" s="62"/>
      <c r="I25" s="62"/>
      <c r="J25" s="62"/>
    </row>
    <row r="26" spans="1:10" ht="15.75">
      <c r="A26" s="848"/>
      <c r="B26" s="32"/>
      <c r="C26" s="32"/>
      <c r="D26" s="32"/>
      <c r="E26" s="62"/>
      <c r="F26" s="988"/>
      <c r="G26" s="325"/>
      <c r="H26" s="62"/>
      <c r="I26" s="62"/>
      <c r="J26" s="62"/>
    </row>
    <row r="27" spans="1:10" ht="15.75">
      <c r="A27" s="991" t="s">
        <v>193</v>
      </c>
      <c r="B27" s="32" t="s">
        <v>1042</v>
      </c>
      <c r="C27" s="32"/>
      <c r="D27" s="32"/>
      <c r="E27" s="62"/>
      <c r="F27" s="988" t="s">
        <v>178</v>
      </c>
      <c r="G27" s="846">
        <f>inputOth!E18</f>
        <v>0</v>
      </c>
      <c r="H27" s="62"/>
      <c r="I27" s="62"/>
      <c r="J27" s="62"/>
    </row>
    <row r="28" spans="1:10" ht="15.75">
      <c r="A28" s="991"/>
      <c r="B28" s="32"/>
      <c r="C28" s="32"/>
      <c r="D28" s="32"/>
      <c r="E28" s="62"/>
      <c r="F28" s="988"/>
      <c r="G28" s="325"/>
      <c r="H28" s="62"/>
      <c r="I28" s="62"/>
      <c r="J28" s="62"/>
    </row>
    <row r="29" spans="1:10" ht="15.75">
      <c r="A29" s="991" t="s">
        <v>194</v>
      </c>
      <c r="B29" s="32" t="s">
        <v>1043</v>
      </c>
      <c r="C29" s="32"/>
      <c r="D29" s="32"/>
      <c r="E29" s="62"/>
      <c r="F29" s="988" t="s">
        <v>178</v>
      </c>
      <c r="G29" s="992"/>
      <c r="H29" s="62"/>
      <c r="I29" s="62"/>
      <c r="J29" s="62"/>
    </row>
    <row r="30" spans="1:10" ht="15.75">
      <c r="A30" s="991"/>
      <c r="B30" s="32" t="s">
        <v>1044</v>
      </c>
      <c r="C30" s="32"/>
      <c r="D30" s="32"/>
      <c r="E30" s="62"/>
      <c r="F30" s="988"/>
      <c r="G30" s="325"/>
      <c r="H30" s="62"/>
      <c r="I30" s="62"/>
      <c r="J30" s="62"/>
    </row>
    <row r="31" spans="1:10" ht="15.75">
      <c r="A31" s="32" t="s">
        <v>79</v>
      </c>
      <c r="B31" s="32"/>
      <c r="C31" s="32"/>
      <c r="D31" s="848"/>
      <c r="E31" s="325"/>
      <c r="F31" s="62"/>
      <c r="G31" s="62"/>
      <c r="H31" s="62"/>
      <c r="I31" s="62"/>
      <c r="J31" s="62"/>
    </row>
    <row r="32" spans="1:10" ht="15.75">
      <c r="A32" s="993" t="s">
        <v>195</v>
      </c>
      <c r="B32" s="32" t="s">
        <v>1045</v>
      </c>
      <c r="C32" s="32"/>
      <c r="D32" s="32"/>
      <c r="E32" s="62"/>
      <c r="F32" s="62"/>
      <c r="G32" s="846">
        <f>G12+G17+G23+G25+G27+G29</f>
        <v>0</v>
      </c>
      <c r="H32" s="325"/>
      <c r="I32" s="62"/>
      <c r="J32" s="62"/>
    </row>
    <row r="33" spans="1:10" ht="15.75">
      <c r="A33" s="993"/>
      <c r="B33" s="848"/>
      <c r="C33" s="32"/>
      <c r="D33" s="32"/>
      <c r="E33" s="62"/>
      <c r="F33" s="62"/>
      <c r="G33" s="325"/>
      <c r="H33" s="325"/>
      <c r="I33" s="62"/>
      <c r="J33" s="62"/>
    </row>
    <row r="34" spans="1:10" ht="15.75">
      <c r="A34" s="993" t="s">
        <v>196</v>
      </c>
      <c r="B34" s="32" t="str">
        <f>CONCATENATE("Total estimated valuation July 1, ",J1-1)</f>
        <v>Total estimated valuation July 1, -1</v>
      </c>
      <c r="C34" s="32"/>
      <c r="D34" s="32"/>
      <c r="E34" s="846">
        <f>inputOth!E9</f>
        <v>0</v>
      </c>
      <c r="F34" s="62"/>
      <c r="G34" s="62"/>
      <c r="H34" s="62"/>
      <c r="I34" s="988"/>
      <c r="J34" s="62"/>
    </row>
    <row r="35" spans="1:10" ht="15.75">
      <c r="A35" s="993"/>
      <c r="B35" s="848"/>
      <c r="C35" s="32"/>
      <c r="D35" s="32"/>
      <c r="E35" s="325"/>
      <c r="F35" s="62"/>
      <c r="G35" s="62"/>
      <c r="H35" s="62"/>
      <c r="I35" s="988"/>
      <c r="J35" s="62"/>
    </row>
    <row r="36" spans="1:10" ht="15.75">
      <c r="A36" s="993" t="s">
        <v>197</v>
      </c>
      <c r="B36" s="32" t="s">
        <v>1046</v>
      </c>
      <c r="C36" s="32"/>
      <c r="D36" s="32"/>
      <c r="E36" s="32"/>
      <c r="F36" s="32"/>
      <c r="G36" s="994" t="e">
        <f>G32/(E34-G32)</f>
        <v>#DIV/0!</v>
      </c>
      <c r="H36" s="52"/>
      <c r="I36" s="32"/>
      <c r="J36" s="32"/>
    </row>
    <row r="37" spans="1:10" ht="15.75">
      <c r="A37" s="993"/>
      <c r="B37" s="848"/>
      <c r="C37" s="32"/>
      <c r="D37" s="32"/>
      <c r="E37" s="32"/>
      <c r="F37" s="32"/>
      <c r="G37" s="52"/>
      <c r="H37" s="52"/>
      <c r="I37" s="32"/>
      <c r="J37" s="32"/>
    </row>
    <row r="38" spans="1:10" ht="15.75">
      <c r="A38" s="993" t="s">
        <v>198</v>
      </c>
      <c r="B38" s="32" t="s">
        <v>1047</v>
      </c>
      <c r="C38" s="32"/>
      <c r="D38" s="32"/>
      <c r="E38" s="32"/>
      <c r="F38" s="32"/>
      <c r="G38" s="52"/>
      <c r="H38" s="995" t="s">
        <v>178</v>
      </c>
      <c r="I38" s="32" t="s">
        <v>179</v>
      </c>
      <c r="J38" s="846" t="e">
        <f>ROUND(G36*J8,0)</f>
        <v>#DIV/0!</v>
      </c>
    </row>
    <row r="39" spans="1:10" ht="15.75">
      <c r="A39" s="996"/>
      <c r="B39" s="909"/>
      <c r="C39" s="909"/>
      <c r="D39" s="909"/>
      <c r="E39" s="909"/>
      <c r="F39" s="909"/>
      <c r="G39" s="909"/>
      <c r="H39" s="909"/>
      <c r="I39" s="909"/>
      <c r="J39" s="997"/>
    </row>
    <row r="40" spans="1:10" ht="15.75">
      <c r="A40" s="996" t="s">
        <v>209</v>
      </c>
      <c r="B40" s="909" t="str">
        <f>CONCATENATE("Consumer Price Index for all urban consumers for calendar year ",J1-2," (5 year average)")</f>
        <v>Consumer Price Index for all urban consumers for calendar year -2 (5 year average)</v>
      </c>
      <c r="C40" s="909"/>
      <c r="D40" s="909"/>
      <c r="E40" s="909"/>
      <c r="F40" s="909"/>
      <c r="G40" s="909"/>
      <c r="H40" s="909"/>
      <c r="I40" s="909"/>
      <c r="J40" s="998">
        <f>inputPrYr!C8</f>
        <v>0</v>
      </c>
    </row>
    <row r="41" spans="1:10" ht="15.75">
      <c r="A41" s="996"/>
      <c r="B41" s="909"/>
      <c r="C41" s="909"/>
      <c r="D41" s="909"/>
      <c r="E41" s="909"/>
      <c r="F41" s="909"/>
      <c r="G41" s="909"/>
      <c r="H41" s="909"/>
      <c r="I41" s="909"/>
      <c r="J41" s="999"/>
    </row>
    <row r="42" spans="1:10" ht="15.75">
      <c r="A42" s="996" t="s">
        <v>210</v>
      </c>
      <c r="B42" s="909" t="s">
        <v>1048</v>
      </c>
      <c r="C42" s="909"/>
      <c r="D42" s="909"/>
      <c r="E42" s="909"/>
      <c r="F42" s="909"/>
      <c r="G42" s="909"/>
      <c r="H42" s="909"/>
      <c r="I42" s="1000" t="s">
        <v>179</v>
      </c>
      <c r="J42" s="1001">
        <f>ROUND(J8*J40,0)</f>
        <v>0</v>
      </c>
    </row>
    <row r="43" spans="1:10" ht="15.75">
      <c r="A43" s="1002"/>
      <c r="B43" s="909"/>
      <c r="C43" s="909"/>
      <c r="D43" s="909"/>
      <c r="E43" s="909"/>
      <c r="F43" s="909"/>
      <c r="G43" s="909"/>
      <c r="H43" s="909"/>
      <c r="I43" s="909"/>
      <c r="J43" s="997"/>
    </row>
    <row r="44" spans="1:10" ht="15.75">
      <c r="A44" s="1002"/>
      <c r="B44" s="909"/>
      <c r="C44" s="909"/>
      <c r="D44" s="909"/>
      <c r="E44" s="909"/>
      <c r="F44" s="909"/>
      <c r="G44" s="909"/>
      <c r="H44" s="909"/>
      <c r="I44" s="909"/>
      <c r="J44" s="1003"/>
    </row>
    <row r="45" spans="1:10" ht="18.75">
      <c r="A45" s="1004" t="s">
        <v>962</v>
      </c>
      <c r="B45" s="1005" t="s">
        <v>1049</v>
      </c>
      <c r="C45" s="1005"/>
      <c r="D45" s="1006"/>
      <c r="E45" s="1006"/>
      <c r="F45" s="1006"/>
      <c r="G45" s="1006"/>
      <c r="H45" s="1006"/>
      <c r="I45" s="1000" t="s">
        <v>179</v>
      </c>
      <c r="J45" s="1007" t="e">
        <f>J38+J42</f>
        <v>#DIV/0!</v>
      </c>
    </row>
    <row r="46" spans="1:10" ht="18.75">
      <c r="A46" s="1006"/>
      <c r="B46" s="1008"/>
      <c r="C46" s="1006"/>
      <c r="D46" s="1006"/>
      <c r="E46" s="1006"/>
      <c r="F46" s="1006"/>
      <c r="G46" s="1006"/>
      <c r="H46" s="1006"/>
      <c r="I46" s="1000"/>
      <c r="J46" s="997"/>
    </row>
    <row r="47" spans="1:10" ht="18.75">
      <c r="A47" s="1006"/>
      <c r="B47" s="1008"/>
      <c r="C47" s="1006"/>
      <c r="D47" s="1006"/>
      <c r="E47" s="1006"/>
      <c r="F47" s="1006"/>
      <c r="G47" s="1006"/>
      <c r="H47" s="1006"/>
      <c r="I47" s="1000"/>
      <c r="J47" s="997"/>
    </row>
    <row r="48" spans="1:10" ht="15" customHeight="1">
      <c r="A48" s="1123"/>
      <c r="B48" s="1123"/>
      <c r="C48" s="1123"/>
      <c r="D48" s="1123"/>
      <c r="E48" s="1123"/>
      <c r="F48" s="1123"/>
      <c r="G48" s="1123"/>
      <c r="H48" s="1123"/>
      <c r="I48" s="1123"/>
      <c r="J48" s="1123"/>
    </row>
    <row r="49" spans="1:10" ht="31.5" customHeight="1">
      <c r="A49" s="1009"/>
      <c r="B49" s="1009"/>
      <c r="C49" s="1009"/>
      <c r="D49" s="1009"/>
      <c r="E49" s="1009"/>
      <c r="F49" s="1009"/>
      <c r="G49" s="1009"/>
      <c r="H49" s="1009"/>
      <c r="I49" s="1009"/>
      <c r="J49" s="1009"/>
    </row>
    <row r="50" spans="1:10" ht="15" customHeight="1">
      <c r="A50" s="1122"/>
      <c r="B50" s="1122"/>
      <c r="C50" s="1122"/>
      <c r="D50" s="1122"/>
      <c r="E50" s="1122"/>
      <c r="F50" s="1122"/>
      <c r="G50" s="1122"/>
      <c r="H50" s="1122"/>
      <c r="I50" s="1122"/>
      <c r="J50" s="1122"/>
    </row>
    <row r="51" spans="1:10" ht="15" customHeight="1">
      <c r="A51" s="1122"/>
      <c r="B51" s="1122"/>
      <c r="C51" s="1122"/>
      <c r="D51" s="1122"/>
      <c r="E51" s="1122"/>
      <c r="F51" s="1122"/>
      <c r="G51" s="1122"/>
      <c r="H51" s="1122"/>
      <c r="I51" s="1122"/>
      <c r="J51" s="1122"/>
    </row>
    <row r="52" ht="15.75" customHeight="1">
      <c r="J52" s="1010"/>
    </row>
  </sheetData>
  <sheetProtection/>
  <mergeCells count="5">
    <mergeCell ref="E4:G4"/>
    <mergeCell ref="A51:J51"/>
    <mergeCell ref="A50:J50"/>
    <mergeCell ref="A10:J10"/>
    <mergeCell ref="A48:J48"/>
  </mergeCells>
  <printOptions/>
  <pageMargins left="0.5" right="0.5" top="1" bottom="0.5" header="0.5" footer="0.5"/>
  <pageSetup blackAndWhite="1" fitToHeight="1" fitToWidth="1" horizontalDpi="600" verticalDpi="600" orientation="portrait" scale="73"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1">
      <selection activeCell="N45" sqref="N45"/>
    </sheetView>
  </sheetViews>
  <sheetFormatPr defaultColWidth="8.796875" defaultRowHeight="15"/>
  <cols>
    <col min="1" max="1" width="3.59765625" style="1049" customWidth="1"/>
    <col min="2" max="2" width="9.796875" style="0" customWidth="1"/>
    <col min="3" max="3" width="27.8984375" style="0" customWidth="1"/>
    <col min="4" max="4" width="13.69921875" style="0" customWidth="1"/>
    <col min="5" max="5" width="7.59765625" style="0" customWidth="1"/>
    <col min="6" max="6" width="5.296875" style="0" customWidth="1"/>
    <col min="7" max="7" width="8" style="0" customWidth="1"/>
    <col min="8" max="8" width="3" style="0" customWidth="1"/>
    <col min="9" max="9" width="2.09765625" style="0" customWidth="1"/>
    <col min="11" max="11" width="4.796875" style="0" customWidth="1"/>
  </cols>
  <sheetData>
    <row r="1" spans="1:11" ht="15.75">
      <c r="A1" s="1011"/>
      <c r="B1" s="1012"/>
      <c r="C1" s="1013">
        <f>inputPrYr!D3</f>
        <v>0</v>
      </c>
      <c r="D1" s="1012"/>
      <c r="E1" s="1012"/>
      <c r="F1" s="1012"/>
      <c r="G1" s="1012"/>
      <c r="H1" s="1012"/>
      <c r="I1" s="1012"/>
      <c r="J1" s="1012"/>
      <c r="K1" s="1014">
        <f>inputPrYr!C6</f>
        <v>0</v>
      </c>
    </row>
    <row r="2" spans="1:11" ht="15.75">
      <c r="A2" s="1011"/>
      <c r="B2" s="1012"/>
      <c r="C2" s="1012"/>
      <c r="D2" s="1012"/>
      <c r="E2" s="1012"/>
      <c r="F2" s="1012"/>
      <c r="G2" s="1012"/>
      <c r="H2" s="1012"/>
      <c r="I2" s="1012"/>
      <c r="J2" s="1012"/>
      <c r="K2" s="1012"/>
    </row>
    <row r="3" spans="1:11" ht="15.75">
      <c r="A3" s="1011"/>
      <c r="B3" s="1012"/>
      <c r="C3" s="1012"/>
      <c r="D3" s="1012"/>
      <c r="E3" s="1015"/>
      <c r="F3" s="1015"/>
      <c r="G3" s="1015"/>
      <c r="H3" s="1015"/>
      <c r="I3" s="1015"/>
      <c r="J3" s="1015"/>
      <c r="K3" s="1015"/>
    </row>
    <row r="4" spans="1:11" ht="15.75">
      <c r="A4" s="1121" t="str">
        <f>CONCATENATE(K1," Revenue Adjustments")</f>
        <v>0 Revenue Adjustments</v>
      </c>
      <c r="B4" s="1121"/>
      <c r="C4" s="1121"/>
      <c r="D4" s="1121"/>
      <c r="E4" s="1121"/>
      <c r="F4" s="1121"/>
      <c r="G4" s="1121"/>
      <c r="H4" s="1121"/>
      <c r="I4" s="1121"/>
      <c r="J4" s="1121"/>
      <c r="K4" s="1121"/>
    </row>
    <row r="5" spans="1:11" ht="15.75">
      <c r="A5" s="1011"/>
      <c r="B5" s="1012"/>
      <c r="C5" s="1012"/>
      <c r="D5" s="1012"/>
      <c r="E5" s="1015"/>
      <c r="F5" s="1015"/>
      <c r="G5" s="1015"/>
      <c r="H5" s="1015"/>
      <c r="I5" s="1015"/>
      <c r="J5" s="1015"/>
      <c r="K5" s="1015"/>
    </row>
    <row r="6" spans="1:11" ht="15.75">
      <c r="A6" s="1016" t="s">
        <v>963</v>
      </c>
      <c r="B6" s="1012" t="str">
        <f>CONCATENATE("Property tax revenues for debt service in  ",K1," budget:")</f>
        <v>Property tax revenues for debt service in  0 budget:</v>
      </c>
      <c r="C6" s="1012"/>
      <c r="D6" s="1012"/>
      <c r="E6" s="1017"/>
      <c r="F6" s="1017"/>
      <c r="G6" s="1018"/>
      <c r="H6" s="1018"/>
      <c r="I6" s="1017" t="s">
        <v>178</v>
      </c>
      <c r="J6" s="1019">
        <f>DebtService!E60</f>
        <v>0</v>
      </c>
      <c r="K6" s="1015"/>
    </row>
    <row r="7" spans="1:11" ht="15.75">
      <c r="A7" s="1016"/>
      <c r="B7" s="1012" t="str">
        <f>CONCATENATE("Property tax revenues for debt service in  ",K1-1," budget:")</f>
        <v>Property tax revenues for debt service in  -1 budget:</v>
      </c>
      <c r="C7" s="1012"/>
      <c r="D7" s="1012"/>
      <c r="E7" s="1017"/>
      <c r="F7" s="1017"/>
      <c r="G7" s="1018"/>
      <c r="H7" s="1018"/>
      <c r="I7" s="1017" t="s">
        <v>181</v>
      </c>
      <c r="J7" s="1020">
        <f>inputPrYr!E23</f>
        <v>0</v>
      </c>
      <c r="K7" s="1015"/>
    </row>
    <row r="8" spans="1:11" ht="15.75">
      <c r="A8" s="1016"/>
      <c r="B8" s="1012" t="s">
        <v>1050</v>
      </c>
      <c r="C8" s="1012"/>
      <c r="D8" s="1012"/>
      <c r="E8" s="1017"/>
      <c r="F8" s="1017"/>
      <c r="G8" s="1018"/>
      <c r="H8" s="1018"/>
      <c r="I8" s="1017"/>
      <c r="J8" s="1020">
        <f>IF(J6-J7&gt;0,J6-J7,0)</f>
        <v>0</v>
      </c>
      <c r="K8" s="1015"/>
    </row>
    <row r="9" spans="1:11" ht="15.75">
      <c r="A9" s="1016"/>
      <c r="B9" s="1012"/>
      <c r="C9" s="1012"/>
      <c r="D9" s="1012"/>
      <c r="E9" s="1017"/>
      <c r="F9" s="1017"/>
      <c r="G9" s="1018"/>
      <c r="H9" s="1018"/>
      <c r="I9" s="1017"/>
      <c r="J9" s="1018"/>
      <c r="K9" s="1015"/>
    </row>
    <row r="10" spans="1:11" ht="15.75">
      <c r="A10" s="1016"/>
      <c r="B10" s="1021"/>
      <c r="C10" s="1012"/>
      <c r="D10" s="1012"/>
      <c r="E10" s="1017"/>
      <c r="F10" s="1017"/>
      <c r="G10" s="1018"/>
      <c r="H10" s="1018"/>
      <c r="I10" s="1017"/>
      <c r="J10" s="1018"/>
      <c r="K10" s="1015"/>
    </row>
    <row r="11" spans="1:11" ht="15.75">
      <c r="A11" s="1016" t="s">
        <v>964</v>
      </c>
      <c r="B11" s="1012" t="str">
        <f>CONCATENATE("Property tax revenues spent for public building commission and lease payments in the ",K1," budget:")</f>
        <v>Property tax revenues spent for public building commission and lease payments in the 0 budget:</v>
      </c>
      <c r="C11" s="1012"/>
      <c r="D11" s="1012"/>
      <c r="E11" s="1017"/>
      <c r="F11" s="1017"/>
      <c r="G11" s="1018"/>
      <c r="H11" s="1018"/>
      <c r="I11" s="1017" t="s">
        <v>178</v>
      </c>
      <c r="J11" s="992"/>
      <c r="K11" s="1015"/>
    </row>
    <row r="12" spans="1:11" ht="15.75">
      <c r="A12" s="1011"/>
      <c r="B12" s="1012" t="s">
        <v>1051</v>
      </c>
      <c r="C12" s="1012"/>
      <c r="D12" s="1021"/>
      <c r="E12" s="1018"/>
      <c r="F12" s="1022"/>
      <c r="G12" s="1018"/>
      <c r="H12" s="1018"/>
      <c r="I12" s="1022"/>
      <c r="J12" s="1018"/>
      <c r="K12" s="1015"/>
    </row>
    <row r="13" spans="1:11" ht="15.75">
      <c r="A13" s="1016"/>
      <c r="B13" s="1012" t="s">
        <v>1052</v>
      </c>
      <c r="C13" s="1012"/>
      <c r="D13" s="1021"/>
      <c r="E13" s="1018"/>
      <c r="F13" s="1022"/>
      <c r="G13" s="1018"/>
      <c r="H13" s="1018"/>
      <c r="I13" s="1022"/>
      <c r="J13" s="1018"/>
      <c r="K13" s="1015"/>
    </row>
    <row r="14" spans="1:11" ht="15.75">
      <c r="A14" s="1016"/>
      <c r="B14" s="1012"/>
      <c r="C14" s="1012"/>
      <c r="D14" s="1021"/>
      <c r="E14" s="1018"/>
      <c r="F14" s="1022"/>
      <c r="G14" s="1018"/>
      <c r="H14" s="1018"/>
      <c r="I14" s="1022"/>
      <c r="J14" s="1018"/>
      <c r="K14" s="1015"/>
    </row>
    <row r="15" spans="1:11" ht="15.75">
      <c r="A15" s="1016"/>
      <c r="B15" s="1012" t="s">
        <v>1053</v>
      </c>
      <c r="C15" s="1012"/>
      <c r="D15" s="1012"/>
      <c r="E15" s="1017"/>
      <c r="F15" s="1017"/>
      <c r="G15" s="1018"/>
      <c r="H15" s="1018"/>
      <c r="I15" s="1017" t="s">
        <v>181</v>
      </c>
      <c r="J15" s="992"/>
      <c r="K15" s="1015"/>
    </row>
    <row r="16" spans="1:11" ht="15.75">
      <c r="A16" s="1016"/>
      <c r="B16" s="1012" t="s">
        <v>1054</v>
      </c>
      <c r="C16" s="1012"/>
      <c r="D16" s="1012"/>
      <c r="E16" s="1017"/>
      <c r="F16" s="1017"/>
      <c r="G16" s="1018"/>
      <c r="H16" s="1018"/>
      <c r="I16" s="1017"/>
      <c r="J16" s="1020">
        <f>IF(J14-J15&gt;0,J14-J15,0)</f>
        <v>0</v>
      </c>
      <c r="K16" s="1015"/>
    </row>
    <row r="17" spans="1:11" ht="15.75">
      <c r="A17" s="1016"/>
      <c r="B17" s="1012"/>
      <c r="C17" s="1012"/>
      <c r="D17" s="1012"/>
      <c r="E17" s="1018"/>
      <c r="F17" s="1018"/>
      <c r="G17" s="1018"/>
      <c r="H17" s="1018"/>
      <c r="I17" s="1018"/>
      <c r="J17" s="1018"/>
      <c r="K17" s="1015"/>
    </row>
    <row r="18" spans="1:11" ht="15.75">
      <c r="A18" s="1016" t="s">
        <v>1055</v>
      </c>
      <c r="B18" s="1012" t="str">
        <f>CONCATENATE("Property tax revenues spent on special assessments in the  ",K1," budget:")</f>
        <v>Property tax revenues spent on special assessments in the  0 budget:</v>
      </c>
      <c r="C18" s="1012"/>
      <c r="D18" s="1012"/>
      <c r="E18" s="1017"/>
      <c r="F18" s="1017"/>
      <c r="G18" s="1018"/>
      <c r="H18" s="1018"/>
      <c r="I18" s="1017" t="s">
        <v>178</v>
      </c>
      <c r="J18" s="992"/>
      <c r="K18" s="1015"/>
    </row>
    <row r="19" spans="1:11" ht="15.75">
      <c r="A19" s="1023"/>
      <c r="B19" s="1012" t="s">
        <v>1052</v>
      </c>
      <c r="C19" s="1024"/>
      <c r="D19" s="1024"/>
      <c r="E19" s="1018"/>
      <c r="F19" s="1018"/>
      <c r="G19" s="1018"/>
      <c r="H19" s="1018"/>
      <c r="I19" s="1018"/>
      <c r="J19" s="1018"/>
      <c r="K19" s="1018"/>
    </row>
    <row r="20" spans="1:11" ht="15.75">
      <c r="A20" s="1023"/>
      <c r="B20" s="1024"/>
      <c r="C20" s="1024"/>
      <c r="D20" s="1025"/>
      <c r="E20" s="1018"/>
      <c r="F20" s="1018"/>
      <c r="G20" s="1018"/>
      <c r="H20" s="1018"/>
      <c r="I20" s="1018"/>
      <c r="J20" s="1018"/>
      <c r="K20" s="1018"/>
    </row>
    <row r="21" spans="1:11" ht="15.75">
      <c r="A21" s="1023" t="s">
        <v>1056</v>
      </c>
      <c r="B21" s="1012" t="str">
        <f>CONCATENATE("Property tax revenues spent on court judgments or settlements and associated legal costs in the ",K1," budget:")</f>
        <v>Property tax revenues spent on court judgments or settlements and associated legal costs in the 0 budget:</v>
      </c>
      <c r="C21" s="1024"/>
      <c r="D21" s="1025"/>
      <c r="E21" s="1018"/>
      <c r="F21" s="1017"/>
      <c r="G21" s="1018"/>
      <c r="H21" s="1018"/>
      <c r="I21" s="1017" t="s">
        <v>178</v>
      </c>
      <c r="J21" s="992"/>
      <c r="K21" s="1018"/>
    </row>
    <row r="22" spans="1:11" ht="15.75">
      <c r="A22" s="1023"/>
      <c r="B22" s="1024"/>
      <c r="C22" s="1024"/>
      <c r="D22" s="1025"/>
      <c r="E22" s="1018"/>
      <c r="F22" s="1018"/>
      <c r="G22" s="1018"/>
      <c r="H22" s="1018"/>
      <c r="I22" s="1018"/>
      <c r="J22" s="1018"/>
      <c r="K22" s="1018"/>
    </row>
    <row r="23" spans="1:11" ht="15.75">
      <c r="A23" s="1023" t="s">
        <v>1057</v>
      </c>
      <c r="B23" s="1012" t="s">
        <v>1058</v>
      </c>
      <c r="C23" s="1024"/>
      <c r="D23" s="1025"/>
      <c r="E23" s="1018"/>
      <c r="F23" s="1018"/>
      <c r="G23" s="1018"/>
      <c r="H23" s="1018"/>
      <c r="I23" s="1018"/>
      <c r="J23" s="1018"/>
      <c r="K23" s="1018"/>
    </row>
    <row r="24" spans="1:11" ht="15.75">
      <c r="A24" s="1023"/>
      <c r="B24" s="1012" t="str">
        <f>CONCATENATE("and loss of funding from Federal sources after January 1, 2017 in the ",K1," budget:")</f>
        <v>and loss of funding from Federal sources after January 1, 2017 in the 0 budget:</v>
      </c>
      <c r="C24" s="1024"/>
      <c r="D24" s="1025"/>
      <c r="E24" s="1018"/>
      <c r="F24" s="1017"/>
      <c r="G24" s="1018"/>
      <c r="H24" s="1018"/>
      <c r="I24" s="1017" t="s">
        <v>178</v>
      </c>
      <c r="J24" s="992"/>
      <c r="K24" s="1018"/>
    </row>
    <row r="25" spans="1:11" ht="15.75">
      <c r="A25" s="1023"/>
      <c r="B25" s="1024"/>
      <c r="C25" s="1024"/>
      <c r="D25" s="1024"/>
      <c r="E25" s="1018"/>
      <c r="F25" s="1022"/>
      <c r="G25" s="1018"/>
      <c r="H25" s="1018"/>
      <c r="I25" s="1022"/>
      <c r="J25" s="1018"/>
      <c r="K25" s="1018"/>
    </row>
    <row r="26" spans="1:11" ht="15.75">
      <c r="A26" s="1023" t="s">
        <v>1059</v>
      </c>
      <c r="B26" s="1012" t="str">
        <f>CONCATENATE("Property tax revenues spent on expenses realted to disaster or Federal Emergency in the ",K1," budget:")</f>
        <v>Property tax revenues spent on expenses realted to disaster or Federal Emergency in the 0 budget:</v>
      </c>
      <c r="C26" s="1024"/>
      <c r="D26" s="1025"/>
      <c r="E26" s="1018"/>
      <c r="F26" s="1017"/>
      <c r="G26" s="1018"/>
      <c r="H26" s="1018"/>
      <c r="I26" s="1017" t="s">
        <v>178</v>
      </c>
      <c r="J26" s="992"/>
      <c r="K26" s="1018"/>
    </row>
    <row r="27" spans="1:11" ht="15.75">
      <c r="A27" s="1023"/>
      <c r="B27" s="1012"/>
      <c r="C27" s="1024"/>
      <c r="D27" s="1025"/>
      <c r="E27" s="1018"/>
      <c r="F27" s="1017"/>
      <c r="G27" s="1018"/>
      <c r="H27" s="1018"/>
      <c r="I27" s="1017"/>
      <c r="J27" s="1018"/>
      <c r="K27" s="1018"/>
    </row>
    <row r="28" spans="1:11" ht="15.75">
      <c r="A28" s="1023"/>
      <c r="B28" s="1024"/>
      <c r="C28" s="1024"/>
      <c r="D28" s="1024"/>
      <c r="E28" s="1018"/>
      <c r="F28" s="1018"/>
      <c r="G28" s="1018"/>
      <c r="H28" s="1018"/>
      <c r="I28" s="1018"/>
      <c r="J28" s="1018"/>
      <c r="K28" s="1018"/>
    </row>
    <row r="29" spans="1:11" ht="15.75">
      <c r="A29" s="1023" t="s">
        <v>1060</v>
      </c>
      <c r="B29" s="1012" t="str">
        <f>CONCATENATE("Law enforcement expenses - ",K1," budget:")</f>
        <v>Law enforcement expenses - 0 budget:</v>
      </c>
      <c r="C29" s="1024"/>
      <c r="D29" s="1024"/>
      <c r="E29" s="1018"/>
      <c r="F29" s="1026" t="s">
        <v>178</v>
      </c>
      <c r="G29" s="992"/>
      <c r="H29" s="1018"/>
      <c r="I29" s="1018"/>
      <c r="J29" s="1018"/>
      <c r="K29" s="1018"/>
    </row>
    <row r="30" spans="1:11" ht="15.75">
      <c r="A30" s="1023"/>
      <c r="B30" s="1012" t="str">
        <f>CONCATENATE("Law enforcement expenses - ",K1-1," budget:")</f>
        <v>Law enforcement expenses - -1 budget:</v>
      </c>
      <c r="C30" s="1024"/>
      <c r="D30" s="1024"/>
      <c r="E30" s="1018"/>
      <c r="F30" s="1027" t="s">
        <v>181</v>
      </c>
      <c r="G30" s="1028"/>
      <c r="H30" s="1018"/>
      <c r="I30" s="1018"/>
      <c r="J30" s="1022"/>
      <c r="K30" s="1018"/>
    </row>
    <row r="31" spans="1:11" ht="15.75">
      <c r="A31" s="1023"/>
      <c r="B31" s="1012" t="s">
        <v>1061</v>
      </c>
      <c r="C31" s="1024"/>
      <c r="D31" s="1024"/>
      <c r="E31" s="1029">
        <f>inputPrYr!C8</f>
        <v>0</v>
      </c>
      <c r="F31" s="1018"/>
      <c r="G31" s="1020">
        <f>G30*E31</f>
        <v>0</v>
      </c>
      <c r="H31" s="1018"/>
      <c r="I31" s="1018"/>
      <c r="J31" s="1022"/>
      <c r="K31" s="1018"/>
    </row>
    <row r="32" spans="1:11" ht="15.75">
      <c r="A32" s="1023"/>
      <c r="B32" s="1012" t="str">
        <f>CONCATENATE("Increased law enforcement expenses in ",K1," budget:")</f>
        <v>Increased law enforcement expenses in 0 budget:</v>
      </c>
      <c r="C32" s="1024"/>
      <c r="D32" s="1024"/>
      <c r="E32" s="1018"/>
      <c r="F32" s="1018"/>
      <c r="G32" s="1018"/>
      <c r="H32" s="1018"/>
      <c r="I32" s="1017" t="s">
        <v>178</v>
      </c>
      <c r="J32" s="1019">
        <f>IF(G29-G30-G31&gt;0,G29-G30-G31,0)</f>
        <v>0</v>
      </c>
      <c r="K32" s="1018"/>
    </row>
    <row r="33" spans="1:11" ht="15.75">
      <c r="A33" s="1023"/>
      <c r="B33" s="1025" t="s">
        <v>1062</v>
      </c>
      <c r="C33" s="1024"/>
      <c r="D33" s="1024"/>
      <c r="E33" s="1018"/>
      <c r="F33" s="1018"/>
      <c r="G33" s="1018"/>
      <c r="H33" s="1018"/>
      <c r="I33" s="1018"/>
      <c r="J33" s="1022"/>
      <c r="K33" s="1018"/>
    </row>
    <row r="34" spans="1:11" ht="15.75">
      <c r="A34" s="1023"/>
      <c r="B34" s="1024"/>
      <c r="C34" s="1024"/>
      <c r="D34" s="1024"/>
      <c r="E34" s="1024"/>
      <c r="F34" s="1024"/>
      <c r="G34" s="1030"/>
      <c r="H34" s="1030"/>
      <c r="I34" s="1024"/>
      <c r="J34" s="1024"/>
      <c r="K34" s="1024"/>
    </row>
    <row r="35" spans="1:11" ht="15.75">
      <c r="A35" s="1023" t="s">
        <v>1063</v>
      </c>
      <c r="B35" s="1012" t="str">
        <f>CONCATENATE("Fire protection expenses - ",K1," budget:")</f>
        <v>Fire protection expenses - 0 budget:</v>
      </c>
      <c r="C35" s="1024"/>
      <c r="D35" s="1024"/>
      <c r="E35" s="1018"/>
      <c r="F35" s="1026" t="s">
        <v>178</v>
      </c>
      <c r="G35" s="992"/>
      <c r="H35" s="1018"/>
      <c r="I35" s="1018"/>
      <c r="J35" s="1018"/>
      <c r="K35" s="1018"/>
    </row>
    <row r="36" spans="1:11" ht="15.75">
      <c r="A36" s="1023"/>
      <c r="B36" s="1012" t="str">
        <f>CONCATENATE("Fire protection expenses - ",K1-1," budget:")</f>
        <v>Fire protection expenses - -1 budget:</v>
      </c>
      <c r="C36" s="1024"/>
      <c r="D36" s="1024"/>
      <c r="E36" s="1018"/>
      <c r="F36" s="1027" t="s">
        <v>181</v>
      </c>
      <c r="G36" s="1028"/>
      <c r="H36" s="1018"/>
      <c r="I36" s="1018"/>
      <c r="J36" s="1022"/>
      <c r="K36" s="1018"/>
    </row>
    <row r="37" spans="1:11" ht="15.75">
      <c r="A37" s="1023"/>
      <c r="B37" s="1012" t="s">
        <v>1061</v>
      </c>
      <c r="C37" s="1024"/>
      <c r="D37" s="1024"/>
      <c r="E37" s="1029">
        <f>inputPrYr!C8</f>
        <v>0</v>
      </c>
      <c r="F37" s="1018"/>
      <c r="G37" s="1020">
        <f>G36*E37</f>
        <v>0</v>
      </c>
      <c r="H37" s="1018"/>
      <c r="I37" s="1018"/>
      <c r="J37" s="1022"/>
      <c r="K37" s="1018"/>
    </row>
    <row r="38" spans="1:11" ht="15.75">
      <c r="A38" s="1023"/>
      <c r="B38" s="1012" t="str">
        <f>CONCATENATE("Increased fire protection expense in ",K1," budget:")</f>
        <v>Increased fire protection expense in 0 budget:</v>
      </c>
      <c r="C38" s="1024"/>
      <c r="D38" s="1024"/>
      <c r="E38" s="1018"/>
      <c r="F38" s="1018"/>
      <c r="G38" s="1018"/>
      <c r="H38" s="1018"/>
      <c r="I38" s="1017" t="s">
        <v>178</v>
      </c>
      <c r="J38" s="1019">
        <f>IF(G35-G36-G37&gt;0,G35-G36-G37,0)</f>
        <v>0</v>
      </c>
      <c r="K38" s="1018"/>
    </row>
    <row r="39" spans="1:11" ht="15.75">
      <c r="A39" s="1031"/>
      <c r="B39" s="1025" t="s">
        <v>1062</v>
      </c>
      <c r="C39" s="1024"/>
      <c r="D39" s="1024"/>
      <c r="E39" s="1024"/>
      <c r="F39" s="1024"/>
      <c r="G39" s="1024"/>
      <c r="H39" s="1024"/>
      <c r="I39" s="1024"/>
      <c r="J39" s="1024"/>
      <c r="K39" s="1018"/>
    </row>
    <row r="40" spans="1:11" ht="15.75">
      <c r="A40" s="1023"/>
      <c r="B40" s="1024"/>
      <c r="C40" s="1024"/>
      <c r="D40" s="1024"/>
      <c r="E40" s="1024"/>
      <c r="F40" s="1024"/>
      <c r="G40" s="1024"/>
      <c r="H40" s="1024"/>
      <c r="I40" s="1024"/>
      <c r="J40" s="1024"/>
      <c r="K40" s="1032"/>
    </row>
    <row r="41" spans="1:11" ht="15.75">
      <c r="A41" s="1023" t="s">
        <v>1064</v>
      </c>
      <c r="B41" s="1012" t="str">
        <f>CONCATENATE("Emergency medical expenses - ",K1," budget:")</f>
        <v>Emergency medical expenses - 0 budget:</v>
      </c>
      <c r="C41" s="1024"/>
      <c r="D41" s="1024"/>
      <c r="E41" s="1018"/>
      <c r="F41" s="1026" t="s">
        <v>178</v>
      </c>
      <c r="G41" s="992"/>
      <c r="H41" s="1018"/>
      <c r="I41" s="1018"/>
      <c r="J41" s="1018"/>
      <c r="K41" s="1018"/>
    </row>
    <row r="42" spans="1:11" ht="15.75">
      <c r="A42" s="1023"/>
      <c r="B42" s="1012" t="str">
        <f>CONCATENATE("Emergency medical expenses - ",K1-1," budget:")</f>
        <v>Emergency medical expenses - -1 budget:</v>
      </c>
      <c r="C42" s="1024"/>
      <c r="D42" s="1024"/>
      <c r="E42" s="1018"/>
      <c r="F42" s="1027" t="s">
        <v>181</v>
      </c>
      <c r="G42" s="1028"/>
      <c r="H42" s="1018"/>
      <c r="I42" s="1018"/>
      <c r="J42" s="1022"/>
      <c r="K42" s="1018"/>
    </row>
    <row r="43" spans="1:11" ht="15.75">
      <c r="A43" s="1033"/>
      <c r="B43" s="1012" t="s">
        <v>1061</v>
      </c>
      <c r="C43" s="1024"/>
      <c r="D43" s="1024"/>
      <c r="E43" s="1029">
        <f>inputPrYr!C8</f>
        <v>0</v>
      </c>
      <c r="F43" s="1018"/>
      <c r="G43" s="1020">
        <f>G42*E43</f>
        <v>0</v>
      </c>
      <c r="H43" s="1018"/>
      <c r="I43" s="1018"/>
      <c r="J43" s="1022"/>
      <c r="K43" s="1018"/>
    </row>
    <row r="44" spans="1:11" ht="15.75">
      <c r="A44" s="1033"/>
      <c r="B44" s="1012" t="str">
        <f>CONCATENATE("Increased emergency medical expenses in ",K1," budget:")</f>
        <v>Increased emergency medical expenses in 0 budget:</v>
      </c>
      <c r="C44" s="1024"/>
      <c r="D44" s="1024"/>
      <c r="E44" s="1018"/>
      <c r="F44" s="1018"/>
      <c r="G44" s="1018"/>
      <c r="H44" s="1018"/>
      <c r="I44" s="1017" t="s">
        <v>178</v>
      </c>
      <c r="J44" s="1019">
        <f>IF(G41-G42-G43&gt;0,G41-G42-G43,0)</f>
        <v>0</v>
      </c>
      <c r="K44" s="1018"/>
    </row>
    <row r="45" spans="1:11" ht="15.75">
      <c r="A45" s="1033"/>
      <c r="B45" s="1025" t="s">
        <v>1062</v>
      </c>
      <c r="C45" s="1024"/>
      <c r="D45" s="1034"/>
      <c r="E45" s="1034"/>
      <c r="F45" s="1034"/>
      <c r="G45" s="1034"/>
      <c r="H45" s="1034"/>
      <c r="I45" s="1034"/>
      <c r="J45" s="1034"/>
      <c r="K45" s="1035"/>
    </row>
    <row r="46" spans="1:11" ht="15.75">
      <c r="A46" s="1033"/>
      <c r="B46" s="1034"/>
      <c r="C46" s="1034"/>
      <c r="D46" s="1034"/>
      <c r="E46" s="1034"/>
      <c r="F46" s="1034"/>
      <c r="G46" s="1034"/>
      <c r="H46" s="1034"/>
      <c r="I46" s="1034"/>
      <c r="J46" s="1036"/>
      <c r="K46" s="1037"/>
    </row>
    <row r="47" spans="1:11" ht="15.75">
      <c r="A47" s="1033"/>
      <c r="B47" s="1034"/>
      <c r="C47" s="1034"/>
      <c r="D47" s="1034"/>
      <c r="E47" s="1034"/>
      <c r="F47" s="1034"/>
      <c r="G47" s="1034"/>
      <c r="H47" s="1034"/>
      <c r="I47" s="1034"/>
      <c r="J47" s="1034"/>
      <c r="K47" s="1037"/>
    </row>
    <row r="48" spans="1:11" ht="15.75">
      <c r="A48" s="1038" t="s">
        <v>1065</v>
      </c>
      <c r="B48" s="1039" t="s">
        <v>1066</v>
      </c>
      <c r="C48" s="1039"/>
      <c r="D48" s="1034"/>
      <c r="E48" s="1034"/>
      <c r="F48" s="1034"/>
      <c r="G48" s="1034"/>
      <c r="H48" s="1034"/>
      <c r="I48" s="1034"/>
      <c r="J48" s="1040">
        <f>J8+J16+J18+J21+J24+J26+J32+J38+J44</f>
        <v>0</v>
      </c>
      <c r="K48" s="1037"/>
    </row>
    <row r="49" spans="1:11" ht="18.75">
      <c r="A49" s="1033"/>
      <c r="B49" s="1034"/>
      <c r="C49" s="1034"/>
      <c r="D49" s="1041"/>
      <c r="E49" s="1041"/>
      <c r="F49" s="1041"/>
      <c r="G49" s="1041"/>
      <c r="H49" s="1041"/>
      <c r="I49" s="1041"/>
      <c r="J49" s="1036"/>
      <c r="K49" s="1037"/>
    </row>
    <row r="50" spans="1:11" ht="18.75">
      <c r="A50" s="1042"/>
      <c r="B50" s="1042"/>
      <c r="C50" s="1043"/>
      <c r="D50" s="1043"/>
      <c r="E50" s="1043"/>
      <c r="F50" s="1043"/>
      <c r="G50" s="1043"/>
      <c r="H50" s="1043"/>
      <c r="I50" s="1043"/>
      <c r="J50" s="1044"/>
      <c r="K50" s="1037"/>
    </row>
    <row r="51" spans="1:11" ht="18.75">
      <c r="A51" s="1042"/>
      <c r="B51" s="1042"/>
      <c r="C51" s="1045"/>
      <c r="D51" s="1043"/>
      <c r="E51" s="1043"/>
      <c r="F51" s="1043"/>
      <c r="G51" s="1043"/>
      <c r="H51" s="1043"/>
      <c r="I51" s="1043"/>
      <c r="J51" s="1046"/>
      <c r="K51" s="1037"/>
    </row>
    <row r="52" spans="1:11" ht="15.75">
      <c r="A52" s="1124"/>
      <c r="B52" s="1124"/>
      <c r="C52" s="1124"/>
      <c r="D52" s="1124"/>
      <c r="E52" s="1124"/>
      <c r="F52" s="1124"/>
      <c r="G52" s="1124"/>
      <c r="H52" s="1124"/>
      <c r="I52" s="1124"/>
      <c r="J52" s="1124"/>
      <c r="K52" s="1124"/>
    </row>
    <row r="53" spans="1:11" ht="15.75">
      <c r="A53" s="1047"/>
      <c r="B53" s="1048"/>
      <c r="C53" s="1048"/>
      <c r="D53" s="1048"/>
      <c r="E53" s="1048"/>
      <c r="F53" s="1048"/>
      <c r="G53" s="1048"/>
      <c r="H53" s="1048"/>
      <c r="I53" s="1048"/>
      <c r="J53" s="1048"/>
      <c r="K53" s="1048"/>
    </row>
  </sheetData>
  <sheetProtection/>
  <mergeCells count="2">
    <mergeCell ref="A4:K4"/>
    <mergeCell ref="A52:K5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68"/>
  <sheetViews>
    <sheetView zoomScalePageLayoutView="0" workbookViewId="0" topLeftCell="A1">
      <selection activeCell="L18" sqref="L18"/>
    </sheetView>
  </sheetViews>
  <sheetFormatPr defaultColWidth="8.796875" defaultRowHeight="15"/>
  <cols>
    <col min="1" max="1" width="3.69921875" style="0" customWidth="1"/>
    <col min="8" max="8" width="15.796875" style="0" customWidth="1"/>
    <col min="9" max="9" width="3.796875" style="0" customWidth="1"/>
  </cols>
  <sheetData>
    <row r="1" spans="1:10" ht="15.75">
      <c r="A1" s="1012"/>
      <c r="B1" s="1012"/>
      <c r="C1" s="1013">
        <f>inputPrYr!D3</f>
        <v>0</v>
      </c>
      <c r="D1" s="1012"/>
      <c r="E1" s="1012"/>
      <c r="F1" s="1012"/>
      <c r="G1" s="1012"/>
      <c r="H1" s="1012"/>
      <c r="I1" s="1012"/>
      <c r="J1" s="1050">
        <f>inputPrYr!C6</f>
        <v>0</v>
      </c>
    </row>
    <row r="2" spans="1:10" ht="15.75">
      <c r="A2" s="1012"/>
      <c r="B2" s="1012"/>
      <c r="C2" s="1012"/>
      <c r="D2" s="1012"/>
      <c r="E2" s="1012"/>
      <c r="F2" s="1012"/>
      <c r="G2" s="1012"/>
      <c r="H2" s="1012"/>
      <c r="I2" s="1012"/>
      <c r="J2" s="1012"/>
    </row>
    <row r="3" spans="1:10" ht="15.75">
      <c r="A3" s="1051"/>
      <c r="B3" s="1052"/>
      <c r="C3" s="1052"/>
      <c r="D3" s="1053"/>
      <c r="E3" s="1052"/>
      <c r="F3" s="1052"/>
      <c r="G3" s="1052"/>
      <c r="H3" s="1052"/>
      <c r="I3" s="1052"/>
      <c r="J3" s="1052"/>
    </row>
    <row r="4" spans="1:10" ht="15.75">
      <c r="A4" s="1054"/>
      <c r="B4" s="1024"/>
      <c r="C4" s="1055"/>
      <c r="D4" s="1056"/>
      <c r="E4" s="1125"/>
      <c r="F4" s="1125"/>
      <c r="G4" s="1125"/>
      <c r="H4" s="1057"/>
      <c r="I4" s="1024"/>
      <c r="J4" s="1058"/>
    </row>
    <row r="5" spans="1:10" ht="15.75">
      <c r="A5" s="1023"/>
      <c r="B5" s="1024"/>
      <c r="C5" s="1059" t="s">
        <v>1067</v>
      </c>
      <c r="D5" s="1024"/>
      <c r="E5" s="1018"/>
      <c r="F5" s="1018"/>
      <c r="G5" s="1018"/>
      <c r="H5" s="1022"/>
      <c r="I5" s="1018"/>
      <c r="J5" s="1018"/>
    </row>
    <row r="6" spans="1:10" ht="15.75">
      <c r="A6" s="1023"/>
      <c r="B6" s="1024"/>
      <c r="C6" s="1059"/>
      <c r="D6" s="1024"/>
      <c r="E6" s="1018"/>
      <c r="F6" s="1018"/>
      <c r="G6" s="1018"/>
      <c r="H6" s="1022"/>
      <c r="I6" s="1018"/>
      <c r="J6" s="1018"/>
    </row>
    <row r="7" spans="1:10" ht="15.75">
      <c r="A7" s="1023"/>
      <c r="B7" s="1024"/>
      <c r="C7" s="1024"/>
      <c r="D7" s="1024"/>
      <c r="E7" s="1018"/>
      <c r="F7" s="1018"/>
      <c r="G7" s="1018"/>
      <c r="H7" s="1022"/>
      <c r="I7" s="1018"/>
      <c r="J7" s="1032"/>
    </row>
    <row r="8" spans="1:10" ht="15.75">
      <c r="A8" s="1023" t="s">
        <v>1068</v>
      </c>
      <c r="B8" s="1012" t="str">
        <f>CONCATENATE("Library levy  - ",J1," budget:")</f>
        <v>Library levy  - 0 budget:</v>
      </c>
      <c r="C8" s="1018"/>
      <c r="D8" s="1024"/>
      <c r="E8" s="1018"/>
      <c r="F8" s="1018"/>
      <c r="G8" s="1018"/>
      <c r="H8" s="1022"/>
      <c r="I8" s="1017" t="s">
        <v>178</v>
      </c>
      <c r="J8" s="992"/>
    </row>
    <row r="9" spans="1:10" ht="15.75">
      <c r="A9" s="1023"/>
      <c r="B9" s="1012" t="str">
        <f>CONCATENATE("Recreation Commission Tax Levy - ",J1," budget:")</f>
        <v>Recreation Commission Tax Levy - 0 budget:</v>
      </c>
      <c r="C9" s="1024"/>
      <c r="D9" s="1024"/>
      <c r="E9" s="1018"/>
      <c r="F9" s="1018"/>
      <c r="G9" s="1018"/>
      <c r="H9" s="1018"/>
      <c r="I9" s="1017" t="s">
        <v>178</v>
      </c>
      <c r="J9" s="1018">
        <f>'Library-Rec'!E80</f>
        <v>0</v>
      </c>
    </row>
    <row r="10" spans="1:10" ht="15.75">
      <c r="A10" s="1024"/>
      <c r="B10" s="1012" t="str">
        <f>CONCATENATE("Other tax entity levy  - ",J1," budget:")</f>
        <v>Other tax entity levy  - 0 budget:</v>
      </c>
      <c r="C10" s="1024"/>
      <c r="D10" s="1024"/>
      <c r="E10" s="1018"/>
      <c r="F10" s="1060"/>
      <c r="G10" s="1018"/>
      <c r="H10" s="1018"/>
      <c r="I10" s="1017" t="s">
        <v>178</v>
      </c>
      <c r="J10" s="992"/>
    </row>
    <row r="11" spans="1:10" ht="15.75">
      <c r="A11" s="1125"/>
      <c r="B11" s="1126"/>
      <c r="C11" s="1126"/>
      <c r="D11" s="1126"/>
      <c r="E11" s="1126"/>
      <c r="F11" s="1126"/>
      <c r="G11" s="1126"/>
      <c r="H11" s="1126"/>
      <c r="I11" s="1126"/>
      <c r="J11" s="1126"/>
    </row>
    <row r="12" spans="1:10" ht="15.75">
      <c r="A12" s="1024"/>
      <c r="B12" s="1024"/>
      <c r="C12" s="1024"/>
      <c r="D12" s="1024"/>
      <c r="E12" s="1018"/>
      <c r="F12" s="1018"/>
      <c r="G12" s="1018"/>
      <c r="H12" s="1018"/>
      <c r="I12" s="1018"/>
      <c r="J12" s="1018"/>
    </row>
    <row r="13" spans="1:10" ht="15.75">
      <c r="A13" s="1061" t="s">
        <v>1069</v>
      </c>
      <c r="B13" s="1062" t="s">
        <v>1070</v>
      </c>
      <c r="C13" s="1062"/>
      <c r="D13" s="1062"/>
      <c r="E13" s="1063"/>
      <c r="F13" s="1063"/>
      <c r="G13" s="1064"/>
      <c r="H13" s="1018"/>
      <c r="I13" s="1017" t="s">
        <v>178</v>
      </c>
      <c r="J13" s="1019">
        <f>SUM(J8:J10)</f>
        <v>0</v>
      </c>
    </row>
    <row r="14" spans="1:10" ht="15.75">
      <c r="A14" s="1061"/>
      <c r="B14" s="1062"/>
      <c r="C14" s="1062"/>
      <c r="D14" s="1062"/>
      <c r="E14" s="1063"/>
      <c r="F14" s="1063"/>
      <c r="G14" s="1064"/>
      <c r="H14" s="1018"/>
      <c r="I14" s="1017"/>
      <c r="J14" s="1018"/>
    </row>
    <row r="15" spans="1:10" ht="15.75">
      <c r="A15" s="1065"/>
      <c r="B15" s="1025"/>
      <c r="C15" s="1024"/>
      <c r="D15" s="1024"/>
      <c r="E15" s="1022"/>
      <c r="F15" s="1022"/>
      <c r="G15" s="1018"/>
      <c r="H15" s="1018"/>
      <c r="I15" s="1018"/>
      <c r="J15" s="1018"/>
    </row>
    <row r="16" spans="1:10" ht="15.75">
      <c r="A16" s="1061" t="s">
        <v>1071</v>
      </c>
      <c r="B16" s="1062" t="s">
        <v>1072</v>
      </c>
      <c r="C16" s="1062"/>
      <c r="D16" s="1062"/>
      <c r="E16" s="1063"/>
      <c r="F16" s="1063"/>
      <c r="G16" s="1064"/>
      <c r="H16" s="1064"/>
      <c r="I16" s="1018"/>
      <c r="J16" s="1066" t="e">
        <f>Comp1!J8+Comp1!J45+Comp2!J48+Comp3!J13</f>
        <v>#DIV/0!</v>
      </c>
    </row>
    <row r="17" spans="1:10" ht="15.75">
      <c r="A17" s="1054"/>
      <c r="B17" s="1024"/>
      <c r="C17" s="1024"/>
      <c r="D17" s="1025"/>
      <c r="E17" s="1018"/>
      <c r="F17" s="1022"/>
      <c r="G17" s="1018"/>
      <c r="H17" s="1018"/>
      <c r="I17" s="1018"/>
      <c r="J17" s="1018"/>
    </row>
    <row r="18" spans="1:10" ht="15.75">
      <c r="A18" s="1054"/>
      <c r="B18" s="1024"/>
      <c r="C18" s="1024"/>
      <c r="D18" s="1025"/>
      <c r="E18" s="1018"/>
      <c r="F18" s="1022"/>
      <c r="G18" s="1018"/>
      <c r="H18" s="1018"/>
      <c r="I18" s="1018"/>
      <c r="J18" s="1018"/>
    </row>
    <row r="19" spans="1:10" ht="15.75">
      <c r="A19" s="1054"/>
      <c r="B19" s="1024"/>
      <c r="C19" s="1024"/>
      <c r="D19" s="1025"/>
      <c r="E19" s="1018"/>
      <c r="F19" s="1022"/>
      <c r="G19" s="1018"/>
      <c r="H19" s="1018"/>
      <c r="I19" s="1018"/>
      <c r="J19" s="1018"/>
    </row>
    <row r="20" spans="1:10" ht="15.75">
      <c r="A20" s="1025"/>
      <c r="B20" s="1024"/>
      <c r="C20" s="1024"/>
      <c r="D20" s="1025"/>
      <c r="E20" s="1018"/>
      <c r="F20" s="1022"/>
      <c r="G20" s="1018"/>
      <c r="H20" s="1018"/>
      <c r="I20" s="1018"/>
      <c r="J20" s="1018"/>
    </row>
    <row r="21" spans="1:10" ht="15.75">
      <c r="A21" s="1025"/>
      <c r="B21" s="1024"/>
      <c r="C21" s="1024"/>
      <c r="D21" s="1024"/>
      <c r="E21" s="1018"/>
      <c r="F21" s="1018"/>
      <c r="G21" s="1018"/>
      <c r="H21" s="1018"/>
      <c r="I21" s="1018"/>
      <c r="J21" s="1018"/>
    </row>
    <row r="22" spans="1:10" ht="15.75">
      <c r="A22" s="1025"/>
      <c r="B22" s="1059"/>
      <c r="C22" s="1059" t="s">
        <v>1073</v>
      </c>
      <c r="D22" s="1024"/>
      <c r="E22" s="1018"/>
      <c r="F22" s="1018"/>
      <c r="G22" s="1018"/>
      <c r="H22" s="1018"/>
      <c r="I22" s="1018"/>
      <c r="J22" s="1018"/>
    </row>
    <row r="23" spans="1:10" ht="15.75">
      <c r="A23" s="1025"/>
      <c r="B23" s="1059"/>
      <c r="C23" s="1059"/>
      <c r="D23" s="1024"/>
      <c r="E23" s="1018"/>
      <c r="F23" s="1018"/>
      <c r="G23" s="1018"/>
      <c r="H23" s="1018"/>
      <c r="I23" s="1018"/>
      <c r="J23" s="1018"/>
    </row>
    <row r="24" spans="1:10" ht="15.75">
      <c r="A24" s="1025"/>
      <c r="B24" s="1024" t="s">
        <v>1074</v>
      </c>
      <c r="C24" s="1059"/>
      <c r="D24" s="1024"/>
      <c r="E24" s="1018"/>
      <c r="F24" s="1018"/>
      <c r="G24" s="1018"/>
      <c r="H24" s="1018"/>
      <c r="I24" s="1018"/>
      <c r="J24" s="1018"/>
    </row>
    <row r="25" spans="1:10" ht="15.75">
      <c r="A25" s="1025"/>
      <c r="B25" s="1024"/>
      <c r="C25" s="1059"/>
      <c r="D25" s="1024"/>
      <c r="E25" s="1018"/>
      <c r="F25" s="1018"/>
      <c r="G25" s="1018"/>
      <c r="H25" s="1018"/>
      <c r="I25" s="1018"/>
      <c r="J25" s="1018"/>
    </row>
    <row r="26" spans="1:10" ht="15.75">
      <c r="A26" s="1025"/>
      <c r="B26" s="1024"/>
      <c r="C26" s="1024"/>
      <c r="D26" s="1024"/>
      <c r="E26" s="1018"/>
      <c r="F26" s="1018"/>
      <c r="G26" s="1018"/>
      <c r="H26" s="1018"/>
      <c r="I26" s="1018"/>
      <c r="J26" s="1018"/>
    </row>
    <row r="27" spans="1:10" ht="15.75">
      <c r="A27" s="1025"/>
      <c r="B27" s="1024"/>
      <c r="C27" s="1024" t="str">
        <f>CONCATENATE(J1-4," Tax Levy (Less Levy for other Governmental Units)")</f>
        <v>-4 Tax Levy (Less Levy for other Governmental Units)</v>
      </c>
      <c r="D27" s="1025"/>
      <c r="E27" s="1018"/>
      <c r="F27" s="1018"/>
      <c r="G27" s="1018"/>
      <c r="H27" s="1067"/>
      <c r="I27" s="1018"/>
      <c r="J27" s="1018"/>
    </row>
    <row r="28" spans="1:10" ht="15.75">
      <c r="A28" s="1025"/>
      <c r="B28" s="1024"/>
      <c r="C28" s="1024" t="str">
        <f>CONCATENATE(J1-3," Tax Levy (Less Levy for other Governmental Units)")</f>
        <v>-3 Tax Levy (Less Levy for other Governmental Units)</v>
      </c>
      <c r="D28" s="1025"/>
      <c r="E28" s="1018"/>
      <c r="F28" s="1018"/>
      <c r="G28" s="1018"/>
      <c r="H28" s="1067"/>
      <c r="I28" s="1018"/>
      <c r="J28" s="1018" t="str">
        <f>IF(H28&lt;H27,"Decline","None")</f>
        <v>None</v>
      </c>
    </row>
    <row r="29" spans="1:10" ht="15.75">
      <c r="A29" s="1025"/>
      <c r="B29" s="1024"/>
      <c r="C29" s="1024" t="str">
        <f>CONCATENATE(J1-2," Tax Levy (Less Levy for other Governmental Units)")</f>
        <v>-2 Tax Levy (Less Levy for other Governmental Units)</v>
      </c>
      <c r="D29" s="1025"/>
      <c r="E29" s="1018"/>
      <c r="F29" s="1018"/>
      <c r="G29" s="1018"/>
      <c r="H29" s="1067"/>
      <c r="I29" s="1018"/>
      <c r="J29" s="1018" t="str">
        <f>IF(H29&lt;H28,"Decline","None")</f>
        <v>None</v>
      </c>
    </row>
    <row r="30" spans="1:10" ht="15.75">
      <c r="A30" s="1025"/>
      <c r="B30" s="1024"/>
      <c r="C30" s="1024" t="str">
        <f>CONCATENATE(J1-1," Tax Levy (Less Levy for other Governmental Units)")</f>
        <v>-1 Tax Levy (Less Levy for other Governmental Units)</v>
      </c>
      <c r="D30" s="1025"/>
      <c r="E30" s="1018"/>
      <c r="F30" s="1018"/>
      <c r="G30" s="1018"/>
      <c r="H30" s="1067"/>
      <c r="I30" s="1018"/>
      <c r="J30" s="1018" t="str">
        <f>IF(H30&lt;H29,"Decline","None")</f>
        <v>None</v>
      </c>
    </row>
    <row r="31" spans="1:10" ht="15.75">
      <c r="A31" s="1025"/>
      <c r="B31" s="1024"/>
      <c r="C31" s="1024"/>
      <c r="D31" s="1025"/>
      <c r="E31" s="1018"/>
      <c r="F31" s="1018"/>
      <c r="G31" s="1018"/>
      <c r="H31" s="1018"/>
      <c r="I31" s="1018"/>
      <c r="J31" s="1018"/>
    </row>
    <row r="32" spans="1:10" ht="15.75">
      <c r="A32" s="1025"/>
      <c r="B32" s="1024"/>
      <c r="C32" s="1031" t="s">
        <v>1075</v>
      </c>
      <c r="D32" s="1025"/>
      <c r="E32" s="1018"/>
      <c r="F32" s="1018"/>
      <c r="G32" s="1018"/>
      <c r="H32" s="1018" t="e">
        <f>AVERAGE(H28:H30)</f>
        <v>#DIV/0!</v>
      </c>
      <c r="I32" s="1018"/>
      <c r="J32" s="1018"/>
    </row>
    <row r="33" spans="1:10" ht="15.75">
      <c r="A33" s="1025"/>
      <c r="B33" s="1024"/>
      <c r="C33" s="1031" t="str">
        <f>CONCATENATE("CPI Adjustment of  ",inputPrYr!C10)</f>
        <v>CPI Adjustment of  </v>
      </c>
      <c r="D33" s="1025"/>
      <c r="E33" s="1018"/>
      <c r="F33" s="1018"/>
      <c r="G33" s="1018"/>
      <c r="H33" s="1018" t="e">
        <f>H32*inputPrYr!C10</f>
        <v>#DIV/0!</v>
      </c>
      <c r="I33" s="1018"/>
      <c r="J33" s="1018"/>
    </row>
    <row r="34" spans="1:10" ht="15.75">
      <c r="A34" s="1025"/>
      <c r="B34" s="1024"/>
      <c r="C34" s="1024" t="s">
        <v>1076</v>
      </c>
      <c r="D34" s="1025"/>
      <c r="E34" s="1018"/>
      <c r="F34" s="1018"/>
      <c r="G34" s="1018"/>
      <c r="H34" s="1018" t="e">
        <f>SUM(H32:H33)</f>
        <v>#DIV/0!</v>
      </c>
      <c r="I34" s="1018"/>
      <c r="J34" s="1018"/>
    </row>
    <row r="35" spans="1:10" ht="15.75">
      <c r="A35" s="1025"/>
      <c r="B35" s="1024"/>
      <c r="C35" s="1024"/>
      <c r="D35" s="1025"/>
      <c r="E35" s="1018"/>
      <c r="F35" s="1018"/>
      <c r="G35" s="1018"/>
      <c r="H35" s="1018"/>
      <c r="I35" s="1018"/>
      <c r="J35" s="1018"/>
    </row>
    <row r="36" spans="1:10" ht="15.75">
      <c r="A36" s="1025"/>
      <c r="B36" s="1024"/>
      <c r="C36" s="1024" t="str">
        <f>CONCATENATE(J1," Total Tax Levy - Less Levy for Other Governmental Units")</f>
        <v>0 Total Tax Levy - Less Levy for Other Governmental Units</v>
      </c>
      <c r="D36" s="1025"/>
      <c r="E36" s="1018"/>
      <c r="F36" s="1018"/>
      <c r="G36" s="1018"/>
      <c r="H36" s="1068"/>
      <c r="I36" s="1018"/>
      <c r="J36" s="1018"/>
    </row>
    <row r="37" spans="1:10" ht="15.75">
      <c r="A37" s="1025"/>
      <c r="B37" s="1025"/>
      <c r="C37" s="1024"/>
      <c r="D37" s="1025"/>
      <c r="E37" s="1018"/>
      <c r="F37" s="1018"/>
      <c r="G37" s="1018"/>
      <c r="H37" s="1018"/>
      <c r="I37" s="1018"/>
      <c r="J37" s="1018"/>
    </row>
    <row r="38" spans="1:10" ht="15.75">
      <c r="A38" s="1025"/>
      <c r="B38" s="1024"/>
      <c r="C38" s="1062" t="s">
        <v>1077</v>
      </c>
      <c r="D38" s="1062"/>
      <c r="E38" s="1064"/>
      <c r="F38" s="1063"/>
      <c r="G38" s="1064"/>
      <c r="H38" s="1069" t="e">
        <f>IF(H34&gt;H36,"Yes","No")</f>
        <v>#DIV/0!</v>
      </c>
      <c r="I38" s="1018"/>
      <c r="J38" s="1018"/>
    </row>
    <row r="39" spans="1:10" ht="15.75">
      <c r="A39" s="1024"/>
      <c r="B39" s="1024"/>
      <c r="C39" s="1024"/>
      <c r="D39" s="1025"/>
      <c r="E39" s="1018"/>
      <c r="F39" s="1018"/>
      <c r="G39" s="1018"/>
      <c r="H39" s="1018"/>
      <c r="I39" s="1018"/>
      <c r="J39" s="1018"/>
    </row>
    <row r="40" spans="1:10" ht="15.75">
      <c r="A40" s="1025"/>
      <c r="B40" s="1024"/>
      <c r="C40" s="1024"/>
      <c r="D40" s="1024" t="s">
        <v>1078</v>
      </c>
      <c r="E40" s="1018"/>
      <c r="F40" s="1018"/>
      <c r="G40" s="1018"/>
      <c r="H40" s="1018"/>
      <c r="I40" s="1018"/>
      <c r="J40" s="1018"/>
    </row>
    <row r="41" spans="1:10" ht="15.75">
      <c r="A41" s="1025"/>
      <c r="B41" s="1025"/>
      <c r="C41" s="1024"/>
      <c r="D41" s="1024"/>
      <c r="E41" s="1018"/>
      <c r="F41" s="1018"/>
      <c r="G41" s="1018"/>
      <c r="H41" s="1018"/>
      <c r="I41" s="1018"/>
      <c r="J41" s="1018"/>
    </row>
    <row r="42" spans="1:10" ht="15.75">
      <c r="A42" s="1025"/>
      <c r="B42" s="1024"/>
      <c r="C42" s="1059" t="s">
        <v>1079</v>
      </c>
      <c r="D42" s="1024"/>
      <c r="E42" s="1018"/>
      <c r="F42" s="1018"/>
      <c r="G42" s="1018"/>
      <c r="H42" s="1018"/>
      <c r="I42" s="1022"/>
      <c r="J42" s="1018"/>
    </row>
    <row r="43" spans="1:10" ht="15.75">
      <c r="A43" s="1025"/>
      <c r="B43" s="1025"/>
      <c r="C43" s="1024"/>
      <c r="D43" s="1024"/>
      <c r="E43" s="1018"/>
      <c r="F43" s="1018"/>
      <c r="G43" s="1018"/>
      <c r="H43" s="1018"/>
      <c r="I43" s="1022"/>
      <c r="J43" s="1018"/>
    </row>
    <row r="44" spans="1:10" ht="15.75">
      <c r="A44" s="1025"/>
      <c r="B44" s="1024"/>
      <c r="C44" s="1024" t="s">
        <v>1080</v>
      </c>
      <c r="D44" s="1024"/>
      <c r="E44" s="1018"/>
      <c r="F44" s="1018"/>
      <c r="G44" s="1018"/>
      <c r="H44" s="1068"/>
      <c r="I44" s="1022"/>
      <c r="J44" s="1018"/>
    </row>
    <row r="45" spans="1:10" ht="15.75">
      <c r="A45" s="1025"/>
      <c r="B45" s="1024"/>
      <c r="C45" s="1024"/>
      <c r="D45" s="1024"/>
      <c r="E45" s="1018"/>
      <c r="F45" s="1018"/>
      <c r="G45" s="1018"/>
      <c r="H45" s="1018"/>
      <c r="I45" s="1022"/>
      <c r="J45" s="1018"/>
    </row>
    <row r="46" spans="1:10" ht="15.75">
      <c r="A46" s="1025"/>
      <c r="B46" s="1025"/>
      <c r="C46" s="1024"/>
      <c r="D46" s="1024"/>
      <c r="E46" s="1018"/>
      <c r="F46" s="1018"/>
      <c r="G46" s="1018"/>
      <c r="H46" s="1018"/>
      <c r="I46" s="1022"/>
      <c r="J46" s="1018"/>
    </row>
    <row r="47" spans="1:10" ht="15.75">
      <c r="A47" s="1025"/>
      <c r="B47" s="1024"/>
      <c r="C47" s="1024" t="str">
        <f>CONCATENATE(J1," Tax Levy (Less Levy for other Governmental Units)")</f>
        <v>0 Tax Levy (Less Levy for other Governmental Units)</v>
      </c>
      <c r="D47" s="1025"/>
      <c r="E47" s="1018"/>
      <c r="F47" s="1018"/>
      <c r="G47" s="1018"/>
      <c r="H47" s="1067"/>
      <c r="I47" s="1024"/>
      <c r="J47" s="1024"/>
    </row>
    <row r="48" spans="1:10" ht="15.75">
      <c r="A48" s="1025"/>
      <c r="B48" s="1025"/>
      <c r="C48" s="1024" t="str">
        <f>CONCATENATE(J1-1," Tax Levy (Less Levy for other Governmental Units)")</f>
        <v>-1 Tax Levy (Less Levy for other Governmental Units)</v>
      </c>
      <c r="D48" s="1025"/>
      <c r="E48" s="1018"/>
      <c r="F48" s="1018"/>
      <c r="G48" s="1018"/>
      <c r="H48" s="1067"/>
      <c r="I48" s="1024"/>
      <c r="J48" s="1024"/>
    </row>
    <row r="49" spans="1:10" ht="15.75">
      <c r="A49" s="1025"/>
      <c r="B49" s="1024"/>
      <c r="C49" s="1024" t="s">
        <v>1081</v>
      </c>
      <c r="D49" s="1024"/>
      <c r="E49" s="1024"/>
      <c r="F49" s="1024"/>
      <c r="G49" s="1024"/>
      <c r="H49" s="1022">
        <f>H47-H48</f>
        <v>0</v>
      </c>
      <c r="I49" s="1024"/>
      <c r="J49" s="1018"/>
    </row>
    <row r="50" spans="1:10" ht="15.75">
      <c r="A50" s="1025"/>
      <c r="B50" s="1025"/>
      <c r="C50" s="1024"/>
      <c r="D50" s="1024"/>
      <c r="E50" s="1024"/>
      <c r="F50" s="1024"/>
      <c r="G50" s="1024"/>
      <c r="H50" s="1025"/>
      <c r="I50" s="1024"/>
      <c r="J50" s="1018"/>
    </row>
    <row r="51" spans="1:10" ht="15.75">
      <c r="A51" s="1025"/>
      <c r="B51" s="1024"/>
      <c r="C51" s="1024"/>
      <c r="D51" s="1024"/>
      <c r="E51" s="1024"/>
      <c r="F51" s="1024"/>
      <c r="G51" s="1024"/>
      <c r="H51" s="1024"/>
      <c r="I51" s="1024"/>
      <c r="J51" s="1018"/>
    </row>
    <row r="52" spans="1:10" ht="15.75">
      <c r="A52" s="1024"/>
      <c r="B52" s="1024"/>
      <c r="C52" s="1024" t="s">
        <v>1082</v>
      </c>
      <c r="D52" s="1024"/>
      <c r="E52" s="1024"/>
      <c r="F52" s="1024"/>
      <c r="G52" s="1024"/>
      <c r="H52" s="1018"/>
      <c r="I52" s="1024"/>
      <c r="J52" s="1018">
        <f>Comp1!J42</f>
        <v>0</v>
      </c>
    </row>
    <row r="53" spans="1:10" ht="15.75">
      <c r="A53" s="1025"/>
      <c r="B53" s="1024"/>
      <c r="C53" s="1024" t="str">
        <f>CONCATENATE(J1," Mill Rate (Less Mills  for other Governmental Units)")</f>
        <v>0 Mill Rate (Less Mills  for other Governmental Units)</v>
      </c>
      <c r="D53" s="1024"/>
      <c r="E53" s="1024"/>
      <c r="F53" s="1024"/>
      <c r="G53" s="1024"/>
      <c r="H53" s="1070"/>
      <c r="I53" s="1024"/>
      <c r="J53" s="1032"/>
    </row>
    <row r="54" spans="1:10" ht="15.75">
      <c r="A54" s="1025"/>
      <c r="B54" s="1024"/>
      <c r="C54" s="1024"/>
      <c r="D54" s="1024"/>
      <c r="E54" s="1024"/>
      <c r="F54" s="1024"/>
      <c r="G54" s="1024"/>
      <c r="H54" s="1024"/>
      <c r="I54" s="1024"/>
      <c r="J54" s="1018"/>
    </row>
    <row r="55" spans="1:10" ht="15.75">
      <c r="A55" s="1025"/>
      <c r="B55" s="1024"/>
      <c r="C55" s="1024" t="str">
        <f>CONCATENATE("Loss of Assessed Valuation Multiplied by ",J1," Mill Rate")</f>
        <v>Loss of Assessed Valuation Multiplied by 0 Mill Rate</v>
      </c>
      <c r="D55" s="1024"/>
      <c r="E55" s="1024"/>
      <c r="F55" s="1024"/>
      <c r="G55" s="1024"/>
      <c r="H55" s="1024"/>
      <c r="I55" s="1024"/>
      <c r="J55" s="1019">
        <f>(H44/1000)*H53</f>
        <v>0</v>
      </c>
    </row>
    <row r="56" spans="1:10" ht="15.75">
      <c r="A56" s="1071"/>
      <c r="B56" s="1034"/>
      <c r="C56" s="1034" t="s">
        <v>1083</v>
      </c>
      <c r="D56" s="1034"/>
      <c r="E56" s="1034"/>
      <c r="F56" s="1034"/>
      <c r="G56" s="1034"/>
      <c r="H56" s="1034"/>
      <c r="I56" s="1034"/>
      <c r="J56" s="1037">
        <f>SUM(J52:J55)</f>
        <v>0</v>
      </c>
    </row>
    <row r="57" spans="1:10" ht="15.75">
      <c r="A57" s="1033"/>
      <c r="B57" s="1034"/>
      <c r="C57" s="1034"/>
      <c r="D57" s="1034"/>
      <c r="E57" s="1034"/>
      <c r="F57" s="1034"/>
      <c r="G57" s="1034"/>
      <c r="H57" s="1034"/>
      <c r="I57" s="1034"/>
      <c r="J57" s="1035"/>
    </row>
    <row r="58" spans="1:10" ht="15.75">
      <c r="A58" s="1033"/>
      <c r="B58" s="1034"/>
      <c r="C58" s="1034"/>
      <c r="D58" s="1034"/>
      <c r="E58" s="1034"/>
      <c r="F58" s="1034"/>
      <c r="G58" s="1034"/>
      <c r="H58" s="1034"/>
      <c r="I58" s="1034"/>
      <c r="J58" s="1035"/>
    </row>
    <row r="59" spans="1:10" ht="15.75">
      <c r="A59" s="1033"/>
      <c r="B59" s="1034"/>
      <c r="C59" s="1072" t="s">
        <v>1084</v>
      </c>
      <c r="D59" s="1072"/>
      <c r="E59" s="1072"/>
      <c r="F59" s="1034"/>
      <c r="G59" s="1034"/>
      <c r="H59" s="1034"/>
      <c r="I59" s="1036"/>
      <c r="J59" s="1073" t="str">
        <f>IF(H49&lt;=J56,"Yes","No")</f>
        <v>Yes</v>
      </c>
    </row>
    <row r="60" spans="1:10" ht="15.75">
      <c r="A60" s="1071"/>
      <c r="B60" s="1034"/>
      <c r="C60" s="1034"/>
      <c r="D60" s="1034"/>
      <c r="E60" s="1034"/>
      <c r="F60" s="1034"/>
      <c r="G60" s="1034"/>
      <c r="H60" s="1034"/>
      <c r="I60" s="1034"/>
      <c r="J60" s="1037"/>
    </row>
    <row r="61" spans="1:10" ht="15.75">
      <c r="A61" s="1071"/>
      <c r="B61" s="1034"/>
      <c r="C61" s="1034"/>
      <c r="D61" s="1034"/>
      <c r="E61" s="1034"/>
      <c r="F61" s="1034"/>
      <c r="G61" s="1034"/>
      <c r="H61" s="1034"/>
      <c r="I61" s="1034"/>
      <c r="J61" s="1037"/>
    </row>
    <row r="62" spans="1:10" ht="18.75">
      <c r="A62" s="1074"/>
      <c r="B62" s="1072"/>
      <c r="C62" s="1072"/>
      <c r="D62" s="1041"/>
      <c r="E62" s="1041"/>
      <c r="F62" s="1041"/>
      <c r="G62" s="1041"/>
      <c r="H62" s="1041"/>
      <c r="I62" s="1036"/>
      <c r="J62" s="1073"/>
    </row>
    <row r="63" spans="1:10" ht="18.75">
      <c r="A63" s="1043"/>
      <c r="B63" s="1042"/>
      <c r="C63" s="1043"/>
      <c r="D63" s="1043"/>
      <c r="E63" s="1043"/>
      <c r="F63" s="1043"/>
      <c r="G63" s="1043"/>
      <c r="H63" s="1043"/>
      <c r="I63" s="1044"/>
      <c r="J63" s="1037"/>
    </row>
    <row r="64" spans="1:10" ht="18.75">
      <c r="A64" s="1075"/>
      <c r="B64" s="1076"/>
      <c r="C64" s="1075"/>
      <c r="D64" s="1075"/>
      <c r="E64" s="1075"/>
      <c r="F64" s="1075"/>
      <c r="G64" s="1075"/>
      <c r="H64" s="1075"/>
      <c r="I64" s="1077"/>
      <c r="J64" s="1078"/>
    </row>
    <row r="65" spans="1:10" ht="15.75">
      <c r="A65" s="1127"/>
      <c r="B65" s="1127"/>
      <c r="C65" s="1127"/>
      <c r="D65" s="1127"/>
      <c r="E65" s="1127"/>
      <c r="F65" s="1127"/>
      <c r="G65" s="1127"/>
      <c r="H65" s="1127"/>
      <c r="I65" s="1127"/>
      <c r="J65" s="1127"/>
    </row>
    <row r="66" spans="1:10" ht="15.75">
      <c r="A66" s="1048"/>
      <c r="B66" s="1048"/>
      <c r="C66" s="1048"/>
      <c r="D66" s="1048"/>
      <c r="E66" s="1048"/>
      <c r="F66" s="1047"/>
      <c r="G66" s="1048"/>
      <c r="H66" s="1048"/>
      <c r="I66" s="1048"/>
      <c r="J66" s="1048"/>
    </row>
    <row r="67" spans="1:10" ht="15.75">
      <c r="A67" s="1128"/>
      <c r="B67" s="1128"/>
      <c r="C67" s="1128"/>
      <c r="D67" s="1128"/>
      <c r="E67" s="1128"/>
      <c r="F67" s="1128"/>
      <c r="G67" s="1128"/>
      <c r="H67" s="1128"/>
      <c r="I67" s="1128"/>
      <c r="J67" s="1128"/>
    </row>
    <row r="68" spans="1:10" ht="15">
      <c r="A68" s="1079"/>
      <c r="B68" s="1079"/>
      <c r="C68" s="1079"/>
      <c r="D68" s="1079"/>
      <c r="E68" s="1079"/>
      <c r="F68" s="1079"/>
      <c r="G68" s="1079"/>
      <c r="H68" s="1079"/>
      <c r="I68" s="1079"/>
      <c r="J68" s="1079"/>
    </row>
  </sheetData>
  <sheetProtection/>
  <mergeCells count="4">
    <mergeCell ref="E4:G4"/>
    <mergeCell ref="A11:J11"/>
    <mergeCell ref="A65:J65"/>
    <mergeCell ref="A67:J6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2018-04-24T14:41:00Z</cp:lastPrinted>
  <dcterms:created xsi:type="dcterms:W3CDTF">1999-08-03T13:11:47Z</dcterms:created>
  <dcterms:modified xsi:type="dcterms:W3CDTF">2018-05-06T21:56:57Z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