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0"/>
  </bookViews>
  <sheets>
    <sheet name="Instructions" sheetId="1" r:id="rId1"/>
    <sheet name="inputPrYr" sheetId="2" r:id="rId2"/>
    <sheet name="inputOth" sheetId="3" r:id="rId3"/>
    <sheet name="inputBudSum" sheetId="4" r:id="rId4"/>
    <sheet name="CPA Summary" sheetId="5" r:id="rId5"/>
    <sheet name="cert" sheetId="6" r:id="rId6"/>
    <sheet name="Comp1" sheetId="7" r:id="rId7"/>
    <sheet name="Comp2" sheetId="8" r:id="rId8"/>
    <sheet name="Comp3" sheetId="9" r:id="rId9"/>
    <sheet name="Mvalloc" sheetId="10" r:id="rId10"/>
    <sheet name="Transfers" sheetId="11" r:id="rId11"/>
    <sheet name="TransferStatutes" sheetId="12" r:id="rId12"/>
    <sheet name="debt" sheetId="13" r:id="rId13"/>
    <sheet name="lpform" sheetId="14" r:id="rId14"/>
    <sheet name="Library Grant" sheetId="15" r:id="rId15"/>
    <sheet name="general" sheetId="16" r:id="rId16"/>
    <sheet name="general-detail" sheetId="17" r:id="rId17"/>
    <sheet name="DebtService" sheetId="18" r:id="rId18"/>
    <sheet name="Library-Rec" sheetId="19" r:id="rId19"/>
    <sheet name="levy page9" sheetId="20" r:id="rId20"/>
    <sheet name="levy page10" sheetId="21" r:id="rId21"/>
    <sheet name="SpecHwy" sheetId="22" r:id="rId22"/>
    <sheet name="no levy page12" sheetId="23" r:id="rId23"/>
    <sheet name="no levy page13" sheetId="24" r:id="rId24"/>
    <sheet name="Sinnolevy14" sheetId="25" r:id="rId25"/>
    <sheet name="nonbud" sheetId="26" r:id="rId26"/>
    <sheet name="NonBudFunds" sheetId="27" r:id="rId27"/>
    <sheet name="summ" sheetId="28" r:id="rId28"/>
    <sheet name="Nhood"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6">'Comp1'!$A$1:$J$54</definedName>
    <definedName name="_xlnm.Print_Area" localSheetId="17">'DebtService'!$B$1:$E$68</definedName>
    <definedName name="_xlnm.Print_Area" localSheetId="15">'general'!$B$1:$E$74</definedName>
    <definedName name="_xlnm.Print_Area" localSheetId="1">'inputPrYr'!$A$1:$E$66</definedName>
    <definedName name="_xlnm.Print_Area" localSheetId="20">'levy page10'!$A$1:$E$86</definedName>
    <definedName name="_xlnm.Print_Area" localSheetId="19">'levy page9'!$A$1:$E$83</definedName>
    <definedName name="_xlnm.Print_Area" localSheetId="14">'Library Grant'!$A$1:$J$40</definedName>
    <definedName name="_xlnm.Print_Area" localSheetId="18">'Library-Rec'!$B$1:$E$86</definedName>
    <definedName name="_xlnm.Print_Area" localSheetId="13">'lpform'!$B$1:$I$34</definedName>
    <definedName name="_xlnm.Print_Area" localSheetId="34">'Mill Rate Computation'!$B$4:$K$150</definedName>
    <definedName name="_xlnm.Print_Area" localSheetId="27">'summ'!$A$1:$H$51</definedName>
  </definedNames>
  <calcPr fullCalcOnLoad="1"/>
</workbook>
</file>

<file path=xl/sharedStrings.xml><?xml version="1.0" encoding="utf-8"?>
<sst xmlns="http://schemas.openxmlformats.org/spreadsheetml/2006/main" count="1804" uniqueCount="1086">
  <si>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</si>
  <si>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</si>
  <si>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</si>
  <si>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</si>
  <si>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</si>
  <si>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</si>
  <si>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</si>
  <si>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</si>
  <si>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</si>
  <si>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</si>
  <si>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</si>
  <si>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</si>
  <si>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</si>
  <si>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</si>
  <si>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</si>
  <si>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</si>
  <si>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</si>
  <si>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</si>
  <si>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</si>
  <si>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</si>
  <si>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</si>
  <si>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</si>
  <si>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</si>
  <si>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</si>
  <si>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</si>
  <si>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</si>
  <si>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</si>
  <si>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</si>
  <si>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</si>
  <si>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</si>
  <si>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</si>
  <si>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</si>
  <si>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</si>
  <si>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</si>
  <si>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</si>
  <si>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</si>
  <si>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</si>
  <si>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</si>
  <si>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</si>
  <si>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</si>
  <si>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</si>
  <si>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</si>
  <si>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</si>
  <si>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</si>
  <si>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expenditure amounts should reflect the amended </t>
  </si>
  <si>
    <t>expenditure amounts.</t>
  </si>
  <si>
    <t>Budget Authority</t>
  </si>
  <si>
    <t>Funds</t>
  </si>
  <si>
    <t>Neighborhood Revitalization Rebate</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</si>
  <si>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</si>
  <si>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</si>
  <si>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</si>
  <si>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</si>
  <si>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</si>
  <si>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</si>
  <si>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</si>
  <si>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</si>
  <si>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</si>
  <si>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</si>
  <si>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</si>
  <si>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Salaries</t>
  </si>
  <si>
    <t xml:space="preserve">  Contractual</t>
  </si>
  <si>
    <t xml:space="preserve">  Commodities</t>
  </si>
  <si>
    <t xml:space="preserve">  Capital Outlay</t>
  </si>
  <si>
    <t>Page Total</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</si>
  <si>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</si>
  <si>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</si>
  <si>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</si>
  <si>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</si>
  <si>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</si>
  <si>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</si>
  <si>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</si>
  <si>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</si>
  <si>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</si>
  <si>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</si>
  <si>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</si>
  <si>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</si>
  <si>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</si>
  <si>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</si>
  <si>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</si>
  <si>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</si>
  <si>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</si>
  <si>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</si>
  <si>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</si>
  <si>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</si>
  <si>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</si>
  <si>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</si>
  <si>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</si>
  <si>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</si>
  <si>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</si>
  <si>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</si>
  <si>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</si>
  <si>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</si>
  <si>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</si>
  <si>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</si>
  <si>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</si>
  <si>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</si>
  <si>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</si>
  <si>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</si>
  <si>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</si>
  <si>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</si>
  <si>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</si>
  <si>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</si>
  <si>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</si>
  <si>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</si>
  <si>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</si>
  <si>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</si>
  <si>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</si>
  <si>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</si>
  <si>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</si>
  <si>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</si>
  <si>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</si>
  <si>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 xml:space="preserve">General Instructions </t>
  </si>
  <si>
    <t>Computer Spreadsheet Preparation</t>
  </si>
  <si>
    <t>Fund Names:</t>
  </si>
  <si>
    <t>Statute</t>
  </si>
  <si>
    <t>General</t>
  </si>
  <si>
    <t>Fund name for all funds with a tax levy:</t>
  </si>
  <si>
    <t>Other (non-tax levy) fund names:</t>
  </si>
  <si>
    <t>Special Highway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</si>
  <si>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</si>
  <si>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</si>
  <si>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</si>
  <si>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</si>
  <si>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</si>
  <si>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</si>
  <si>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</si>
  <si>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</si>
  <si>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</si>
  <si>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</si>
  <si>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</si>
  <si>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</si>
  <si>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</si>
  <si>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</si>
  <si>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</si>
  <si>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</si>
  <si>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</si>
  <si>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</si>
  <si>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</si>
  <si>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</si>
  <si>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</si>
  <si>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</si>
  <si>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</si>
  <si>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</si>
  <si>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</si>
  <si>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</si>
  <si>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</si>
  <si>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</si>
  <si>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</si>
  <si>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</si>
  <si>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</si>
  <si>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</si>
  <si>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</si>
  <si>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</si>
  <si>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</si>
  <si>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</si>
  <si>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</si>
  <si>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</si>
  <si>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</si>
  <si>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</si>
  <si>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</si>
  <si>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</si>
  <si>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</si>
  <si>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</si>
  <si>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</si>
  <si>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</si>
  <si>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</si>
  <si>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</si>
  <si>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</si>
  <si>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</si>
  <si>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</si>
  <si>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</si>
  <si>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</si>
  <si>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</si>
  <si>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</si>
  <si>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</si>
  <si>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</si>
  <si>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</si>
  <si>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</si>
  <si>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</si>
  <si>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</si>
  <si>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</si>
  <si>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</si>
  <si>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</si>
  <si>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</si>
  <si>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</si>
  <si>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</si>
  <si>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</si>
  <si>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</si>
  <si>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</si>
  <si>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</si>
  <si>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</si>
  <si>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</si>
  <si>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</si>
  <si>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</si>
  <si>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</si>
  <si>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</si>
  <si>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</si>
  <si>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</si>
  <si>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</si>
  <si>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</si>
  <si>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</si>
  <si>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</si>
  <si>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</si>
  <si>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</si>
  <si>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</si>
  <si>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</si>
  <si>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</si>
  <si>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</si>
  <si>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</si>
  <si>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</si>
  <si>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</si>
  <si>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</si>
  <si>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</si>
  <si>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</si>
  <si>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</si>
  <si>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</si>
  <si>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</si>
  <si>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</si>
  <si>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</si>
  <si>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</si>
  <si>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</si>
  <si>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</si>
  <si>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</si>
  <si>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</si>
  <si>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</si>
  <si>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</si>
  <si>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</si>
  <si>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</si>
  <si>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</si>
  <si>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</si>
  <si>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</si>
  <si>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</si>
  <si>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</si>
  <si>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</si>
  <si>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</si>
  <si>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</si>
  <si>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</si>
  <si>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</si>
  <si>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</si>
  <si>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</si>
  <si>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</si>
  <si>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</si>
  <si>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</si>
  <si>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</si>
  <si>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</si>
  <si>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</si>
  <si>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</si>
  <si>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</si>
  <si>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</si>
  <si>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</si>
  <si>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</si>
  <si>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</si>
  <si>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</si>
  <si>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</si>
  <si>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</si>
  <si>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</si>
  <si>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</si>
  <si>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</si>
  <si>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</si>
  <si>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</si>
  <si>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</si>
  <si>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</si>
  <si>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</si>
  <si>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</si>
  <si>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</si>
  <si>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</si>
  <si>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</si>
  <si>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</si>
  <si>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</si>
  <si>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</si>
  <si>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</si>
  <si>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</si>
  <si>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</si>
  <si>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</si>
  <si>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</si>
  <si>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Current Year Estimate</t>
  </si>
  <si>
    <t>Proposed Budget Year</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</si>
  <si>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</si>
  <si>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</si>
  <si>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</si>
  <si>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</si>
  <si>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</si>
  <si>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</si>
  <si>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</si>
  <si>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</si>
  <si>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</si>
  <si>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</si>
  <si>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</si>
  <si>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</si>
  <si>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</si>
  <si>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</si>
  <si>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</si>
  <si>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</si>
  <si>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</si>
  <si>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</si>
  <si>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</si>
  <si>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</si>
  <si>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</si>
  <si>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</si>
  <si>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</si>
  <si>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</si>
  <si>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</si>
  <si>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</si>
  <si>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</si>
  <si>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</si>
  <si>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</si>
  <si>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</si>
  <si>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</si>
  <si>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</si>
  <si>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</si>
  <si>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</si>
  <si>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</si>
  <si>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</si>
  <si>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</si>
  <si>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</si>
  <si>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</si>
  <si>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</si>
  <si>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</si>
  <si>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</si>
  <si>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</si>
  <si>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</si>
  <si>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</si>
  <si>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</si>
  <si>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</si>
  <si>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</si>
  <si>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</si>
  <si>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</si>
  <si>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</si>
  <si>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</si>
  <si>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</si>
  <si>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</si>
  <si>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</si>
  <si>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</si>
  <si>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</si>
  <si>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</si>
  <si>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</si>
  <si>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</si>
  <si>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</si>
  <si>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</si>
  <si>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</si>
  <si>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</si>
  <si>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</si>
  <si>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</si>
  <si>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</si>
  <si>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</si>
  <si>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</si>
  <si>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</si>
  <si>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</si>
  <si>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</si>
  <si>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</si>
  <si>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</si>
  <si>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</si>
  <si>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</si>
  <si>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</si>
  <si>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</si>
  <si>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</si>
  <si>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</si>
  <si>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</si>
  <si>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</si>
  <si>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</si>
  <si>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</si>
  <si>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</si>
  <si>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</si>
  <si>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</si>
  <si>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</si>
  <si>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</si>
  <si>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</si>
  <si>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</si>
  <si>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</si>
  <si>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</si>
  <si>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</si>
  <si>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</si>
  <si>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</si>
  <si>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</si>
  <si>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</si>
  <si>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</si>
  <si>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</si>
  <si>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</si>
  <si>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</si>
  <si>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</si>
  <si>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</si>
  <si>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</si>
  <si>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</si>
  <si>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</si>
  <si>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</si>
  <si>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</si>
  <si>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</si>
  <si>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</si>
  <si>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</si>
  <si>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</si>
  <si>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</si>
  <si>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</si>
  <si>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</si>
  <si>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</si>
  <si>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</si>
  <si>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</si>
  <si>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</si>
  <si>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</si>
  <si>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</si>
  <si>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</si>
  <si>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</si>
  <si>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</si>
  <si>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</si>
  <si>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</si>
  <si>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</si>
  <si>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</si>
  <si>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</si>
  <si>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</si>
  <si>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</si>
  <si>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</si>
  <si>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</si>
  <si>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</si>
  <si>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</si>
  <si>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</si>
  <si>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</si>
  <si>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</si>
  <si>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</si>
  <si>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</si>
  <si>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</si>
  <si>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</si>
  <si>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</si>
  <si>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</si>
  <si>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</si>
  <si>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</si>
  <si>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</si>
  <si>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</si>
  <si>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</si>
  <si>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</si>
  <si>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</si>
  <si>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</si>
  <si>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</si>
  <si>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</si>
  <si>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</si>
  <si>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</si>
  <si>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</si>
  <si>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</si>
  <si>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</si>
  <si>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</si>
  <si>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</si>
  <si>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</si>
  <si>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</si>
  <si>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</si>
  <si>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</si>
  <si>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</si>
  <si>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</si>
  <si>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</si>
  <si>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</si>
  <si>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</si>
  <si>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</si>
  <si>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</si>
  <si>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</si>
  <si>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</si>
  <si>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</si>
  <si>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</si>
  <si>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</si>
  <si>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</si>
  <si>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</si>
  <si>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</si>
  <si>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</si>
  <si>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</si>
  <si>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</si>
  <si>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</si>
  <si>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</si>
  <si>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</si>
  <si>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</si>
  <si>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</si>
  <si>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</si>
  <si>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</si>
  <si>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</si>
  <si>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</si>
  <si>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</si>
  <si>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</si>
  <si>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</si>
  <si>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</si>
  <si>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</si>
  <si>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</si>
  <si>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</si>
  <si>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</si>
  <si>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</si>
  <si>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</si>
  <si>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</si>
  <si>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</si>
  <si>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</si>
  <si>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</si>
  <si>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</si>
  <si>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</si>
  <si>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</si>
  <si>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</si>
  <si>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</si>
  <si>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</si>
  <si>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</si>
  <si>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</si>
  <si>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</si>
  <si>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</si>
  <si>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</si>
  <si>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</si>
  <si>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</si>
  <si>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</si>
  <si>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</si>
  <si>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</si>
  <si>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</si>
  <si>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</si>
  <si>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</si>
  <si>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</si>
  <si>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</si>
  <si>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</si>
  <si>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</si>
  <si>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</si>
  <si>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</si>
  <si>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</si>
  <si>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</si>
  <si>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</si>
  <si>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</si>
  <si>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</si>
  <si>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</si>
  <si>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</si>
  <si>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</si>
  <si>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</si>
  <si>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</si>
  <si>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</si>
  <si>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</si>
  <si>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</si>
  <si>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</si>
  <si>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</si>
  <si>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</si>
  <si>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</si>
  <si>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</si>
  <si>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</si>
  <si>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</si>
  <si>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</si>
  <si>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</si>
  <si>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</si>
  <si>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</si>
  <si>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</si>
  <si>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</si>
  <si>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</si>
  <si>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</si>
  <si>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</si>
  <si>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</si>
  <si>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</si>
  <si>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</si>
  <si>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</si>
  <si>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</si>
  <si>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</si>
  <si>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</si>
  <si>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</si>
  <si>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</si>
  <si>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</si>
  <si>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</si>
  <si>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</si>
  <si>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</si>
  <si>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</si>
  <si>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</si>
  <si>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</si>
  <si>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</si>
  <si>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</si>
  <si>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</si>
  <si>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</si>
  <si>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</si>
  <si>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</si>
  <si>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</si>
  <si>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</si>
  <si>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</si>
  <si>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</si>
  <si>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</si>
  <si>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</si>
  <si>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</si>
  <si>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</si>
  <si>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</si>
  <si>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</si>
  <si>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</si>
  <si>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</si>
  <si>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</si>
  <si>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</si>
  <si>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</si>
  <si>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</si>
  <si>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</si>
  <si>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</si>
  <si>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</si>
  <si>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</si>
  <si>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</si>
  <si>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</si>
  <si>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</si>
  <si>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</si>
  <si>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</si>
  <si>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</si>
  <si>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</si>
  <si>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</si>
  <si>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</si>
  <si>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</si>
  <si>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</si>
  <si>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</si>
  <si>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</si>
  <si>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</si>
  <si>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</si>
  <si>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</si>
  <si>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</si>
  <si>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</si>
  <si>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</si>
  <si>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</si>
  <si>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</si>
  <si>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</si>
  <si>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</si>
  <si>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Utilities</t>
  </si>
  <si>
    <t>Bank Charges</t>
  </si>
  <si>
    <t>Budget preparation &amp; Publication</t>
  </si>
  <si>
    <t>Postage</t>
  </si>
  <si>
    <t>Capital Outlay</t>
  </si>
  <si>
    <t>Recreation</t>
  </si>
  <si>
    <t>12-1927</t>
  </si>
  <si>
    <t>Imposed Levy Limit (City's Historical Records)</t>
  </si>
  <si>
    <t>Fund Name</t>
  </si>
  <si>
    <t>Mill Rate Limit</t>
  </si>
  <si>
    <t>Ordinance Number:</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</si>
  <si>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</si>
  <si>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</si>
  <si>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</si>
  <si>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</si>
  <si>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</si>
  <si>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</si>
  <si>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</si>
  <si>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</si>
  <si>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</si>
  <si>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</si>
  <si>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Totals for City</t>
  </si>
  <si>
    <t>Totals  Includes Recreation</t>
  </si>
  <si>
    <t>for Expenditures</t>
  </si>
  <si>
    <t>Totals Includes Recreation</t>
  </si>
  <si>
    <t>Estimated Mill Rate Impact:</t>
  </si>
  <si>
    <t>Desired Carryover Amount:</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</si>
  <si>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</si>
  <si>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</si>
  <si>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</si>
  <si>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</si>
  <si>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</si>
  <si>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</si>
  <si>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</si>
  <si>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</si>
  <si>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</si>
  <si>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</si>
  <si>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</si>
  <si>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</si>
  <si>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</si>
  <si>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</si>
  <si>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</si>
  <si>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</si>
  <si>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</si>
  <si>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</si>
  <si>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</si>
  <si>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</si>
  <si>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</si>
  <si>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</si>
  <si>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</si>
  <si>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</si>
  <si>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</si>
  <si>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</si>
  <si>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</si>
  <si>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</si>
  <si>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</si>
  <si>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</si>
  <si>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</si>
  <si>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</si>
  <si>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</si>
  <si>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</si>
  <si>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</si>
  <si>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</si>
  <si>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</si>
  <si>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</si>
  <si>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</si>
  <si>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</si>
  <si>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</si>
  <si>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</si>
  <si>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</si>
  <si>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</si>
  <si>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</si>
  <si>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</si>
  <si>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</si>
  <si>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</si>
  <si>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</si>
  <si>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</si>
  <si>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</si>
  <si>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</si>
  <si>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</si>
  <si>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</si>
  <si>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</si>
  <si>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</si>
  <si>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</si>
  <si>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</si>
  <si>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</si>
  <si>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</si>
  <si>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</si>
  <si>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</si>
  <si>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</si>
  <si>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</si>
  <si>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</si>
  <si>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</si>
  <si>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</si>
  <si>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</si>
  <si>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</si>
  <si>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</si>
  <si>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</si>
  <si>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</si>
  <si>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</si>
  <si>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</si>
  <si>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</si>
  <si>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</si>
  <si>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</si>
  <si>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</si>
  <si>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</si>
  <si>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</si>
  <si>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</si>
  <si>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</si>
  <si>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</si>
  <si>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</si>
  <si>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</si>
  <si>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</si>
  <si>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</si>
  <si>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</si>
  <si>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</si>
  <si>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t>What Mill Rate Would Be Desired?</t>
  </si>
  <si>
    <t>3. Instruction tab added lines 4c (cert-rec), 11b (fund-rec), 11c (signature), 11d (last year mill rate), 11e (desired mill rate), 10a(project carryover), 10b (Desired Carryover), and 15 (protection)</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</si>
  <si>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</si>
  <si>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</si>
  <si>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</si>
  <si>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</si>
  <si>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</si>
  <si>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</si>
  <si>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</si>
  <si>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</si>
  <si>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</si>
  <si>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</si>
  <si>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</si>
  <si>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</si>
  <si>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</si>
  <si>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</si>
  <si>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</si>
  <si>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</si>
  <si>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</si>
  <si>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</si>
  <si>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</si>
  <si>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</si>
  <si>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</si>
  <si>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</si>
  <si>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</si>
  <si>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</si>
  <si>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</si>
  <si>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</si>
  <si>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</si>
  <si>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</si>
  <si>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</si>
  <si>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34. Inputoth tab changed Actual Delinquency tax from -2 to -3</t>
  </si>
  <si>
    <r>
      <t xml:space="preserve">         </t>
    </r>
    <r>
      <rPr>
        <b/>
        <sz val="12"/>
        <rFont val="Times New Roman"/>
        <family val="1"/>
      </rPr>
      <t>General Fund</t>
    </r>
    <r>
      <rPr>
        <sz val="12"/>
        <rFont val="Times New Roman"/>
        <family val="1"/>
      </rPr>
      <t xml:space="preserve"> - Detail Expend</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</si>
  <si>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</si>
  <si>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</si>
  <si>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</si>
  <si>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</si>
  <si>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</si>
  <si>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</si>
  <si>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</si>
  <si>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</si>
  <si>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</si>
  <si>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Exp</t>
  </si>
  <si>
    <t>Does miscellaneous exceed 10% Total Rec</t>
  </si>
  <si>
    <t>Does miscellanous exceed 10% Total Exp</t>
  </si>
  <si>
    <t>1. DebtService tab corrected cell E20 computation</t>
  </si>
  <si>
    <t>2. Mvalloc tab corrected link with InputPrYr ad valorem tax</t>
  </si>
  <si>
    <t>3. Debt Service tab corrected cell G34 from E21 to E20</t>
  </si>
  <si>
    <t>1. Summ tab changed proposed year expenditure column to 'Budget Authority for Expenditures'</t>
  </si>
  <si>
    <t xml:space="preserve">Amounts used in lieu of </t>
  </si>
  <si>
    <t>Library</t>
  </si>
  <si>
    <t>12-1220</t>
  </si>
  <si>
    <t xml:space="preserve">Allocation of MVT, RVT, 16/20M Vehicle Tax </t>
  </si>
  <si>
    <t>Email:</t>
  </si>
  <si>
    <t>__________________________  _________________________</t>
  </si>
  <si>
    <t xml:space="preserve"> Debt</t>
  </si>
  <si>
    <t>Tpye of</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</si>
  <si>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</si>
  <si>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</si>
  <si>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</si>
  <si>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</si>
  <si>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</si>
  <si>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</si>
  <si>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</si>
  <si>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</si>
  <si>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</si>
  <si>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</si>
  <si>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</si>
  <si>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</si>
  <si>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Prior Year </t>
  </si>
  <si>
    <t xml:space="preserve">Current Year </t>
  </si>
  <si>
    <t xml:space="preserve">Proposed Budget </t>
  </si>
  <si>
    <t xml:space="preserve"> Purchased</t>
  </si>
  <si>
    <t>Items</t>
  </si>
  <si>
    <t xml:space="preserve">Budgeted Funds </t>
  </si>
  <si>
    <t>January</t>
  </si>
  <si>
    <t>February</t>
  </si>
  <si>
    <t>Official Name:</t>
  </si>
  <si>
    <t>March</t>
  </si>
  <si>
    <t>April</t>
  </si>
  <si>
    <t>May</t>
  </si>
  <si>
    <t>June</t>
  </si>
  <si>
    <t>July</t>
  </si>
  <si>
    <t>August</t>
  </si>
  <si>
    <t>September</t>
  </si>
  <si>
    <t>October</t>
  </si>
  <si>
    <t>November</t>
  </si>
  <si>
    <t>December</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</si>
  <si>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</si>
  <si>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</si>
  <si>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</si>
  <si>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</si>
  <si>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</si>
  <si>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</si>
  <si>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</si>
  <si>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</si>
  <si>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</si>
  <si>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</si>
  <si>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</si>
  <si>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</si>
  <si>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</si>
  <si>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</si>
  <si>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</si>
  <si>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</si>
  <si>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</si>
  <si>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</si>
  <si>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</si>
  <si>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</si>
  <si>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</si>
  <si>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</si>
  <si>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</si>
  <si>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</si>
  <si>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</si>
  <si>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</si>
  <si>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</si>
  <si>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</si>
  <si>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</si>
  <si>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</si>
  <si>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</si>
  <si>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</si>
  <si>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</si>
  <si>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</si>
  <si>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</si>
  <si>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</si>
  <si>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</si>
  <si>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</si>
  <si>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</si>
  <si>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</si>
  <si>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</si>
  <si>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</si>
  <si>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</si>
  <si>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</si>
  <si>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</si>
  <si>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</si>
  <si>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</si>
  <si>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</si>
  <si>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</si>
  <si>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</si>
  <si>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</si>
  <si>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Delinquency % used in this budget will be shown on all fund pages with a tax levy**</t>
  </si>
  <si>
    <t>Expenditures Must Be Changed by:</t>
  </si>
  <si>
    <t>Mill Rate Comparison</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</si>
  <si>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</si>
  <si>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</si>
  <si>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</si>
  <si>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</si>
  <si>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</si>
  <si>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</si>
  <si>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</si>
  <si>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</si>
  <si>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</si>
  <si>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</si>
  <si>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</si>
  <si>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</si>
  <si>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</si>
  <si>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</si>
  <si>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</si>
  <si>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</si>
  <si>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</si>
  <si>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</si>
  <si>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</si>
  <si>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</si>
  <si>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</si>
  <si>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</si>
  <si>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</si>
  <si>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</si>
  <si>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</si>
  <si>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</si>
  <si>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</si>
  <si>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</si>
  <si>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</si>
  <si>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</si>
  <si>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</si>
  <si>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</si>
  <si>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</si>
  <si>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</si>
  <si>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There are two other recreation commission budget workbooks for cities: City2 withRec.xls, and City4 with Rec.xls.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</si>
  <si>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This spreadsheet has a General Fund, General Fund Detail, Debt Service, Library, Recreation, 4 Tax Levy Funds, Special Highway, 5 No Tax Levy Funds, 1 Single No Tax Levy Fund, 1 Non-Budgeted fund page which can hold 5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</si>
  <si>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</si>
  <si>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</si>
  <si>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</si>
  <si>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</si>
  <si>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Recreation and Library (Library-Rec),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</si>
  <si>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</si>
  <si>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</si>
  <si>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</si>
  <si>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</si>
  <si>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</si>
  <si>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</si>
  <si>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</si>
  <si>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</si>
  <si>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</si>
  <si>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</si>
  <si>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</si>
  <si>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</si>
  <si>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</si>
  <si>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</si>
  <si>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11h.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</si>
  <si>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</si>
  <si>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</si>
  <si>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</si>
  <si>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</si>
  <si>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r>
      <t>12d. The table '</t>
    </r>
    <r>
      <rPr>
        <i/>
        <sz val="12"/>
        <rFont val="Times New Roman"/>
        <family val="1"/>
      </rPr>
      <t>Estimated Value Of One Mill</t>
    </r>
    <r>
      <rPr>
        <sz val="12"/>
        <rFont val="Times New Roman"/>
        <family val="1"/>
      </rPr>
      <t xml:space="preserve">' to show what 1 mill rate would generate in dollars for the municipality.  </t>
    </r>
  </si>
  <si>
    <r>
      <t>12e.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</si>
  <si>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12f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</si>
  <si>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12g.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</si>
  <si>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12h.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</si>
  <si>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</si>
  <si>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</si>
  <si>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</si>
  <si>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</si>
  <si>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</si>
  <si>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</si>
  <si>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</si>
  <si>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</si>
  <si>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16. Instructions tab, changed #12g added that not signing the Budget Summary page will not require to be reprinted</t>
  </si>
  <si>
    <t>Prior Year</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</si>
  <si>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</si>
  <si>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36.  Add Library-Rec tab, in comparison block j83 "Exceed Mill Rate", cell f79 'Reduce', cell f80 shows amount that needs to be reduce</t>
  </si>
  <si>
    <t>1. Library Grant tab, updated State Library e-mail contact address</t>
  </si>
  <si>
    <t>1. Corrected addition computation in column D, inputPrYr tab</t>
  </si>
  <si>
    <t>1.  Corrected formula error in cell e40 on Cert tab page</t>
  </si>
  <si>
    <t>1.  Added "ordinance required?  yes/no" message to area adjacent to each tax levy fund</t>
  </si>
  <si>
    <t>1.  Instruction tab narrative modification</t>
  </si>
  <si>
    <t>1.  Corrected formulas for column totals on general fund detail page.</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</si>
  <si>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</si>
  <si>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</si>
  <si>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</si>
  <si>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</si>
  <si>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</si>
  <si>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</si>
  <si>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</si>
  <si>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18.</t>
  </si>
  <si>
    <t>Increase in personal property (5a minus 5b)</t>
  </si>
  <si>
    <t>Real estate</t>
  </si>
  <si>
    <t>State assessed</t>
  </si>
  <si>
    <t>New improvements</t>
  </si>
  <si>
    <t>Total adjustment (sum of 6a, 6b, and 6c)</t>
  </si>
  <si>
    <t>1.  Several changes to workbook associated with 2014 HB 2047.</t>
  </si>
  <si>
    <t>The following changes were made to this workbook on 5/16/14</t>
  </si>
  <si>
    <t>The following changes were made to this workbook on 4/9/14</t>
  </si>
  <si>
    <t>The following changes were made to this workbook on 1/13/14</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</si>
  <si>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</si>
  <si>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</si>
  <si>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</si>
  <si>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</si>
  <si>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</si>
  <si>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</si>
  <si>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</si>
  <si>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</si>
  <si>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</si>
  <si>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</si>
  <si>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</si>
  <si>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</si>
  <si>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</si>
  <si>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</si>
  <si>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The following changes were made to this workbook on 7/9/14</t>
  </si>
  <si>
    <t>1.  Correction to formula in cell j44 of the computation tab worksheet.</t>
  </si>
  <si>
    <t>1.  Update of State Library contact name on library grant tab.</t>
  </si>
  <si>
    <t>The following changes were made to this workbook on 8/19/14</t>
  </si>
  <si>
    <t>City with Recreation Commission Budget Workbook Instructions</t>
  </si>
  <si>
    <t>Input Sheet for City with Recreation Commission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</si>
  <si>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</si>
  <si>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</si>
  <si>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</si>
  <si>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</si>
  <si>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</si>
  <si>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</si>
  <si>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From the County Clerk's Budget Information</t>
  </si>
  <si>
    <t>How to Compute the Value of One Mill, and the Impact of Tax Dollars and Assessed Valuation on Mill Rates</t>
  </si>
  <si>
    <t>Commercial Vehicle Tax Estimate</t>
  </si>
  <si>
    <t>Watercraft Tax Estimate</t>
  </si>
  <si>
    <t>Comm Veh</t>
  </si>
  <si>
    <t>Watercraft</t>
  </si>
  <si>
    <t xml:space="preserve">Allocation of MV, RV, 16/20M, Commercial Vehicle, and Watercraft Tax Estimates </t>
  </si>
  <si>
    <t xml:space="preserve">Ad Valorem Levy </t>
  </si>
  <si>
    <t>County Treas Motor Vehicle Estimate</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</si>
  <si>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</si>
  <si>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</si>
  <si>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</si>
  <si>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</si>
  <si>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</si>
  <si>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</si>
  <si>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</si>
  <si>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</si>
  <si>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</si>
  <si>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The following changes were made to this workbook on 9/25/14</t>
  </si>
  <si>
    <t>The following changes were made to this workbook on 1/21/15</t>
  </si>
  <si>
    <t>1.  Inserted 2014 CPI percentage on computation tab.</t>
  </si>
  <si>
    <t>2.  Corrected formula in cell d24 of library grant tab.</t>
  </si>
  <si>
    <t>The following changes were made to this workbook on 6/25/15</t>
  </si>
  <si>
    <t>1.  Corrected formulas in cells d37 and e37 of the library fund tab.</t>
  </si>
  <si>
    <t>The following changes were made to this workbook on 9/22/2015</t>
  </si>
  <si>
    <t>The following changes were made to this workbook on 2/2/2016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</si>
  <si>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</si>
  <si>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</si>
  <si>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</si>
  <si>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</si>
  <si>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</si>
  <si>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</si>
  <si>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</si>
  <si>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 xml:space="preserve">Please read these instructions carefully.  If after reviewing them you still have questions, call Rico Aguayo at 785.296.6033 or email to armunis@ks.gov </t>
  </si>
  <si>
    <t>The following changes were made to this workbook on 4/7/2017</t>
  </si>
  <si>
    <t xml:space="preserve">2.  Disabled the Computation tab - Counties and Cities will need to use the HB 2088 Template for the 2018 budgets.  </t>
  </si>
  <si>
    <t xml:space="preserve">1.  Update the Instruction tab with Rico's name and telephone number.  Updated ARMUNIS address.  </t>
  </si>
  <si>
    <t>CPA Summary</t>
  </si>
  <si>
    <t xml:space="preserve">megan.schulz@ks.gov </t>
  </si>
  <si>
    <t xml:space="preserve">CPA Summary </t>
  </si>
  <si>
    <t>Net tax levy</t>
  </si>
  <si>
    <t xml:space="preserve">Expiration of property tax abatements </t>
  </si>
  <si>
    <t>Expiration of TIF, Rural Housing, and NR Districts</t>
  </si>
  <si>
    <t>(Incremental assessed value over base)</t>
  </si>
  <si>
    <t>Total valuation adjustment (sum of 4, 5c, 6d, 7, 8 &amp; 9)</t>
  </si>
  <si>
    <t>Percentage adjustment factor  - Line 10 / (Line 11 - Line 10))</t>
  </si>
  <si>
    <t>Percentage adjustment increase (12 times 3)</t>
  </si>
  <si>
    <t>Consumer Price Index adjustment (Line 3 times Line 14)</t>
  </si>
  <si>
    <t>Total Percentage Adjustments</t>
  </si>
  <si>
    <t>Increase property tax revenues spent on debt service</t>
  </si>
  <si>
    <t>(Obligations must have been incurred prior to July 1, 2016)</t>
  </si>
  <si>
    <t>(Do not include amounts already reported in debt service levy)</t>
  </si>
  <si>
    <t>Property tax revenues spent for public building commission and lease payments in the 2018 budget:</t>
  </si>
  <si>
    <t>Increase property tax revenues spent on public building commission and lease payments</t>
  </si>
  <si>
    <t>19.</t>
  </si>
  <si>
    <t>20.</t>
  </si>
  <si>
    <t>21.</t>
  </si>
  <si>
    <t>Property tax revenues spent on Federal or State mandates (effective after June 30, 2015)</t>
  </si>
  <si>
    <t>22.</t>
  </si>
  <si>
    <t>23.</t>
  </si>
  <si>
    <t xml:space="preserve">CPI adjustment </t>
  </si>
  <si>
    <t>(Do not include building construction or remodeling costs)</t>
  </si>
  <si>
    <t>24.</t>
  </si>
  <si>
    <t>25.</t>
  </si>
  <si>
    <t>26.</t>
  </si>
  <si>
    <t>Total Revenue Adjustments</t>
  </si>
  <si>
    <t>Levies on Behalf of Another Political or Governmental Subdivision</t>
  </si>
  <si>
    <t>27.</t>
  </si>
  <si>
    <t>28.</t>
  </si>
  <si>
    <t xml:space="preserve">Total Levies on Behalf of Another Political or Governmental Subdivision </t>
  </si>
  <si>
    <t>29.</t>
  </si>
  <si>
    <t xml:space="preserve">Total Computed Tax Levy </t>
  </si>
  <si>
    <t>Other Tests - Property Tax Decline</t>
  </si>
  <si>
    <t>Note - In order to use the test, there must be a decline in tax revenues in at least one of the years listed below.</t>
  </si>
  <si>
    <t>Average Tax Levy (last three years)</t>
  </si>
  <si>
    <t>Average Tax Levy Adjusted by CPI</t>
  </si>
  <si>
    <t>Exemption from Election Requirement</t>
  </si>
  <si>
    <t>"</t>
  </si>
  <si>
    <t xml:space="preserve">Other Tests - Lost Valuation Test </t>
  </si>
  <si>
    <t>Assessed Valuation Loss</t>
  </si>
  <si>
    <t xml:space="preserve">Change in Levy </t>
  </si>
  <si>
    <t xml:space="preserve">CPI Adjustment </t>
  </si>
  <si>
    <t xml:space="preserve">Total Adjustment for Loss of Assessed Valuation </t>
  </si>
  <si>
    <t>Exemption from Election Requirment</t>
  </si>
  <si>
    <t>CPI Percentage - 5 Year Average</t>
  </si>
  <si>
    <t xml:space="preserve">CPI Percentage - Preceding Year </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</si>
  <si>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</si>
  <si>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</si>
  <si>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</si>
  <si>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</si>
  <si>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</si>
  <si>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</si>
  <si>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</si>
  <si>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</si>
  <si>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</si>
  <si>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Expiration of Property Tax Abatements</t>
  </si>
  <si>
    <t>Does the City Need to Hold an Election?</t>
  </si>
  <si>
    <t xml:space="preserve">Tax Lid Limit (from Computation Tab)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</si>
</sst>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
    <numFmt numFmtId="202" formatCode="0.0%"/>
    <numFmt numFmtId="203" formatCode="#,##0.000_);[Red]\(#,##0.000\)"/>
    <numFmt numFmtId="204" formatCode="0.000_);[Red]\(0.000\)"/>
    <numFmt numFmtId="205" formatCode="0_);[Red]\(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b/>
      <u val="single"/>
      <sz val="12"/>
      <color indexed="8"/>
      <name val="Times New Roman"/>
      <family val="1"/>
    </font>
    <font>
      <b/>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u val="single"/>
      <sz val="12"/>
      <color theme="1"/>
      <name val="Times New Roman"/>
      <family val="1"/>
    </font>
    <font>
      <b/>
      <sz val="10"/>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indexed="41"/>
        <bgColor indexed="64"/>
      </patternFill>
    </fill>
    <fill>
      <patternFill patternType="solid">
        <fgColor rgb="FF92D050"/>
        <bgColor indexed="64"/>
      </patternFill>
    </fill>
    <fill>
      <patternFill patternType="solid">
        <fgColor rgb="FF69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6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0" fillId="9" borderId="1" applyNumberFormat="0" applyAlignment="0" applyProtection="0"/>
    <xf numFmtId="0" fontId="34" fillId="0" borderId="6" applyNumberFormat="0" applyFill="0" applyAlignment="0" applyProtection="0"/>
    <xf numFmtId="0" fontId="54"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06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3" fontId="6" fillId="9" borderId="20"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4" borderId="22"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4"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5" xfId="0" applyNumberFormat="1" applyFont="1" applyFill="1" applyBorder="1" applyAlignment="1" applyProtection="1">
      <alignment horizontal="left" vertical="center"/>
      <protection/>
    </xf>
    <xf numFmtId="37" fontId="13"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5"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1"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601"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4"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5"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1" xfId="0" applyFont="1" applyBorder="1" applyAlignment="1" applyProtection="1">
      <alignment vertical="center"/>
      <protection locked="0"/>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8"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horizontal="center" vertical="center"/>
      <protection/>
    </xf>
    <xf numFmtId="0" fontId="6" fillId="16" borderId="0" xfId="600"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2" xfId="42" applyNumberFormat="1" applyFont="1" applyFill="1" applyBorder="1" applyAlignment="1" applyProtection="1">
      <alignment horizontal="right" vertical="center"/>
      <protection/>
    </xf>
    <xf numFmtId="37" fontId="6" fillId="4" borderId="25"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2" xfId="0" applyNumberFormat="1" applyFont="1" applyFill="1" applyBorder="1" applyAlignment="1" applyProtection="1">
      <alignment horizontal="right" vertical="center"/>
      <protection locked="0"/>
    </xf>
    <xf numFmtId="3" fontId="17" fillId="25"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2"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3" xfId="0" applyFont="1" applyFill="1" applyBorder="1" applyAlignment="1">
      <alignment vertical="center"/>
    </xf>
    <xf numFmtId="0" fontId="16" fillId="4" borderId="14" xfId="0" applyFont="1" applyFill="1" applyBorder="1" applyAlignment="1">
      <alignment vertical="center"/>
    </xf>
    <xf numFmtId="0" fontId="16" fillId="4" borderId="13" xfId="0" applyFont="1" applyFill="1" applyBorder="1" applyAlignment="1">
      <alignment horizontal="center" vertical="center"/>
    </xf>
    <xf numFmtId="0" fontId="16" fillId="4" borderId="24" xfId="0" applyFont="1" applyFill="1" applyBorder="1" applyAlignment="1">
      <alignment vertical="center"/>
    </xf>
    <xf numFmtId="0" fontId="1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5"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7"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4" xfId="0" applyFont="1" applyFill="1" applyBorder="1" applyAlignment="1" applyProtection="1">
      <alignment vertical="center"/>
      <protection locked="0"/>
    </xf>
    <xf numFmtId="3" fontId="16" fillId="22" borderId="24"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22" xfId="0" applyNumberFormat="1" applyFont="1" applyFill="1" applyBorder="1" applyAlignment="1" applyProtection="1">
      <alignment horizontal="center" vertical="center"/>
      <protection locked="0"/>
    </xf>
    <xf numFmtId="3" fontId="16" fillId="22" borderId="13" xfId="0" applyNumberFormat="1" applyFont="1" applyFill="1" applyBorder="1" applyAlignment="1" applyProtection="1">
      <alignment horizontal="center" vertical="center"/>
      <protection locked="0"/>
    </xf>
    <xf numFmtId="0" fontId="16" fillId="22" borderId="13" xfId="0" applyFont="1" applyFill="1" applyBorder="1" applyAlignment="1" applyProtection="1">
      <alignment vertical="center"/>
      <protection locked="0"/>
    </xf>
    <xf numFmtId="0" fontId="16" fillId="22" borderId="15" xfId="0" applyFont="1" applyFill="1" applyBorder="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0" fontId="16" fillId="22" borderId="19" xfId="0" applyFont="1" applyFill="1" applyBorder="1" applyAlignment="1" applyProtection="1">
      <alignment vertical="center"/>
      <protection locked="0"/>
    </xf>
    <xf numFmtId="3" fontId="16" fillId="9" borderId="15" xfId="0" applyNumberFormat="1" applyFont="1" applyFill="1" applyBorder="1" applyAlignment="1">
      <alignment horizontal="center" vertical="center"/>
    </xf>
    <xf numFmtId="3" fontId="16" fillId="26" borderId="10" xfId="0" applyNumberFormat="1" applyFont="1" applyFill="1" applyBorder="1" applyAlignment="1">
      <alignment horizontal="center" vertical="center"/>
    </xf>
    <xf numFmtId="3" fontId="21" fillId="26"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7" fillId="26"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211" applyFont="1" applyAlignment="1">
      <alignment vertical="center" wrapText="1"/>
      <protection/>
    </xf>
    <xf numFmtId="0" fontId="6" fillId="0" borderId="0" xfId="490" applyFont="1" applyAlignment="1">
      <alignment vertical="center" wrapText="1"/>
      <protection/>
    </xf>
    <xf numFmtId="0" fontId="6" fillId="0" borderId="0" xfId="523" applyNumberFormat="1" applyFont="1" applyAlignment="1">
      <alignment vertical="center" wrapText="1"/>
      <protection/>
    </xf>
    <xf numFmtId="0" fontId="6" fillId="0" borderId="0" xfId="559"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93" applyFont="1">
      <alignment/>
      <protection/>
    </xf>
    <xf numFmtId="0" fontId="0" fillId="0" borderId="0" xfId="293" applyFont="1" applyFill="1">
      <alignment/>
      <protection/>
    </xf>
    <xf numFmtId="0" fontId="0" fillId="0" borderId="0" xfId="0" applyFont="1" applyAlignment="1">
      <alignment/>
    </xf>
    <xf numFmtId="0" fontId="1" fillId="0" borderId="0" xfId="0" applyFont="1" applyAlignment="1">
      <alignment horizontal="center"/>
    </xf>
    <xf numFmtId="0" fontId="6" fillId="0" borderId="0" xfId="107" applyFont="1" applyAlignment="1">
      <alignment vertical="center" wrapText="1"/>
      <protection/>
    </xf>
    <xf numFmtId="0" fontId="6" fillId="0" borderId="0" xfId="128" applyFont="1" applyAlignment="1">
      <alignment vertical="center" wrapText="1"/>
      <protection/>
    </xf>
    <xf numFmtId="0" fontId="6" fillId="0" borderId="0" xfId="185" applyFont="1" applyAlignment="1">
      <alignment vertical="center"/>
      <protection/>
    </xf>
    <xf numFmtId="0" fontId="7" fillId="0" borderId="0" xfId="180"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4"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90" applyFont="1" applyFill="1" applyBorder="1" applyProtection="1">
      <alignment/>
      <protection locked="0"/>
    </xf>
    <xf numFmtId="0" fontId="6" fillId="22" borderId="11" xfId="201" applyFont="1" applyFill="1" applyBorder="1" applyProtection="1">
      <alignment/>
      <protection locked="0"/>
    </xf>
    <xf numFmtId="0" fontId="6" fillId="22" borderId="11" xfId="465" applyFont="1" applyFill="1" applyBorder="1" applyProtection="1">
      <alignment/>
      <protection locked="0"/>
    </xf>
    <xf numFmtId="0" fontId="6" fillId="22" borderId="11" xfId="475" applyFont="1" applyFill="1" applyBorder="1" applyProtection="1">
      <alignment/>
      <protection locked="0"/>
    </xf>
    <xf numFmtId="3" fontId="6" fillId="22" borderId="10" xfId="478" applyNumberFormat="1" applyFont="1" applyFill="1" applyBorder="1" applyProtection="1">
      <alignment/>
      <protection locked="0"/>
    </xf>
    <xf numFmtId="0" fontId="6" fillId="22" borderId="11" xfId="481" applyFont="1" applyFill="1" applyBorder="1" applyProtection="1">
      <alignment/>
      <protection locked="0"/>
    </xf>
    <xf numFmtId="3" fontId="6" fillId="22" borderId="10" xfId="48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7" fillId="25" borderId="11" xfId="0" applyNumberFormat="1" applyFont="1" applyFill="1" applyBorder="1" applyAlignment="1" applyProtection="1">
      <alignment horizontal="center" vertical="center"/>
      <protection/>
    </xf>
    <xf numFmtId="0" fontId="6" fillId="4" borderId="25"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37" fontId="6" fillId="4" borderId="0" xfId="143" applyNumberFormat="1" applyFont="1" applyFill="1" applyBorder="1" applyAlignment="1" applyProtection="1">
      <alignment horizontal="left" vertical="center"/>
      <protection/>
    </xf>
    <xf numFmtId="0" fontId="6" fillId="0" borderId="0" xfId="0" applyFont="1" applyFill="1" applyBorder="1" applyAlignment="1" applyProtection="1">
      <alignment vertical="center"/>
      <protection locked="0"/>
    </xf>
    <xf numFmtId="37" fontId="6" fillId="4" borderId="10" xfId="143" applyNumberFormat="1" applyFont="1" applyFill="1" applyBorder="1" applyAlignment="1" applyProtection="1">
      <alignment horizontal="left" vertical="center"/>
      <protection/>
    </xf>
    <xf numFmtId="3" fontId="6" fillId="22" borderId="10" xfId="143" applyNumberFormat="1" applyFont="1" applyFill="1" applyBorder="1" applyAlignment="1" applyProtection="1">
      <alignment vertical="center"/>
      <protection locked="0"/>
    </xf>
    <xf numFmtId="49" fontId="6" fillId="4" borderId="10" xfId="143"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5"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37" fontId="5" fillId="4" borderId="26" xfId="0" applyNumberFormat="1" applyFont="1" applyFill="1" applyBorder="1" applyAlignment="1" applyProtection="1">
      <alignment horizontal="left"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horizontal="right" vertical="center"/>
      <protection/>
    </xf>
    <xf numFmtId="37" fontId="13" fillId="4" borderId="0" xfId="0" applyNumberFormat="1" applyFont="1" applyFill="1" applyAlignment="1" applyProtection="1">
      <alignment horizontal="center" vertical="center"/>
      <protection/>
    </xf>
    <xf numFmtId="37" fontId="75" fillId="4" borderId="0" xfId="0" applyNumberFormat="1" applyFont="1" applyFill="1" applyAlignment="1" applyProtection="1">
      <alignment horizontal="center"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6" borderId="15" xfId="0" applyFont="1" applyFill="1" applyBorder="1" applyAlignment="1" applyProtection="1">
      <alignment horizontal="center"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 fontId="6" fillId="22" borderId="13" xfId="0" applyNumberFormat="1" applyFont="1" applyFill="1" applyBorder="1" applyAlignment="1" applyProtection="1">
      <alignment horizontal="right"/>
      <protection locked="0"/>
    </xf>
    <xf numFmtId="0" fontId="76" fillId="0" borderId="0" xfId="143" applyFont="1" applyAlignment="1" applyProtection="1">
      <alignment vertical="center"/>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43" applyNumberFormat="1" applyFont="1" applyFill="1" applyBorder="1" applyAlignment="1" applyProtection="1">
      <alignment horizontal="left" vertical="center"/>
      <protection locked="0"/>
    </xf>
    <xf numFmtId="0" fontId="6" fillId="4" borderId="0" xfId="143" applyFont="1" applyFill="1" applyAlignment="1" applyProtection="1">
      <alignment horizontal="right" vertical="center"/>
      <protection/>
    </xf>
    <xf numFmtId="1" fontId="6" fillId="4" borderId="25"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7" fillId="26"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7" fillId="26"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6"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43"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4" fillId="0" borderId="0" xfId="0" applyFont="1" applyAlignment="1" applyProtection="1">
      <alignment/>
      <protection locked="0"/>
    </xf>
    <xf numFmtId="169" fontId="6" fillId="28" borderId="10" xfId="0" applyNumberFormat="1" applyFont="1" applyFill="1" applyBorder="1" applyAlignment="1" applyProtection="1">
      <alignment horizontal="center"/>
      <protection/>
    </xf>
    <xf numFmtId="183" fontId="6" fillId="4" borderId="10" xfId="0" applyNumberFormat="1" applyFont="1" applyFill="1" applyBorder="1" applyAlignment="1" applyProtection="1">
      <alignment horizontal="center"/>
      <protection/>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1"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1"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5" xfId="0" applyNumberFormat="1" applyFont="1" applyFill="1" applyBorder="1" applyAlignment="1" applyProtection="1">
      <alignment horizontal="center" vertical="center"/>
      <protection/>
    </xf>
    <xf numFmtId="197" fontId="4" fillId="29" borderId="21" xfId="0" applyNumberFormat="1" applyFont="1" applyFill="1" applyBorder="1" applyAlignment="1" applyProtection="1">
      <alignment vertical="center"/>
      <protection/>
    </xf>
    <xf numFmtId="0" fontId="39" fillId="27" borderId="17" xfId="0" applyFont="1" applyFill="1" applyBorder="1" applyAlignment="1" applyProtection="1">
      <alignment vertical="center"/>
      <protection/>
    </xf>
    <xf numFmtId="0" fontId="4" fillId="27" borderId="22" xfId="0" applyFont="1" applyFill="1" applyBorder="1" applyAlignment="1" applyProtection="1">
      <alignment vertical="center"/>
      <protection/>
    </xf>
    <xf numFmtId="0" fontId="6" fillId="27" borderId="22" xfId="0" applyFont="1" applyFill="1" applyBorder="1" applyAlignment="1" applyProtection="1">
      <alignment vertical="center"/>
      <protection/>
    </xf>
    <xf numFmtId="0" fontId="4" fillId="29" borderId="21" xfId="0" applyFont="1" applyFill="1" applyBorder="1" applyAlignment="1" applyProtection="1">
      <alignment horizontal="left" vertical="center"/>
      <protection/>
    </xf>
    <xf numFmtId="197" fontId="39" fillId="27" borderId="25" xfId="0" applyNumberFormat="1" applyFont="1" applyFill="1" applyBorder="1" applyAlignment="1" applyProtection="1">
      <alignment horizontal="center" vertical="center"/>
      <protection/>
    </xf>
    <xf numFmtId="0" fontId="0" fillId="29" borderId="0" xfId="0" applyFill="1" applyAlignment="1" applyProtection="1">
      <alignment/>
      <protection/>
    </xf>
    <xf numFmtId="0" fontId="0" fillId="29" borderId="0" xfId="0" applyFill="1" applyBorder="1" applyAlignment="1">
      <alignment horizontal="center"/>
    </xf>
    <xf numFmtId="0" fontId="6" fillId="0" borderId="0" xfId="143" applyFont="1" applyAlignment="1">
      <alignment vertical="center" wrapText="1"/>
      <protection/>
    </xf>
    <xf numFmtId="0" fontId="6" fillId="0" borderId="0" xfId="143" applyFont="1" applyAlignment="1">
      <alignment vertical="center"/>
      <protection/>
    </xf>
    <xf numFmtId="3" fontId="6" fillId="9" borderId="15" xfId="0" applyNumberFormat="1" applyFont="1" applyFill="1" applyBorder="1" applyAlignment="1" applyProtection="1">
      <alignment horizontal="center"/>
      <protection/>
    </xf>
    <xf numFmtId="169" fontId="6" fillId="9" borderId="15" xfId="0" applyNumberFormat="1" applyFont="1" applyFill="1" applyBorder="1" applyAlignment="1" applyProtection="1">
      <alignment horizontal="center"/>
      <protection/>
    </xf>
    <xf numFmtId="3" fontId="6" fillId="4" borderId="27" xfId="0" applyNumberFormat="1" applyFont="1" applyFill="1" applyBorder="1" applyAlignment="1" applyProtection="1">
      <alignment horizontal="center"/>
      <protection/>
    </xf>
    <xf numFmtId="0" fontId="6" fillId="4" borderId="27" xfId="0" applyFont="1" applyFill="1" applyBorder="1" applyAlignment="1" applyProtection="1">
      <alignment horizont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1"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5" xfId="0" applyFont="1" applyFill="1" applyBorder="1" applyAlignment="1" applyProtection="1">
      <alignment/>
      <protection/>
    </xf>
    <xf numFmtId="0" fontId="6" fillId="29" borderId="17" xfId="0" applyFont="1" applyFill="1" applyBorder="1" applyAlignment="1" applyProtection="1">
      <alignment/>
      <protection/>
    </xf>
    <xf numFmtId="197" fontId="6" fillId="27" borderId="2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1"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7" borderId="21" xfId="0" applyFont="1" applyFill="1" applyBorder="1" applyAlignment="1" applyProtection="1">
      <alignment/>
      <protection/>
    </xf>
    <xf numFmtId="0" fontId="6" fillId="27" borderId="0" xfId="0" applyFont="1" applyFill="1" applyBorder="1" applyAlignment="1" applyProtection="1">
      <alignment/>
      <protection/>
    </xf>
    <xf numFmtId="0" fontId="6" fillId="27" borderId="25"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29" borderId="22"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1" fillId="0" borderId="0" xfId="0" applyFont="1" applyAlignment="1">
      <alignment/>
    </xf>
    <xf numFmtId="0" fontId="41" fillId="29" borderId="0" xfId="0" applyFont="1" applyFill="1" applyAlignment="1">
      <alignment/>
    </xf>
    <xf numFmtId="0" fontId="41" fillId="29" borderId="0" xfId="0" applyFont="1" applyFill="1" applyAlignment="1">
      <alignment horizontal="center"/>
    </xf>
    <xf numFmtId="0" fontId="41" fillId="29" borderId="29" xfId="0" applyFont="1" applyFill="1" applyBorder="1" applyAlignment="1">
      <alignment/>
    </xf>
    <xf numFmtId="0" fontId="41" fillId="29" borderId="30" xfId="0" applyFont="1" applyFill="1" applyBorder="1" applyAlignment="1">
      <alignment/>
    </xf>
    <xf numFmtId="197" fontId="41" fillId="29" borderId="31" xfId="0" applyNumberFormat="1" applyFont="1" applyFill="1" applyBorder="1" applyAlignment="1">
      <alignment/>
    </xf>
    <xf numFmtId="0" fontId="41" fillId="29" borderId="0" xfId="0" applyFont="1" applyFill="1" applyBorder="1" applyAlignment="1">
      <alignment/>
    </xf>
    <xf numFmtId="0" fontId="41" fillId="29" borderId="32" xfId="0" applyFont="1" applyFill="1" applyBorder="1" applyAlignment="1">
      <alignment/>
    </xf>
    <xf numFmtId="0" fontId="41" fillId="29" borderId="33" xfId="0" applyFont="1" applyFill="1" applyBorder="1" applyAlignment="1">
      <alignment/>
    </xf>
    <xf numFmtId="0" fontId="41" fillId="29" borderId="34" xfId="0" applyFont="1" applyFill="1" applyBorder="1" applyAlignment="1">
      <alignment/>
    </xf>
    <xf numFmtId="0" fontId="41" fillId="29" borderId="35" xfId="0" applyFont="1" applyFill="1" applyBorder="1" applyAlignment="1">
      <alignment/>
    </xf>
    <xf numFmtId="0" fontId="41" fillId="29" borderId="28" xfId="0" applyFont="1" applyFill="1" applyBorder="1" applyAlignment="1">
      <alignment/>
    </xf>
    <xf numFmtId="0" fontId="41" fillId="29" borderId="36" xfId="0" applyFont="1" applyFill="1" applyBorder="1" applyAlignment="1">
      <alignment/>
    </xf>
    <xf numFmtId="197" fontId="41" fillId="30" borderId="31" xfId="0" applyNumberFormat="1" applyFont="1" applyFill="1" applyBorder="1" applyAlignment="1" applyProtection="1">
      <alignment horizontal="center"/>
      <protection locked="0"/>
    </xf>
    <xf numFmtId="179" fontId="41" fillId="29" borderId="0" xfId="0" applyNumberFormat="1" applyFont="1" applyFill="1" applyBorder="1" applyAlignment="1">
      <alignment horizontal="center"/>
    </xf>
    <xf numFmtId="0" fontId="41" fillId="0" borderId="0" xfId="0" applyFont="1" applyBorder="1" applyAlignment="1">
      <alignment/>
    </xf>
    <xf numFmtId="0" fontId="41" fillId="0" borderId="0" xfId="0" applyFont="1" applyBorder="1" applyAlignment="1">
      <alignment horizontal="centerContinuous"/>
    </xf>
    <xf numFmtId="0" fontId="41" fillId="29" borderId="37" xfId="0" applyFont="1" applyFill="1" applyBorder="1" applyAlignment="1">
      <alignment/>
    </xf>
    <xf numFmtId="0" fontId="41" fillId="29" borderId="23" xfId="0" applyFont="1" applyFill="1" applyBorder="1" applyAlignment="1">
      <alignment/>
    </xf>
    <xf numFmtId="0" fontId="41" fillId="29" borderId="38" xfId="0" applyFont="1" applyFill="1" applyBorder="1" applyAlignment="1">
      <alignment/>
    </xf>
    <xf numFmtId="5" fontId="41" fillId="29" borderId="34" xfId="0" applyNumberFormat="1" applyFont="1" applyFill="1" applyBorder="1" applyAlignment="1">
      <alignment horizontal="center"/>
    </xf>
    <xf numFmtId="0" fontId="41" fillId="29" borderId="34" xfId="0" applyFont="1" applyFill="1" applyBorder="1" applyAlignment="1">
      <alignment horizontal="center"/>
    </xf>
    <xf numFmtId="179" fontId="41" fillId="29" borderId="34" xfId="0" applyNumberFormat="1" applyFont="1" applyFill="1" applyBorder="1" applyAlignment="1">
      <alignment horizontal="center"/>
    </xf>
    <xf numFmtId="200" fontId="41" fillId="29" borderId="34" xfId="0" applyNumberFormat="1" applyFont="1" applyFill="1" applyBorder="1" applyAlignment="1">
      <alignment horizontal="center"/>
    </xf>
    <xf numFmtId="0" fontId="41" fillId="29" borderId="0" xfId="0" applyFont="1" applyFill="1" applyAlignment="1">
      <alignment horizontal="center" wrapText="1"/>
    </xf>
    <xf numFmtId="0" fontId="41" fillId="29" borderId="29" xfId="0" applyFont="1" applyFill="1" applyBorder="1" applyAlignment="1">
      <alignment/>
    </xf>
    <xf numFmtId="0" fontId="41" fillId="29" borderId="30" xfId="0" applyFont="1" applyFill="1" applyBorder="1" applyAlignment="1">
      <alignment/>
    </xf>
    <xf numFmtId="0" fontId="41" fillId="29" borderId="36" xfId="0" applyFont="1" applyFill="1" applyBorder="1" applyAlignment="1">
      <alignment/>
    </xf>
    <xf numFmtId="0" fontId="41" fillId="29" borderId="32" xfId="0" applyFont="1" applyFill="1" applyBorder="1" applyAlignment="1">
      <alignment/>
    </xf>
    <xf numFmtId="0" fontId="41" fillId="29" borderId="37" xfId="0" applyFont="1" applyFill="1" applyBorder="1" applyAlignment="1">
      <alignment/>
    </xf>
    <xf numFmtId="0" fontId="41" fillId="29" borderId="23" xfId="0" applyFont="1" applyFill="1" applyBorder="1" applyAlignment="1">
      <alignment/>
    </xf>
    <xf numFmtId="0" fontId="41" fillId="29" borderId="38" xfId="0" applyFont="1" applyFill="1" applyBorder="1" applyAlignment="1">
      <alignment/>
    </xf>
    <xf numFmtId="169" fontId="41" fillId="29" borderId="0" xfId="0" applyNumberFormat="1" applyFont="1" applyFill="1" applyBorder="1" applyAlignment="1">
      <alignment horizontal="center"/>
    </xf>
    <xf numFmtId="0" fontId="41" fillId="29" borderId="33" xfId="0" applyFont="1" applyFill="1" applyBorder="1" applyAlignment="1">
      <alignment/>
    </xf>
    <xf numFmtId="5" fontId="41" fillId="29" borderId="0" xfId="0" applyNumberFormat="1" applyFont="1" applyFill="1" applyBorder="1" applyAlignment="1">
      <alignment horizontal="center"/>
    </xf>
    <xf numFmtId="179" fontId="41" fillId="30" borderId="17" xfId="0" applyNumberFormat="1" applyFont="1" applyFill="1" applyBorder="1" applyAlignment="1" applyProtection="1">
      <alignment horizontal="center"/>
      <protection locked="0"/>
    </xf>
    <xf numFmtId="200" fontId="41" fillId="29" borderId="0" xfId="0" applyNumberFormat="1" applyFont="1" applyFill="1" applyBorder="1" applyAlignment="1">
      <alignment/>
    </xf>
    <xf numFmtId="0" fontId="41" fillId="31" borderId="0" xfId="0" applyFont="1" applyFill="1" applyAlignment="1">
      <alignment/>
    </xf>
    <xf numFmtId="0" fontId="4" fillId="29" borderId="21"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 fillId="27" borderId="17" xfId="0" applyFont="1" applyFill="1" applyBorder="1" applyAlignment="1" applyProtection="1">
      <alignment vertical="center"/>
      <protection/>
    </xf>
    <xf numFmtId="197" fontId="16" fillId="29" borderId="21"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5" xfId="0" applyNumberFormat="1" applyFont="1" applyFill="1" applyBorder="1" applyAlignment="1" applyProtection="1">
      <alignment horizontal="center" vertical="center"/>
      <protection/>
    </xf>
    <xf numFmtId="197" fontId="16" fillId="29" borderId="21" xfId="0" applyNumberFormat="1" applyFont="1" applyFill="1" applyBorder="1" applyAlignment="1" applyProtection="1">
      <alignment vertical="center"/>
      <protection/>
    </xf>
    <xf numFmtId="0" fontId="27" fillId="0" borderId="0" xfId="0" applyFont="1" applyAlignment="1">
      <alignment wrapText="1"/>
    </xf>
    <xf numFmtId="0" fontId="41" fillId="32" borderId="0" xfId="0" applyFont="1" applyFill="1" applyAlignment="1">
      <alignment/>
    </xf>
    <xf numFmtId="0" fontId="78" fillId="32" borderId="0" xfId="0" applyFont="1" applyFill="1" applyAlignment="1">
      <alignment horizontal="center" wrapText="1"/>
    </xf>
    <xf numFmtId="0" fontId="41" fillId="32" borderId="0" xfId="0" applyFont="1" applyFill="1" applyBorder="1" applyAlignment="1">
      <alignment/>
    </xf>
    <xf numFmtId="0" fontId="41" fillId="32" borderId="0" xfId="0" applyFont="1" applyFill="1" applyAlignment="1">
      <alignment/>
    </xf>
    <xf numFmtId="183" fontId="6" fillId="30" borderId="10" xfId="0" applyNumberFormat="1" applyFont="1" applyFill="1" applyBorder="1" applyAlignment="1" applyProtection="1">
      <alignment horizontal="center" vertical="center"/>
      <protection locked="0"/>
    </xf>
    <xf numFmtId="0" fontId="42" fillId="0" borderId="0" xfId="0" applyFont="1" applyAlignment="1">
      <alignment horizontal="center"/>
    </xf>
    <xf numFmtId="0" fontId="6" fillId="0" borderId="0" xfId="0" applyFont="1" applyAlignment="1">
      <alignment wrapText="1"/>
    </xf>
    <xf numFmtId="0" fontId="43" fillId="0" borderId="0" xfId="79" applyFont="1" applyAlignment="1" applyProtection="1">
      <alignment/>
      <protection/>
    </xf>
    <xf numFmtId="197" fontId="16" fillId="27" borderId="25" xfId="0" applyNumberFormat="1"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3" fontId="6" fillId="22" borderId="10" xfId="0" applyNumberFormat="1" applyFont="1" applyFill="1" applyBorder="1" applyAlignment="1" applyProtection="1">
      <alignment horizontal="right" vertical="center"/>
      <protection locked="0"/>
    </xf>
    <xf numFmtId="1" fontId="9" fillId="4" borderId="14"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1" fillId="0" borderId="0" xfId="0" applyNumberFormat="1" applyFont="1" applyAlignment="1">
      <alignment/>
    </xf>
    <xf numFmtId="197" fontId="41" fillId="29" borderId="34" xfId="0" applyNumberFormat="1" applyFont="1" applyFill="1" applyBorder="1" applyAlignment="1">
      <alignment horizontal="center"/>
    </xf>
    <xf numFmtId="179" fontId="41" fillId="29" borderId="34" xfId="0" applyNumberFormat="1" applyFont="1" applyFill="1" applyBorder="1" applyAlignment="1" applyProtection="1">
      <alignment horizontal="center"/>
      <protection locked="0"/>
    </xf>
    <xf numFmtId="200" fontId="41" fillId="29" borderId="34" xfId="0" applyNumberFormat="1" applyFont="1" applyFill="1" applyBorder="1" applyAlignment="1">
      <alignment/>
    </xf>
    <xf numFmtId="179" fontId="41" fillId="29" borderId="0" xfId="0" applyNumberFormat="1" applyFont="1" applyFill="1" applyBorder="1" applyAlignment="1" applyProtection="1">
      <alignment horizontal="center"/>
      <protection locked="0"/>
    </xf>
    <xf numFmtId="197" fontId="41" fillId="29" borderId="29" xfId="0" applyNumberFormat="1" applyFont="1" applyFill="1" applyBorder="1" applyAlignment="1">
      <alignment horizontal="center"/>
    </xf>
    <xf numFmtId="0" fontId="41" fillId="29" borderId="29" xfId="0" applyFont="1" applyFill="1" applyBorder="1" applyAlignment="1">
      <alignment horizontal="center"/>
    </xf>
    <xf numFmtId="179" fontId="41" fillId="29" borderId="29" xfId="0" applyNumberFormat="1" applyFont="1" applyFill="1" applyBorder="1" applyAlignment="1" applyProtection="1">
      <alignment horizontal="center"/>
      <protection locked="0"/>
    </xf>
    <xf numFmtId="200" fontId="41" fillId="29" borderId="29" xfId="0" applyNumberFormat="1" applyFont="1" applyFill="1" applyBorder="1" applyAlignment="1">
      <alignment/>
    </xf>
    <xf numFmtId="197" fontId="41" fillId="29"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2" xfId="0" applyNumberFormat="1"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0" fontId="7" fillId="0" borderId="0" xfId="181" applyFont="1" applyAlignment="1">
      <alignment vertical="center"/>
      <protection/>
    </xf>
    <xf numFmtId="0" fontId="6" fillId="4" borderId="0" xfId="79"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78" fillId="29" borderId="0" xfId="0" applyFont="1" applyFill="1" applyAlignment="1">
      <alignment horizontal="center" wrapText="1"/>
    </xf>
    <xf numFmtId="0" fontId="41" fillId="29" borderId="23" xfId="0" applyFont="1" applyFill="1" applyBorder="1" applyAlignment="1">
      <alignment horizontal="center"/>
    </xf>
    <xf numFmtId="197" fontId="41" fillId="30" borderId="17" xfId="0" applyNumberFormat="1" applyFont="1" applyFill="1" applyBorder="1" applyAlignment="1" applyProtection="1">
      <alignment horizontal="center"/>
      <protection locked="0"/>
    </xf>
    <xf numFmtId="0" fontId="78" fillId="29" borderId="0" xfId="0" applyFont="1" applyFill="1" applyAlignment="1">
      <alignment horizontal="center"/>
    </xf>
    <xf numFmtId="0" fontId="41" fillId="29" borderId="0" xfId="0" applyFont="1" applyFill="1" applyBorder="1" applyAlignment="1">
      <alignment/>
    </xf>
    <xf numFmtId="0" fontId="41" fillId="29" borderId="35" xfId="0" applyFont="1" applyFill="1" applyBorder="1" applyAlignment="1">
      <alignment/>
    </xf>
    <xf numFmtId="197" fontId="41" fillId="29" borderId="0" xfId="0" applyNumberFormat="1" applyFont="1" applyFill="1" applyBorder="1" applyAlignment="1">
      <alignment horizontal="center"/>
    </xf>
    <xf numFmtId="200" fontId="41" fillId="29" borderId="0" xfId="0" applyNumberFormat="1" applyFont="1" applyFill="1" applyBorder="1" applyAlignment="1">
      <alignment horizontal="center"/>
    </xf>
    <xf numFmtId="0" fontId="41" fillId="29" borderId="0" xfId="0" applyFont="1" applyFill="1" applyBorder="1" applyAlignment="1">
      <alignment horizontal="center"/>
    </xf>
    <xf numFmtId="0" fontId="6" fillId="4" borderId="0" xfId="0" applyFont="1" applyFill="1" applyBorder="1" applyAlignment="1" applyProtection="1">
      <alignment horizontal="center" vertical="center"/>
      <protection/>
    </xf>
    <xf numFmtId="202" fontId="6" fillId="22" borderId="10" xfId="0" applyNumberFormat="1"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9"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22" xfId="0"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3" fontId="6" fillId="26" borderId="18" xfId="0" applyNumberFormat="1" applyFont="1" applyFill="1" applyBorder="1" applyAlignment="1" applyProtection="1">
      <alignment vertical="center"/>
      <protection/>
    </xf>
    <xf numFmtId="202" fontId="6" fillId="4" borderId="0" xfId="0" applyNumberFormat="1" applyFont="1" applyFill="1" applyAlignment="1" applyProtection="1">
      <alignment horizontal="center" vertical="center"/>
      <protection/>
    </xf>
    <xf numFmtId="202" fontId="6" fillId="29" borderId="0" xfId="143" applyNumberFormat="1" applyFont="1" applyFill="1" applyAlignment="1">
      <alignment horizontal="center" vertical="center"/>
      <protection/>
    </xf>
    <xf numFmtId="3" fontId="5" fillId="26" borderId="18" xfId="0" applyNumberFormat="1" applyFont="1" applyFill="1" applyBorder="1" applyAlignment="1" applyProtection="1">
      <alignment vertical="center"/>
      <protection/>
    </xf>
    <xf numFmtId="1" fontId="6"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left" vertical="center"/>
      <protection/>
    </xf>
    <xf numFmtId="3" fontId="6" fillId="4" borderId="0" xfId="0" applyNumberFormat="1" applyFont="1" applyFill="1" applyBorder="1" applyAlignment="1" applyProtection="1">
      <alignment horizontal="center" vertical="center"/>
      <protection/>
    </xf>
    <xf numFmtId="0" fontId="80" fillId="0" borderId="0" xfId="0" applyFont="1" applyAlignment="1">
      <alignment/>
    </xf>
    <xf numFmtId="49" fontId="6" fillId="0" borderId="0" xfId="565" applyNumberFormat="1" applyFont="1" applyFill="1" applyAlignment="1" applyProtection="1">
      <alignment horizontal="left" vertical="center"/>
      <protection locked="0"/>
    </xf>
    <xf numFmtId="0" fontId="25" fillId="0" borderId="0" xfId="565">
      <alignment/>
      <protection/>
    </xf>
    <xf numFmtId="0" fontId="6" fillId="0" borderId="0" xfId="565" applyFont="1" applyAlignment="1">
      <alignment horizontal="left" vertical="center"/>
      <protection/>
    </xf>
    <xf numFmtId="189" fontId="16" fillId="0" borderId="0" xfId="565" applyNumberFormat="1" applyFont="1" applyAlignment="1">
      <alignment horizontal="left" vertical="center"/>
      <protection/>
    </xf>
    <xf numFmtId="49" fontId="6" fillId="0" borderId="0" xfId="565" applyNumberFormat="1" applyFont="1" applyAlignment="1">
      <alignment horizontal="left" vertical="center"/>
      <protection/>
    </xf>
    <xf numFmtId="0" fontId="16" fillId="0" borderId="0" xfId="565" applyFont="1" applyAlignment="1">
      <alignment horizontal="left" vertical="center"/>
      <protection/>
    </xf>
    <xf numFmtId="190" fontId="16" fillId="0" borderId="0" xfId="565" applyNumberFormat="1" applyFont="1" applyAlignment="1">
      <alignment horizontal="left" vertical="center"/>
      <protection/>
    </xf>
    <xf numFmtId="0" fontId="81" fillId="0" borderId="0" xfId="565" applyFont="1">
      <alignment/>
      <protection/>
    </xf>
    <xf numFmtId="189" fontId="82" fillId="0" borderId="0" xfId="565" applyNumberFormat="1" applyFont="1" applyAlignment="1">
      <alignment horizontal="left" vertical="center"/>
      <protection/>
    </xf>
    <xf numFmtId="0" fontId="82" fillId="0" borderId="0" xfId="565" applyNumberFormat="1" applyFont="1" applyAlignment="1">
      <alignment horizontal="left" vertical="center"/>
      <protection/>
    </xf>
    <xf numFmtId="1" fontId="82" fillId="0" borderId="0" xfId="565" applyNumberFormat="1" applyFont="1" applyAlignment="1">
      <alignment horizontal="left" vertical="center"/>
      <protection/>
    </xf>
    <xf numFmtId="0" fontId="83" fillId="0" borderId="0" xfId="565" applyFont="1" applyAlignment="1">
      <alignment horizontal="left" vertical="center"/>
      <protection/>
    </xf>
    <xf numFmtId="201" fontId="6" fillId="4" borderId="10" xfId="0" applyNumberFormat="1" applyFont="1" applyFill="1" applyBorder="1" applyAlignment="1" applyProtection="1">
      <alignment horizontal="right" vertical="center"/>
      <protection/>
    </xf>
    <xf numFmtId="179" fontId="6" fillId="4" borderId="10" xfId="143" applyNumberFormat="1" applyFont="1" applyFill="1" applyBorder="1" applyAlignment="1" applyProtection="1">
      <alignment horizontal="right" vertical="center"/>
      <protection/>
    </xf>
    <xf numFmtId="3" fontId="6" fillId="4" borderId="27" xfId="0" applyNumberFormat="1" applyFont="1" applyFill="1" applyBorder="1" applyAlignment="1" applyProtection="1">
      <alignment horizontal="right" vertical="center"/>
      <protection/>
    </xf>
    <xf numFmtId="0" fontId="6" fillId="4" borderId="27" xfId="0" applyFont="1" applyFill="1" applyBorder="1" applyAlignment="1" applyProtection="1">
      <alignment horizontal="right" vertical="center"/>
      <protection/>
    </xf>
    <xf numFmtId="3" fontId="6" fillId="9" borderId="15" xfId="0" applyNumberFormat="1" applyFont="1" applyFill="1" applyBorder="1" applyAlignment="1" applyProtection="1">
      <alignment horizontal="right" vertical="center"/>
      <protection/>
    </xf>
    <xf numFmtId="179" fontId="6" fillId="9" borderId="15" xfId="0" applyNumberFormat="1" applyFont="1" applyFill="1" applyBorder="1" applyAlignment="1" applyProtection="1">
      <alignment horizontal="right" vertical="center"/>
      <protection/>
    </xf>
    <xf numFmtId="169" fontId="6" fillId="4" borderId="10" xfId="143" applyNumberFormat="1" applyFont="1" applyFill="1" applyBorder="1" applyAlignment="1" applyProtection="1">
      <alignment horizontal="right" vertical="center"/>
      <protection/>
    </xf>
    <xf numFmtId="3" fontId="6" fillId="9" borderId="18" xfId="0" applyNumberFormat="1" applyFont="1" applyFill="1" applyBorder="1" applyAlignment="1" applyProtection="1">
      <alignment horizontal="right" vertical="center"/>
      <protection/>
    </xf>
    <xf numFmtId="179" fontId="6" fillId="9" borderId="18" xfId="0" applyNumberFormat="1" applyFont="1" applyFill="1" applyBorder="1" applyAlignment="1" applyProtection="1">
      <alignment horizontal="right" vertical="center"/>
      <protection/>
    </xf>
    <xf numFmtId="49" fontId="6" fillId="28" borderId="10" xfId="0" applyNumberFormat="1" applyFont="1" applyFill="1" applyBorder="1" applyAlignment="1" applyProtection="1">
      <alignment horizontal="center" vertical="center"/>
      <protection/>
    </xf>
    <xf numFmtId="0" fontId="6" fillId="29" borderId="0" xfId="119" applyFont="1" applyFill="1">
      <alignment/>
      <protection/>
    </xf>
    <xf numFmtId="0" fontId="0" fillId="0" borderId="0" xfId="119">
      <alignment/>
      <protection/>
    </xf>
    <xf numFmtId="0" fontId="6" fillId="29" borderId="0" xfId="119" applyFont="1" applyFill="1" applyAlignment="1">
      <alignment vertical="center"/>
      <protection/>
    </xf>
    <xf numFmtId="37" fontId="6" fillId="29" borderId="0" xfId="119" applyNumberFormat="1" applyFont="1" applyFill="1" applyAlignment="1">
      <alignment vertical="center"/>
      <protection/>
    </xf>
    <xf numFmtId="0" fontId="6" fillId="29" borderId="17" xfId="119" applyFont="1" applyFill="1" applyBorder="1" applyAlignment="1">
      <alignment vertical="center"/>
      <protection/>
    </xf>
    <xf numFmtId="0" fontId="6" fillId="29" borderId="0" xfId="119" applyFont="1" applyFill="1" applyAlignment="1">
      <alignment horizontal="center" vertical="center"/>
      <protection/>
    </xf>
    <xf numFmtId="0" fontId="7" fillId="29" borderId="0" xfId="119" applyFont="1" applyFill="1" applyAlignment="1">
      <alignment horizontal="center" vertical="center"/>
      <protection/>
    </xf>
    <xf numFmtId="197" fontId="6" fillId="29" borderId="0" xfId="119" applyNumberFormat="1" applyFont="1" applyFill="1" applyAlignment="1">
      <alignment vertical="center"/>
      <protection/>
    </xf>
    <xf numFmtId="197" fontId="6" fillId="29" borderId="23" xfId="119" applyNumberFormat="1" applyFont="1" applyFill="1" applyBorder="1" applyAlignment="1">
      <alignment vertical="center"/>
      <protection/>
    </xf>
    <xf numFmtId="6" fontId="6" fillId="29" borderId="0" xfId="119" applyNumberFormat="1" applyFont="1" applyFill="1" applyBorder="1" applyAlignment="1">
      <alignment vertical="center"/>
      <protection/>
    </xf>
    <xf numFmtId="197" fontId="6" fillId="29" borderId="0" xfId="119" applyNumberFormat="1" applyFont="1" applyFill="1" applyBorder="1" applyAlignment="1">
      <alignment vertical="center"/>
      <protection/>
    </xf>
    <xf numFmtId="0" fontId="84" fillId="27" borderId="0" xfId="119" applyFont="1" applyFill="1" applyAlignment="1">
      <alignment vertical="center"/>
      <protection/>
    </xf>
    <xf numFmtId="0" fontId="84" fillId="29" borderId="0" xfId="119" applyFont="1" applyFill="1" applyAlignment="1">
      <alignment horizontal="center" vertical="center"/>
      <protection/>
    </xf>
    <xf numFmtId="179" fontId="6" fillId="29" borderId="0" xfId="119" applyNumberFormat="1" applyFont="1" applyFill="1" applyAlignment="1">
      <alignment horizontal="center" vertical="center"/>
      <protection/>
    </xf>
    <xf numFmtId="203" fontId="84" fillId="29" borderId="0" xfId="119" applyNumberFormat="1" applyFont="1" applyFill="1" applyAlignment="1">
      <alignment horizontal="center" vertical="center"/>
      <protection/>
    </xf>
    <xf numFmtId="0" fontId="84" fillId="27" borderId="0" xfId="119" applyFont="1" applyFill="1" applyAlignment="1">
      <alignment horizontal="center" vertical="center"/>
      <protection/>
    </xf>
    <xf numFmtId="0" fontId="85" fillId="27" borderId="0" xfId="119" applyFont="1" applyFill="1" applyAlignment="1">
      <alignment horizontal="center" vertical="center"/>
      <protection/>
    </xf>
    <xf numFmtId="0" fontId="6" fillId="29" borderId="0" xfId="119" applyFont="1" applyFill="1" applyAlignment="1">
      <alignment horizontal="right" vertical="center"/>
      <protection/>
    </xf>
    <xf numFmtId="0" fontId="6" fillId="29" borderId="0" xfId="119" applyFont="1" applyFill="1" applyAlignment="1">
      <alignment horizontal="left" vertical="center"/>
      <protection/>
    </xf>
    <xf numFmtId="0" fontId="6" fillId="29" borderId="0" xfId="109" applyFont="1" applyFill="1">
      <alignment/>
      <protection/>
    </xf>
    <xf numFmtId="0" fontId="0" fillId="29" borderId="0" xfId="119" applyFill="1">
      <alignment/>
      <protection/>
    </xf>
    <xf numFmtId="0" fontId="5" fillId="29" borderId="0" xfId="109" applyFont="1" applyFill="1">
      <alignment/>
      <protection/>
    </xf>
    <xf numFmtId="0" fontId="0" fillId="29" borderId="0" xfId="109" applyFill="1">
      <alignment/>
      <protection/>
    </xf>
    <xf numFmtId="0" fontId="11" fillId="0" borderId="0" xfId="79" applyAlignment="1" applyProtection="1">
      <alignment/>
      <protection/>
    </xf>
    <xf numFmtId="0" fontId="4" fillId="27" borderId="0" xfId="0" applyFont="1" applyFill="1" applyBorder="1" applyAlignment="1" applyProtection="1">
      <alignment vertical="center"/>
      <protection/>
    </xf>
    <xf numFmtId="0" fontId="6" fillId="27" borderId="0" xfId="0" applyFont="1" applyFill="1" applyBorder="1" applyAlignment="1" applyProtection="1">
      <alignment vertical="center"/>
      <protection/>
    </xf>
    <xf numFmtId="0" fontId="38" fillId="29"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37" fontId="6" fillId="4" borderId="19"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fill" vertical="center"/>
      <protection/>
    </xf>
    <xf numFmtId="3" fontId="6" fillId="9" borderId="14" xfId="0" applyNumberFormat="1" applyFont="1" applyFill="1" applyBorder="1" applyAlignment="1" applyProtection="1">
      <alignment horizontal="right" vertical="center"/>
      <protection/>
    </xf>
    <xf numFmtId="3" fontId="6" fillId="27" borderId="13" xfId="0" applyNumberFormat="1" applyFont="1" applyFill="1" applyBorder="1" applyAlignment="1" applyProtection="1">
      <alignment vertical="center"/>
      <protection/>
    </xf>
    <xf numFmtId="0" fontId="39" fillId="29" borderId="13" xfId="0" applyFont="1" applyFill="1" applyBorder="1" applyAlignment="1" applyProtection="1">
      <alignment horizontal="center" vertical="center"/>
      <protection/>
    </xf>
    <xf numFmtId="0" fontId="39" fillId="27" borderId="21" xfId="0" applyFont="1" applyFill="1" applyBorder="1" applyAlignment="1" applyProtection="1">
      <alignment vertical="center"/>
      <protection/>
    </xf>
    <xf numFmtId="197" fontId="39" fillId="27" borderId="13"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horizontal="left" vertical="center"/>
      <protection/>
    </xf>
    <xf numFmtId="0" fontId="44" fillId="29" borderId="17" xfId="0" applyFont="1" applyFill="1" applyBorder="1" applyAlignment="1">
      <alignment horizontal="left" vertical="center"/>
    </xf>
    <xf numFmtId="197" fontId="39" fillId="27" borderId="22" xfId="0" applyNumberFormat="1" applyFont="1" applyFill="1" applyBorder="1" applyAlignment="1" applyProtection="1">
      <alignment horizontal="center" vertical="center"/>
      <protection locked="0"/>
    </xf>
    <xf numFmtId="0" fontId="86" fillId="0" borderId="0" xfId="0" applyFont="1" applyAlignment="1" applyProtection="1">
      <alignment/>
      <protection locked="0"/>
    </xf>
    <xf numFmtId="179" fontId="4" fillId="29" borderId="21" xfId="0" applyNumberFormat="1" applyFont="1" applyFill="1" applyBorder="1" applyAlignment="1" applyProtection="1">
      <alignment horizontal="center" vertical="center"/>
      <protection/>
    </xf>
    <xf numFmtId="0" fontId="0" fillId="29" borderId="19" xfId="0" applyFill="1" applyBorder="1" applyAlignment="1" applyProtection="1">
      <alignment vertical="center"/>
      <protection/>
    </xf>
    <xf numFmtId="179" fontId="4" fillId="27" borderId="25" xfId="0" applyNumberFormat="1" applyFont="1" applyFill="1" applyBorder="1" applyAlignment="1" applyProtection="1">
      <alignment horizontal="center" vertical="center"/>
      <protection/>
    </xf>
    <xf numFmtId="179" fontId="4" fillId="29" borderId="11" xfId="0" applyNumberFormat="1" applyFont="1" applyFill="1" applyBorder="1" applyAlignment="1" applyProtection="1">
      <alignment horizontal="center" vertical="center"/>
      <protection/>
    </xf>
    <xf numFmtId="179" fontId="4" fillId="27" borderId="11" xfId="0" applyNumberFormat="1" applyFont="1" applyFill="1" applyBorder="1" applyAlignment="1" applyProtection="1">
      <alignment horizontal="center" vertical="center"/>
      <protection/>
    </xf>
    <xf numFmtId="0" fontId="4" fillId="29" borderId="17" xfId="0" applyFont="1" applyFill="1" applyBorder="1" applyAlignment="1" applyProtection="1">
      <alignment horizontal="left" vertical="center"/>
      <protection/>
    </xf>
    <xf numFmtId="0" fontId="38" fillId="29" borderId="17" xfId="0" applyFont="1" applyFill="1" applyBorder="1" applyAlignment="1" applyProtection="1">
      <alignment horizontal="center" vertical="center"/>
      <protection/>
    </xf>
    <xf numFmtId="0" fontId="0" fillId="29" borderId="22" xfId="0" applyFill="1" applyBorder="1" applyAlignment="1" applyProtection="1">
      <alignment vertical="center"/>
      <protection/>
    </xf>
    <xf numFmtId="179" fontId="39" fillId="29" borderId="13"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right" vertical="center"/>
      <protection/>
    </xf>
    <xf numFmtId="197" fontId="4" fillId="27" borderId="25" xfId="0" applyNumberFormat="1" applyFont="1" applyFill="1" applyBorder="1" applyAlignment="1" applyProtection="1">
      <alignment horizontal="center" vertical="center"/>
      <protection/>
    </xf>
    <xf numFmtId="37" fontId="6" fillId="27" borderId="22" xfId="0" applyNumberFormat="1" applyFont="1" applyFill="1" applyBorder="1" applyAlignment="1" applyProtection="1">
      <alignment horizontal="right" vertical="center"/>
      <protection/>
    </xf>
    <xf numFmtId="0" fontId="6" fillId="29" borderId="19" xfId="0" applyFont="1" applyFill="1" applyBorder="1" applyAlignment="1" applyProtection="1">
      <alignment/>
      <protection locked="0"/>
    </xf>
    <xf numFmtId="0" fontId="45" fillId="0" borderId="0" xfId="0" applyFont="1" applyAlignment="1" applyProtection="1">
      <alignment horizontal="right" vertical="center"/>
      <protection/>
    </xf>
    <xf numFmtId="0" fontId="6" fillId="27" borderId="22" xfId="0" applyFont="1" applyFill="1" applyBorder="1" applyAlignment="1" applyProtection="1">
      <alignment/>
      <protection locked="0"/>
    </xf>
    <xf numFmtId="0" fontId="86" fillId="0" borderId="0" xfId="0" applyFont="1" applyAlignment="1">
      <alignment/>
    </xf>
    <xf numFmtId="0" fontId="6" fillId="29" borderId="19" xfId="0" applyFont="1" applyFill="1" applyBorder="1" applyAlignment="1" applyProtection="1">
      <alignment vertical="center"/>
      <protection locked="0"/>
    </xf>
    <xf numFmtId="0" fontId="4" fillId="4" borderId="19" xfId="79" applyNumberFormat="1" applyFont="1" applyFill="1" applyBorder="1" applyAlignment="1" applyProtection="1">
      <alignment horizontal="center" vertical="center"/>
      <protection/>
    </xf>
    <xf numFmtId="0" fontId="6" fillId="0" borderId="0" xfId="181" applyFont="1" applyAlignment="1">
      <alignment vertical="center"/>
      <protection/>
    </xf>
    <xf numFmtId="0" fontId="6" fillId="0" borderId="0" xfId="589" applyFont="1" applyAlignment="1">
      <alignment vertical="center" wrapText="1"/>
      <protection/>
    </xf>
    <xf numFmtId="0" fontId="6" fillId="0" borderId="0" xfId="108" applyFont="1" applyAlignment="1">
      <alignment vertical="center" wrapText="1"/>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0" xfId="381" applyFont="1" applyAlignment="1">
      <alignment vertical="center" wrapText="1"/>
      <protection/>
    </xf>
    <xf numFmtId="0" fontId="6" fillId="0" borderId="0" xfId="109" applyFont="1" applyAlignment="1">
      <alignment vertical="center" wrapText="1"/>
      <protection/>
    </xf>
    <xf numFmtId="0" fontId="6" fillId="0" borderId="0" xfId="167" applyFont="1" applyAlignment="1">
      <alignment vertical="center" wrapText="1"/>
      <protection/>
    </xf>
    <xf numFmtId="0" fontId="6" fillId="0" borderId="0" xfId="176" applyFont="1" applyAlignment="1">
      <alignment vertical="center" wrapText="1"/>
      <protection/>
    </xf>
    <xf numFmtId="0" fontId="86" fillId="29" borderId="19" xfId="0" applyFont="1" applyFill="1" applyBorder="1" applyAlignment="1" applyProtection="1">
      <alignment vertical="center"/>
      <protection/>
    </xf>
    <xf numFmtId="38" fontId="84" fillId="0" borderId="0" xfId="0" applyNumberFormat="1" applyFont="1" applyAlignment="1" applyProtection="1">
      <alignment/>
      <protection locked="0"/>
    </xf>
    <xf numFmtId="0" fontId="84" fillId="0" borderId="0" xfId="0" applyFont="1" applyAlignment="1">
      <alignment horizontal="center" vertical="center"/>
    </xf>
    <xf numFmtId="179" fontId="4" fillId="0" borderId="0" xfId="0" applyNumberFormat="1" applyFont="1" applyFill="1" applyBorder="1" applyAlignment="1" applyProtection="1">
      <alignment horizontal="center" vertical="center"/>
      <protection/>
    </xf>
    <xf numFmtId="0" fontId="45" fillId="0" borderId="0" xfId="0" applyFont="1" applyAlignment="1" applyProtection="1">
      <alignment vertical="center"/>
      <protection/>
    </xf>
    <xf numFmtId="0" fontId="11" fillId="21" borderId="0" xfId="79" applyFill="1" applyAlignment="1" applyProtection="1">
      <alignment/>
      <protection/>
    </xf>
    <xf numFmtId="0" fontId="64" fillId="21" borderId="0" xfId="487" applyFill="1">
      <alignment/>
      <protection/>
    </xf>
    <xf numFmtId="0" fontId="6" fillId="0" borderId="0" xfId="212" applyFont="1" applyAlignment="1">
      <alignment vertical="center"/>
      <protection/>
    </xf>
    <xf numFmtId="37" fontId="6" fillId="22" borderId="11" xfId="0" applyNumberFormat="1" applyFont="1" applyFill="1" applyBorder="1" applyAlignment="1" applyProtection="1">
      <alignment horizontal="left"/>
      <protection locked="0"/>
    </xf>
    <xf numFmtId="0" fontId="6" fillId="22" borderId="13" xfId="0" applyFont="1" applyFill="1" applyBorder="1" applyAlignment="1" applyProtection="1">
      <alignment vertical="center"/>
      <protection/>
    </xf>
    <xf numFmtId="3" fontId="6" fillId="4" borderId="0" xfId="0" applyNumberFormat="1" applyFont="1" applyFill="1" applyAlignment="1" applyProtection="1">
      <alignment horizontal="right" vertical="center"/>
      <protection/>
    </xf>
    <xf numFmtId="3" fontId="6" fillId="4" borderId="14" xfId="0" applyNumberFormat="1" applyFont="1" applyFill="1" applyBorder="1" applyAlignment="1" applyProtection="1">
      <alignment vertical="center"/>
      <protection/>
    </xf>
    <xf numFmtId="3" fontId="14" fillId="4" borderId="23" xfId="0" applyNumberFormat="1" applyFont="1" applyFill="1" applyBorder="1" applyAlignment="1" applyProtection="1">
      <alignment horizontal="center" vertical="center"/>
      <protection/>
    </xf>
    <xf numFmtId="0" fontId="6" fillId="0" borderId="0" xfId="109" applyFont="1" applyAlignment="1">
      <alignment horizontal="left" vertical="center"/>
      <protection/>
    </xf>
    <xf numFmtId="49" fontId="6" fillId="22" borderId="11" xfId="565" applyNumberFormat="1" applyFont="1" applyFill="1" applyBorder="1" applyAlignment="1" applyProtection="1">
      <alignment horizontal="left" vertical="center"/>
      <protection locked="0"/>
    </xf>
    <xf numFmtId="49" fontId="6" fillId="22" borderId="13" xfId="565" applyNumberFormat="1" applyFont="1" applyFill="1" applyBorder="1" applyAlignment="1" applyProtection="1">
      <alignment horizontal="left" vertical="center"/>
      <protection locked="0"/>
    </xf>
    <xf numFmtId="49" fontId="6" fillId="22" borderId="10" xfId="565" applyNumberFormat="1" applyFont="1" applyFill="1" applyBorder="1" applyAlignment="1" applyProtection="1">
      <alignment horizontal="left" vertical="center"/>
      <protection locked="0"/>
    </xf>
    <xf numFmtId="0" fontId="6" fillId="22" borderId="11" xfId="565" applyFont="1" applyFill="1" applyBorder="1" applyAlignment="1" applyProtection="1">
      <alignment horizontal="left" vertical="center"/>
      <protection locked="0"/>
    </xf>
    <xf numFmtId="0" fontId="6" fillId="22" borderId="12" xfId="565" applyFont="1" applyFill="1" applyBorder="1" applyAlignment="1" applyProtection="1">
      <alignment horizontal="left" vertical="center"/>
      <protection locked="0"/>
    </xf>
    <xf numFmtId="0" fontId="25" fillId="22" borderId="13" xfId="565" applyFill="1" applyBorder="1" applyAlignment="1" applyProtection="1">
      <alignment horizontal="left" vertical="center"/>
      <protection locked="0"/>
    </xf>
    <xf numFmtId="0" fontId="8" fillId="4" borderId="0" xfId="109" applyFont="1" applyFill="1" applyAlignment="1" applyProtection="1">
      <alignment horizontal="center" vertical="center"/>
      <protection/>
    </xf>
    <xf numFmtId="3" fontId="6" fillId="4" borderId="0" xfId="109" applyNumberFormat="1" applyFont="1" applyFill="1" applyAlignment="1" applyProtection="1">
      <alignment vertical="center"/>
      <protection/>
    </xf>
    <xf numFmtId="3" fontId="6" fillId="4" borderId="17" xfId="109" applyNumberFormat="1" applyFont="1" applyFill="1" applyBorder="1" applyAlignment="1" applyProtection="1">
      <alignment vertical="center"/>
      <protection/>
    </xf>
    <xf numFmtId="3" fontId="6" fillId="4" borderId="0" xfId="109" applyNumberFormat="1" applyFont="1" applyFill="1" applyBorder="1" applyAlignment="1" applyProtection="1">
      <alignment vertical="center"/>
      <protection/>
    </xf>
    <xf numFmtId="0" fontId="6" fillId="4" borderId="0" xfId="109" applyFont="1" applyFill="1" applyAlignment="1" applyProtection="1">
      <alignment horizontal="left" vertical="center"/>
      <protection/>
    </xf>
    <xf numFmtId="0" fontId="6" fillId="4" borderId="0" xfId="109" applyFont="1" applyFill="1" applyAlignment="1" applyProtection="1" quotePrefix="1">
      <alignment vertical="center"/>
      <protection/>
    </xf>
    <xf numFmtId="10" fontId="6" fillId="4" borderId="0" xfId="109" applyNumberFormat="1" applyFont="1" applyFill="1" applyBorder="1" applyAlignment="1" applyProtection="1">
      <alignment vertical="center"/>
      <protection/>
    </xf>
    <xf numFmtId="0" fontId="8" fillId="4" borderId="0" xfId="109" applyFont="1" applyFill="1" applyAlignment="1" applyProtection="1">
      <alignment horizontal="left" vertical="center"/>
      <protection/>
    </xf>
    <xf numFmtId="0" fontId="6" fillId="0" borderId="0" xfId="0" applyFont="1" applyAlignment="1">
      <alignment vertical="top" wrapText="1"/>
    </xf>
    <xf numFmtId="37" fontId="6" fillId="27" borderId="10" xfId="109" applyNumberFormat="1" applyFont="1" applyFill="1" applyBorder="1" applyAlignment="1" applyProtection="1">
      <alignment horizontal="left" vertical="center"/>
      <protection/>
    </xf>
    <xf numFmtId="0" fontId="6" fillId="0" borderId="0" xfId="109" applyFont="1" applyAlignment="1">
      <alignment vertical="center"/>
      <protection/>
    </xf>
    <xf numFmtId="200" fontId="41" fillId="29" borderId="0" xfId="0" applyNumberFormat="1" applyFont="1" applyFill="1" applyBorder="1" applyAlignment="1">
      <alignment horizontal="center"/>
    </xf>
    <xf numFmtId="169" fontId="6" fillId="22" borderId="10" xfId="0" applyNumberFormat="1" applyFont="1" applyFill="1" applyBorder="1" applyAlignment="1" applyProtection="1">
      <alignment vertical="center"/>
      <protection locked="0"/>
    </xf>
    <xf numFmtId="169" fontId="6" fillId="22" borderId="14" xfId="0" applyNumberFormat="1" applyFont="1" applyFill="1" applyBorder="1" applyAlignment="1" applyProtection="1">
      <alignment vertical="center"/>
      <protection locked="0"/>
    </xf>
    <xf numFmtId="0" fontId="6" fillId="22" borderId="0" xfId="0" applyFont="1" applyFill="1" applyAlignment="1" applyProtection="1">
      <alignment horizontal="center" vertical="center"/>
      <protection locked="0"/>
    </xf>
    <xf numFmtId="37"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protection locked="0"/>
    </xf>
    <xf numFmtId="200" fontId="41" fillId="29" borderId="0" xfId="0" applyNumberFormat="1" applyFont="1" applyFill="1" applyAlignment="1">
      <alignment horizontal="center"/>
    </xf>
    <xf numFmtId="200" fontId="41" fillId="29" borderId="17" xfId="0" applyNumberFormat="1" applyFont="1" applyFill="1" applyBorder="1" applyAlignment="1">
      <alignment horizontal="center"/>
    </xf>
    <xf numFmtId="200" fontId="41" fillId="29" borderId="0" xfId="0" applyNumberFormat="1" applyFont="1" applyFill="1" applyAlignment="1">
      <alignment/>
    </xf>
    <xf numFmtId="0" fontId="5" fillId="24" borderId="26" xfId="0" applyFont="1" applyFill="1" applyBorder="1" applyAlignment="1" applyProtection="1">
      <alignment vertical="center"/>
      <protection/>
    </xf>
    <xf numFmtId="0" fontId="6" fillId="24" borderId="24" xfId="0" applyFont="1" applyFill="1" applyBorder="1" applyAlignment="1" applyProtection="1">
      <alignment vertical="center"/>
      <protection/>
    </xf>
    <xf numFmtId="37" fontId="5" fillId="33" borderId="21" xfId="0" applyNumberFormat="1" applyFont="1" applyFill="1" applyBorder="1" applyAlignment="1" applyProtection="1">
      <alignment horizontal="left" vertical="center"/>
      <protection/>
    </xf>
    <xf numFmtId="0" fontId="6" fillId="33" borderId="19" xfId="0" applyFont="1" applyFill="1" applyBorder="1" applyAlignment="1" applyProtection="1">
      <alignment vertical="center"/>
      <protection/>
    </xf>
    <xf numFmtId="37" fontId="5" fillId="33" borderId="25" xfId="0" applyNumberFormat="1" applyFont="1" applyFill="1" applyBorder="1" applyAlignment="1" applyProtection="1">
      <alignment horizontal="left" vertical="center"/>
      <protection/>
    </xf>
    <xf numFmtId="0" fontId="6" fillId="33" borderId="22" xfId="0"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37" fontId="6" fillId="24" borderId="14" xfId="0" applyNumberFormat="1" applyFont="1" applyFill="1" applyBorder="1" applyAlignment="1" applyProtection="1">
      <alignment horizontal="center" vertical="center"/>
      <protection/>
    </xf>
    <xf numFmtId="0" fontId="6" fillId="24" borderId="15" xfId="0" applyFont="1" applyFill="1" applyBorder="1" applyAlignment="1">
      <alignment horizontal="center" vertical="center"/>
    </xf>
    <xf numFmtId="37" fontId="6" fillId="24" borderId="11"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37" fontId="6" fillId="24" borderId="25" xfId="0" applyNumberFormat="1" applyFont="1" applyFill="1" applyBorder="1" applyAlignment="1" applyProtection="1">
      <alignment horizontal="left" vertical="center"/>
      <protection/>
    </xf>
    <xf numFmtId="0" fontId="6" fillId="24" borderId="26" xfId="0" applyFont="1" applyFill="1" applyBorder="1" applyAlignment="1" applyProtection="1">
      <alignment vertical="center"/>
      <protection locked="0"/>
    </xf>
    <xf numFmtId="0" fontId="6" fillId="24" borderId="24" xfId="0" applyFont="1" applyFill="1" applyBorder="1" applyAlignment="1" applyProtection="1">
      <alignment vertical="center"/>
      <protection locked="0"/>
    </xf>
    <xf numFmtId="0" fontId="6" fillId="24" borderId="25" xfId="0" applyFont="1" applyFill="1" applyBorder="1" applyAlignment="1" applyProtection="1">
      <alignment vertical="center"/>
      <protection locked="0"/>
    </xf>
    <xf numFmtId="0" fontId="6" fillId="24" borderId="22" xfId="0" applyFont="1" applyFill="1" applyBorder="1" applyAlignment="1" applyProtection="1">
      <alignment vertical="center"/>
      <protection locked="0"/>
    </xf>
    <xf numFmtId="0" fontId="6" fillId="24" borderId="11" xfId="0" applyFont="1" applyFill="1" applyBorder="1" applyAlignment="1" applyProtection="1">
      <alignment vertical="center"/>
      <protection locked="0"/>
    </xf>
    <xf numFmtId="0" fontId="6" fillId="24" borderId="13" xfId="0" applyFont="1" applyFill="1" applyBorder="1" applyAlignment="1" applyProtection="1">
      <alignment vertical="center"/>
      <protection locked="0"/>
    </xf>
    <xf numFmtId="37" fontId="14" fillId="30" borderId="15" xfId="0" applyNumberFormat="1" applyFont="1" applyFill="1" applyBorder="1" applyAlignment="1" applyProtection="1">
      <alignment horizontal="center" vertical="center"/>
      <protection locked="0"/>
    </xf>
    <xf numFmtId="37" fontId="5" fillId="33" borderId="11" xfId="0" applyNumberFormat="1" applyFont="1" applyFill="1" applyBorder="1" applyAlignment="1" applyProtection="1">
      <alignment horizontal="left" vertical="center"/>
      <protection/>
    </xf>
    <xf numFmtId="0" fontId="6" fillId="33" borderId="13" xfId="0" applyFont="1" applyFill="1" applyBorder="1" applyAlignment="1" applyProtection="1">
      <alignment vertical="center"/>
      <protection/>
    </xf>
    <xf numFmtId="37" fontId="5" fillId="24" borderId="11" xfId="0" applyNumberFormat="1" applyFont="1" applyFill="1" applyBorder="1" applyAlignment="1" applyProtection="1">
      <alignment horizontal="left" vertical="center"/>
      <protection/>
    </xf>
    <xf numFmtId="3" fontId="6" fillId="24" borderId="13" xfId="0" applyNumberFormat="1" applyFont="1" applyFill="1" applyBorder="1" applyAlignment="1" applyProtection="1">
      <alignment vertical="center"/>
      <protection/>
    </xf>
    <xf numFmtId="3" fontId="6" fillId="22" borderId="15" xfId="0" applyNumberFormat="1" applyFont="1" applyFill="1" applyBorder="1" applyAlignment="1" applyProtection="1">
      <alignment vertical="center"/>
      <protection locked="0"/>
    </xf>
    <xf numFmtId="0" fontId="5" fillId="24" borderId="11" xfId="0" applyFont="1" applyFill="1" applyBorder="1" applyAlignment="1">
      <alignment vertical="center"/>
    </xf>
    <xf numFmtId="0" fontId="1" fillId="24" borderId="12" xfId="0" applyFont="1" applyFill="1" applyBorder="1" applyAlignment="1">
      <alignment vertical="center"/>
    </xf>
    <xf numFmtId="0" fontId="0" fillId="24" borderId="12" xfId="0" applyFill="1" applyBorder="1" applyAlignment="1" applyProtection="1">
      <alignment vertical="center"/>
      <protection locked="0"/>
    </xf>
    <xf numFmtId="0" fontId="0" fillId="24" borderId="13" xfId="0" applyFill="1" applyBorder="1" applyAlignment="1" applyProtection="1">
      <alignment vertical="center"/>
      <protection locked="0"/>
    </xf>
    <xf numFmtId="200" fontId="6" fillId="27" borderId="22" xfId="0" applyNumberFormat="1" applyFont="1" applyFill="1" applyBorder="1" applyAlignment="1" applyProtection="1">
      <alignment horizontal="center"/>
      <protection/>
    </xf>
    <xf numFmtId="37" fontId="5" fillId="4" borderId="0" xfId="109" applyNumberFormat="1" applyFont="1" applyFill="1" applyAlignment="1" applyProtection="1">
      <alignment horizontal="left" vertical="center"/>
      <protection/>
    </xf>
    <xf numFmtId="37" fontId="6" fillId="4" borderId="0" xfId="109" applyNumberFormat="1" applyFont="1" applyFill="1" applyAlignment="1" applyProtection="1">
      <alignment horizontal="left" vertical="center"/>
      <protection/>
    </xf>
    <xf numFmtId="0" fontId="6" fillId="29" borderId="0" xfId="109" applyFont="1" applyFill="1" applyAlignment="1" applyProtection="1">
      <alignment vertical="center"/>
      <protection/>
    </xf>
    <xf numFmtId="171" fontId="6" fillId="4" borderId="0" xfId="0" applyNumberFormat="1" applyFont="1" applyFill="1" applyBorder="1" applyAlignment="1" applyProtection="1">
      <alignment vertical="center"/>
      <protection/>
    </xf>
    <xf numFmtId="169" fontId="6" fillId="4" borderId="0" xfId="0" applyNumberFormat="1" applyFont="1" applyFill="1" applyBorder="1" applyAlignment="1" applyProtection="1">
      <alignment vertical="center"/>
      <protection/>
    </xf>
    <xf numFmtId="37" fontId="6" fillId="4" borderId="15" xfId="109" applyNumberFormat="1" applyFont="1" applyFill="1" applyBorder="1" applyAlignment="1" applyProtection="1">
      <alignment horizontal="center" vertical="center"/>
      <protection/>
    </xf>
    <xf numFmtId="37" fontId="6" fillId="4" borderId="23" xfId="109" applyNumberFormat="1" applyFont="1" applyFill="1" applyBorder="1" applyAlignment="1" applyProtection="1">
      <alignment horizontal="center" vertical="center"/>
      <protection/>
    </xf>
    <xf numFmtId="0" fontId="6" fillId="29" borderId="0" xfId="109" applyFont="1" applyFill="1" applyAlignment="1" applyProtection="1">
      <alignment vertical="center"/>
      <protection/>
    </xf>
    <xf numFmtId="0" fontId="6" fillId="29" borderId="0" xfId="109" applyFont="1" applyFill="1" applyAlignment="1" applyProtection="1">
      <alignment vertical="center"/>
      <protection/>
    </xf>
    <xf numFmtId="0" fontId="6" fillId="29" borderId="0" xfId="109" applyFont="1" applyFill="1" applyAlignment="1" applyProtection="1">
      <alignment vertical="center"/>
      <protection locked="0"/>
    </xf>
    <xf numFmtId="0" fontId="6" fillId="29" borderId="0" xfId="109" applyFont="1" applyFill="1" applyAlignment="1" applyProtection="1">
      <alignment vertical="center"/>
      <protection locked="0"/>
    </xf>
    <xf numFmtId="0" fontId="6" fillId="4" borderId="11" xfId="109" applyNumberFormat="1" applyFont="1" applyFill="1" applyBorder="1" applyAlignment="1" applyProtection="1">
      <alignment horizontal="left" vertical="center"/>
      <protection/>
    </xf>
    <xf numFmtId="0" fontId="6" fillId="29" borderId="23" xfId="0" applyFont="1" applyFill="1" applyBorder="1" applyAlignment="1" applyProtection="1">
      <alignment/>
      <protection locked="0"/>
    </xf>
    <xf numFmtId="3" fontId="4" fillId="29" borderId="19" xfId="0" applyNumberFormat="1" applyFont="1" applyFill="1" applyBorder="1" applyAlignment="1" applyProtection="1">
      <alignment horizontal="right" vertical="center"/>
      <protection locked="0"/>
    </xf>
    <xf numFmtId="3" fontId="4" fillId="29" borderId="22" xfId="0" applyNumberFormat="1" applyFont="1" applyFill="1" applyBorder="1" applyAlignment="1" applyProtection="1">
      <alignment horizontal="right" vertical="center"/>
      <protection locked="0"/>
    </xf>
    <xf numFmtId="3" fontId="4" fillId="29" borderId="22" xfId="0" applyNumberFormat="1" applyFont="1" applyFill="1" applyBorder="1" applyAlignment="1" applyProtection="1">
      <alignment vertical="center"/>
      <protection locked="0"/>
    </xf>
    <xf numFmtId="0" fontId="4" fillId="29" borderId="17" xfId="0" applyFont="1" applyFill="1" applyBorder="1" applyAlignment="1" applyProtection="1">
      <alignment vertical="center"/>
      <protection locked="0"/>
    </xf>
    <xf numFmtId="0" fontId="4" fillId="29" borderId="25" xfId="0" applyFont="1" applyFill="1" applyBorder="1" applyAlignment="1" applyProtection="1">
      <alignment horizontal="left" vertical="center"/>
      <protection locked="0"/>
    </xf>
    <xf numFmtId="3" fontId="4" fillId="29" borderId="19" xfId="0" applyNumberFormat="1" applyFont="1" applyFill="1" applyBorder="1" applyAlignment="1" applyProtection="1">
      <alignment vertical="center"/>
      <protection locked="0"/>
    </xf>
    <xf numFmtId="0" fontId="4" fillId="29" borderId="21" xfId="0" applyFont="1" applyFill="1" applyBorder="1" applyAlignment="1" applyProtection="1">
      <alignment horizontal="left" vertical="center"/>
      <protection locked="0"/>
    </xf>
    <xf numFmtId="0" fontId="6" fillId="29" borderId="23" xfId="0" applyFont="1" applyFill="1" applyBorder="1" applyAlignment="1" applyProtection="1">
      <alignment vertical="center"/>
      <protection locked="0"/>
    </xf>
    <xf numFmtId="0" fontId="39" fillId="29" borderId="26" xfId="261" applyFont="1" applyFill="1" applyBorder="1" applyAlignment="1">
      <alignment horizontal="left" vertical="center"/>
      <protection/>
    </xf>
    <xf numFmtId="0" fontId="4" fillId="29" borderId="0" xfId="0" applyFont="1" applyFill="1" applyBorder="1" applyAlignment="1" applyProtection="1">
      <alignment vertical="center"/>
      <protection locked="0"/>
    </xf>
    <xf numFmtId="0" fontId="7" fillId="0" borderId="0" xfId="0" applyFont="1" applyAlignment="1">
      <alignment/>
    </xf>
    <xf numFmtId="0" fontId="76" fillId="29" borderId="13" xfId="0" applyFont="1" applyFill="1" applyBorder="1" applyAlignment="1">
      <alignment horizontal="center" vertical="center"/>
    </xf>
    <xf numFmtId="0" fontId="5" fillId="29" borderId="12" xfId="0" applyFont="1" applyFill="1" applyBorder="1" applyAlignment="1">
      <alignment horizontal="centerContinuous" vertical="center"/>
    </xf>
    <xf numFmtId="0" fontId="76" fillId="29" borderId="24" xfId="0" applyFont="1" applyFill="1" applyBorder="1" applyAlignment="1">
      <alignment horizontal="center" vertical="center"/>
    </xf>
    <xf numFmtId="0" fontId="5" fillId="29" borderId="23" xfId="0" applyFont="1" applyFill="1" applyBorder="1" applyAlignment="1">
      <alignment horizontal="centerContinuous" vertical="center"/>
    </xf>
    <xf numFmtId="0" fontId="6" fillId="29" borderId="12" xfId="0" applyFont="1" applyFill="1" applyBorder="1" applyAlignment="1" applyProtection="1">
      <alignment/>
      <protection locked="0"/>
    </xf>
    <xf numFmtId="0" fontId="39" fillId="29" borderId="11" xfId="261" applyFont="1" applyFill="1" applyBorder="1" applyAlignment="1">
      <alignment horizontal="left" vertical="center"/>
      <protection/>
    </xf>
    <xf numFmtId="0" fontId="6" fillId="0" borderId="0" xfId="109" applyFont="1">
      <alignment/>
      <protection/>
    </xf>
    <xf numFmtId="0" fontId="6" fillId="4" borderId="26" xfId="0" applyFont="1" applyFill="1" applyBorder="1" applyAlignment="1" applyProtection="1">
      <alignment vertical="center"/>
      <protection locked="0"/>
    </xf>
    <xf numFmtId="0" fontId="6" fillId="4" borderId="24"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6" fillId="4" borderId="25" xfId="0" applyFont="1" applyFill="1" applyBorder="1" applyAlignment="1" applyProtection="1">
      <alignment vertical="center"/>
      <protection locked="0"/>
    </xf>
    <xf numFmtId="0" fontId="6" fillId="4" borderId="26" xfId="0" applyFont="1" applyFill="1" applyBorder="1" applyAlignment="1" applyProtection="1">
      <alignment vertical="center"/>
      <protection/>
    </xf>
    <xf numFmtId="0" fontId="6" fillId="4" borderId="23" xfId="79" applyNumberFormat="1" applyFont="1" applyFill="1" applyBorder="1" applyAlignment="1" applyProtection="1">
      <alignment horizontal="right" vertical="center"/>
      <protection/>
    </xf>
    <xf numFmtId="0" fontId="6" fillId="4" borderId="24" xfId="79" applyNumberFormat="1" applyFont="1" applyFill="1" applyBorder="1" applyAlignment="1" applyProtection="1">
      <alignment horizontal="right" vertical="center"/>
      <protection/>
    </xf>
    <xf numFmtId="0" fontId="6" fillId="4" borderId="19" xfId="79" applyNumberFormat="1" applyFont="1" applyFill="1" applyBorder="1" applyAlignment="1" applyProtection="1">
      <alignment horizontal="right" vertical="center"/>
      <protection/>
    </xf>
    <xf numFmtId="0" fontId="6" fillId="4" borderId="17" xfId="79" applyNumberFormat="1" applyFont="1" applyFill="1" applyBorder="1" applyAlignment="1" applyProtection="1">
      <alignment horizontal="right" vertical="center"/>
      <protection/>
    </xf>
    <xf numFmtId="0" fontId="6" fillId="4" borderId="22" xfId="79" applyNumberFormat="1" applyFont="1" applyFill="1" applyBorder="1" applyAlignment="1" applyProtection="1">
      <alignment horizontal="right" vertical="center"/>
      <protection/>
    </xf>
    <xf numFmtId="0" fontId="39" fillId="29" borderId="21" xfId="261" applyFont="1" applyFill="1" applyBorder="1" applyAlignment="1">
      <alignment horizontal="left" vertical="center"/>
      <protection/>
    </xf>
    <xf numFmtId="0" fontId="5" fillId="29" borderId="0" xfId="0" applyFont="1" applyFill="1" applyBorder="1" applyAlignment="1">
      <alignment horizontal="centerContinuous" vertical="center"/>
    </xf>
    <xf numFmtId="0" fontId="6" fillId="29" borderId="0" xfId="0" applyFont="1" applyFill="1" applyBorder="1" applyAlignment="1" applyProtection="1">
      <alignment vertical="center"/>
      <protection locked="0"/>
    </xf>
    <xf numFmtId="0" fontId="76" fillId="29" borderId="19" xfId="0" applyFont="1" applyFill="1" applyBorder="1" applyAlignment="1">
      <alignment horizontal="center" vertical="center"/>
    </xf>
    <xf numFmtId="3" fontId="6" fillId="26"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right" vertical="center"/>
      <protection/>
    </xf>
    <xf numFmtId="37" fontId="6" fillId="4" borderId="22" xfId="0" applyNumberFormat="1" applyFont="1" applyFill="1" applyBorder="1" applyAlignment="1" applyProtection="1">
      <alignment horizontal="right" vertical="center"/>
      <protection/>
    </xf>
    <xf numFmtId="0" fontId="14" fillId="4" borderId="23" xfId="0" applyFont="1" applyFill="1" applyBorder="1" applyAlignment="1" applyProtection="1">
      <alignment horizontal="center" vertical="center"/>
      <protection/>
    </xf>
    <xf numFmtId="0" fontId="6" fillId="4" borderId="21" xfId="0" applyFont="1" applyFill="1" applyBorder="1" applyAlignment="1" applyProtection="1">
      <alignment horizontal="right" vertical="center"/>
      <protection/>
    </xf>
    <xf numFmtId="0" fontId="14" fillId="4" borderId="0" xfId="0" applyFont="1" applyFill="1" applyBorder="1" applyAlignment="1" applyProtection="1">
      <alignment horizontal="center" vertical="center"/>
      <protection/>
    </xf>
    <xf numFmtId="0" fontId="6" fillId="4" borderId="26" xfId="0" applyFont="1" applyFill="1" applyBorder="1" applyAlignment="1" applyProtection="1">
      <alignment horizontal="left" vertical="center"/>
      <protection/>
    </xf>
    <xf numFmtId="0" fontId="6" fillId="4" borderId="25" xfId="0" applyFont="1" applyFill="1" applyBorder="1" applyAlignment="1" applyProtection="1">
      <alignment horizontal="right" vertical="center"/>
      <protection/>
    </xf>
    <xf numFmtId="0" fontId="14" fillId="4" borderId="17" xfId="0" applyFont="1" applyFill="1" applyBorder="1" applyAlignment="1" applyProtection="1">
      <alignment horizontal="center" vertical="center"/>
      <protection/>
    </xf>
    <xf numFmtId="0" fontId="0" fillId="4" borderId="24" xfId="0" applyFill="1" applyBorder="1" applyAlignment="1">
      <alignment vertical="center"/>
    </xf>
    <xf numFmtId="0" fontId="0" fillId="4" borderId="19" xfId="0" applyFill="1" applyBorder="1" applyAlignment="1">
      <alignment vertical="center"/>
    </xf>
    <xf numFmtId="0" fontId="6" fillId="4" borderId="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4" borderId="0" xfId="0" applyFont="1" applyFill="1" applyAlignment="1" applyProtection="1" quotePrefix="1">
      <alignment horizontal="left" vertical="center"/>
      <protection/>
    </xf>
    <xf numFmtId="3" fontId="6" fillId="34" borderId="12" xfId="0" applyNumberFormat="1" applyFont="1" applyFill="1" applyBorder="1" applyAlignment="1" applyProtection="1">
      <alignment vertical="center"/>
      <protection locked="0"/>
    </xf>
    <xf numFmtId="0" fontId="6" fillId="4" borderId="0" xfId="0" applyFont="1" applyFill="1" applyAlignment="1" applyProtection="1" quotePrefix="1">
      <alignment horizontal="left" vertical="top"/>
      <protection/>
    </xf>
    <xf numFmtId="3" fontId="6" fillId="34" borderId="17" xfId="0" applyNumberFormat="1" applyFont="1" applyFill="1" applyBorder="1" applyAlignment="1" applyProtection="1">
      <alignment vertical="center"/>
      <protection/>
    </xf>
    <xf numFmtId="0" fontId="6" fillId="4" borderId="0" xfId="0" applyFont="1" applyFill="1" applyAlignment="1" applyProtection="1" quotePrefix="1">
      <alignment horizontal="left"/>
      <protection/>
    </xf>
    <xf numFmtId="170" fontId="6" fillId="4" borderId="17" xfId="0" applyNumberFormat="1" applyFont="1" applyFill="1" applyBorder="1" applyAlignment="1" applyProtection="1">
      <alignment vertical="center"/>
      <protection/>
    </xf>
    <xf numFmtId="0" fontId="6" fillId="4" borderId="0" xfId="109" applyFont="1" applyFill="1" applyAlignment="1" applyProtection="1" quotePrefix="1">
      <alignment horizontal="left"/>
      <protection/>
    </xf>
    <xf numFmtId="10" fontId="6" fillId="4" borderId="17" xfId="109" applyNumberFormat="1" applyFont="1" applyFill="1" applyBorder="1" applyAlignment="1" applyProtection="1">
      <alignment vertical="center"/>
      <protection/>
    </xf>
    <xf numFmtId="0" fontId="5" fillId="4" borderId="0" xfId="109" applyFont="1" applyFill="1" applyAlignment="1" applyProtection="1" quotePrefix="1">
      <alignment vertical="center"/>
      <protection/>
    </xf>
    <xf numFmtId="0" fontId="5" fillId="29" borderId="0" xfId="109" applyFont="1" applyFill="1" applyAlignment="1" applyProtection="1">
      <alignment vertical="center"/>
      <protection/>
    </xf>
    <xf numFmtId="3" fontId="5" fillId="29" borderId="12" xfId="109" applyNumberFormat="1" applyFont="1" applyFill="1" applyBorder="1" applyAlignment="1" applyProtection="1">
      <alignment vertical="center"/>
      <protection/>
    </xf>
    <xf numFmtId="0" fontId="6" fillId="4" borderId="0" xfId="109" applyFont="1" applyFill="1" applyAlignment="1" applyProtection="1">
      <alignment horizontal="centerContinuous" vertical="center" wrapText="1"/>
      <protection/>
    </xf>
    <xf numFmtId="0" fontId="6" fillId="0" borderId="0" xfId="0" applyFont="1" applyAlignment="1">
      <alignment horizontal="right" vertical="center"/>
    </xf>
    <xf numFmtId="0" fontId="6"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7" fontId="6" fillId="21" borderId="0" xfId="0" applyNumberFormat="1" applyFont="1" applyFill="1" applyAlignment="1" applyProtection="1">
      <alignment vertical="center"/>
      <protection/>
    </xf>
    <xf numFmtId="1" fontId="6" fillId="21" borderId="0" xfId="0" applyNumberFormat="1" applyFont="1" applyFill="1" applyBorder="1" applyAlignment="1" applyProtection="1">
      <alignment horizontal="left" vertical="center"/>
      <protection/>
    </xf>
    <xf numFmtId="3" fontId="6" fillId="21" borderId="0" xfId="0" applyNumberFormat="1" applyFont="1" applyFill="1" applyAlignment="1" applyProtection="1">
      <alignment vertical="center"/>
      <protection/>
    </xf>
    <xf numFmtId="0" fontId="6" fillId="21" borderId="0" xfId="0" applyFont="1" applyFill="1" applyAlignment="1" applyProtection="1" quotePrefix="1">
      <alignment horizontal="left" vertical="center"/>
      <protection/>
    </xf>
    <xf numFmtId="3" fontId="6" fillId="21" borderId="0" xfId="0" applyNumberFormat="1" applyFont="1" applyFill="1" applyAlignment="1" applyProtection="1" quotePrefix="1">
      <alignment vertical="center"/>
      <protection/>
    </xf>
    <xf numFmtId="3" fontId="6" fillId="21" borderId="0" xfId="0" applyNumberFormat="1" applyFont="1" applyFill="1" applyBorder="1" applyAlignment="1" applyProtection="1">
      <alignment vertical="center"/>
      <protection/>
    </xf>
    <xf numFmtId="3" fontId="6" fillId="21" borderId="17" xfId="0" applyNumberFormat="1" applyFont="1" applyFill="1" applyBorder="1" applyAlignment="1" applyProtection="1">
      <alignment vertical="center"/>
      <protection/>
    </xf>
    <xf numFmtId="3" fontId="6" fillId="21" borderId="12" xfId="0" applyNumberFormat="1" applyFont="1" applyFill="1" applyBorder="1" applyAlignment="1" applyProtection="1">
      <alignment vertical="center"/>
      <protection/>
    </xf>
    <xf numFmtId="0" fontId="6" fillId="21" borderId="0" xfId="0" applyFont="1" applyFill="1" applyAlignment="1" applyProtection="1" quotePrefix="1">
      <alignment vertical="center"/>
      <protection/>
    </xf>
    <xf numFmtId="3" fontId="6" fillId="21" borderId="0" xfId="0" applyNumberFormat="1" applyFont="1" applyFill="1" applyBorder="1" applyAlignment="1" applyProtection="1" quotePrefix="1">
      <alignment vertical="center"/>
      <protection/>
    </xf>
    <xf numFmtId="0" fontId="6" fillId="21" borderId="0" xfId="0" applyFont="1" applyFill="1" applyBorder="1" applyAlignment="1" applyProtection="1" quotePrefix="1">
      <alignment horizontal="left" vertical="center"/>
      <protection/>
    </xf>
    <xf numFmtId="0" fontId="6" fillId="21" borderId="0" xfId="0" applyFont="1" applyFill="1" applyBorder="1" applyAlignment="1" applyProtection="1">
      <alignment vertical="center"/>
      <protection/>
    </xf>
    <xf numFmtId="0" fontId="6" fillId="21" borderId="0" xfId="0" applyFont="1" applyFill="1" applyBorder="1" applyAlignment="1" applyProtection="1" quotePrefix="1">
      <alignment vertical="center"/>
      <protection/>
    </xf>
    <xf numFmtId="3" fontId="6" fillId="21" borderId="0" xfId="0" applyNumberFormat="1" applyFont="1" applyFill="1" applyBorder="1" applyAlignment="1" applyProtection="1">
      <alignment horizontal="center" vertical="center"/>
      <protection/>
    </xf>
    <xf numFmtId="3" fontId="6" fillId="21" borderId="0" xfId="0" applyNumberFormat="1" applyFont="1" applyFill="1" applyBorder="1" applyAlignment="1" applyProtection="1">
      <alignment horizontal="center"/>
      <protection/>
    </xf>
    <xf numFmtId="3" fontId="6" fillId="34" borderId="12" xfId="0" applyNumberFormat="1" applyFont="1" applyFill="1" applyBorder="1" applyAlignment="1" applyProtection="1">
      <alignment vertical="center"/>
      <protection/>
    </xf>
    <xf numFmtId="10" fontId="6" fillId="21" borderId="0" xfId="0" applyNumberFormat="1" applyFont="1" applyFill="1" applyBorder="1" applyAlignment="1" applyProtection="1">
      <alignment vertical="center"/>
      <protection/>
    </xf>
    <xf numFmtId="171" fontId="6" fillId="21" borderId="0" xfId="0" applyNumberFormat="1" applyFont="1" applyFill="1" applyBorder="1" applyAlignment="1" applyProtection="1">
      <alignment vertical="center"/>
      <protection/>
    </xf>
    <xf numFmtId="0" fontId="6" fillId="21" borderId="0" xfId="0" applyFont="1" applyFill="1" applyBorder="1" applyAlignment="1" applyProtection="1">
      <alignment horizontal="left" vertical="center"/>
      <protection/>
    </xf>
    <xf numFmtId="3" fontId="6" fillId="21" borderId="0" xfId="0" applyNumberFormat="1" applyFont="1" applyFill="1" applyBorder="1" applyAlignment="1" applyProtection="1">
      <alignment vertical="center"/>
      <protection locked="0"/>
    </xf>
    <xf numFmtId="0" fontId="6" fillId="21" borderId="0" xfId="109" applyFont="1" applyFill="1" applyBorder="1" applyAlignment="1" applyProtection="1" quotePrefix="1">
      <alignment horizontal="left" vertical="center"/>
      <protection/>
    </xf>
    <xf numFmtId="0" fontId="6" fillId="21" borderId="0" xfId="109" applyFont="1" applyFill="1" applyBorder="1" applyAlignment="1" applyProtection="1">
      <alignment vertical="center"/>
      <protection/>
    </xf>
    <xf numFmtId="10" fontId="6" fillId="21" borderId="0" xfId="109" applyNumberFormat="1" applyFont="1" applyFill="1" applyBorder="1" applyAlignment="1" applyProtection="1">
      <alignment vertical="center"/>
      <protection/>
    </xf>
    <xf numFmtId="0" fontId="6" fillId="21" borderId="0" xfId="109" applyFont="1" applyFill="1" applyBorder="1" applyAlignment="1" applyProtection="1">
      <alignment horizontal="left" vertical="center"/>
      <protection/>
    </xf>
    <xf numFmtId="3" fontId="6" fillId="21" borderId="0" xfId="109" applyNumberFormat="1" applyFont="1" applyFill="1" applyBorder="1" applyAlignment="1" applyProtection="1">
      <alignment vertical="center"/>
      <protection/>
    </xf>
    <xf numFmtId="0" fontId="5" fillId="21" borderId="0" xfId="109" applyFont="1" applyFill="1" applyAlignment="1" applyProtection="1" quotePrefix="1">
      <alignment vertical="center"/>
      <protection/>
    </xf>
    <xf numFmtId="0" fontId="5" fillId="21" borderId="0" xfId="109" applyFont="1" applyFill="1" applyAlignment="1" applyProtection="1">
      <alignment vertical="center"/>
      <protection/>
    </xf>
    <xf numFmtId="3" fontId="5" fillId="21" borderId="12" xfId="109" applyNumberFormat="1" applyFont="1" applyFill="1" applyBorder="1" applyAlignment="1" applyProtection="1">
      <alignment vertical="center"/>
      <protection/>
    </xf>
    <xf numFmtId="0" fontId="8" fillId="21" borderId="0" xfId="109" applyFont="1" applyFill="1" applyBorder="1" applyAlignment="1" applyProtection="1">
      <alignment horizontal="center" vertical="center"/>
      <protection/>
    </xf>
    <xf numFmtId="0" fontId="8" fillId="21" borderId="0" xfId="109" applyFont="1" applyFill="1" applyAlignment="1" applyProtection="1">
      <alignment horizontal="left" vertical="center"/>
      <protection/>
    </xf>
    <xf numFmtId="0" fontId="8" fillId="21" borderId="0" xfId="109" applyFont="1" applyFill="1" applyAlignment="1" applyProtection="1">
      <alignment horizontal="center" vertical="center"/>
      <protection/>
    </xf>
    <xf numFmtId="0" fontId="6" fillId="21" borderId="0" xfId="109" applyFont="1" applyFill="1" applyAlignment="1" applyProtection="1">
      <alignment horizontal="left" vertical="center"/>
      <protection/>
    </xf>
    <xf numFmtId="0" fontId="8" fillId="21" borderId="0" xfId="109" applyFont="1" applyFill="1" applyAlignment="1" applyProtection="1">
      <alignment horizontal="right" vertical="center"/>
      <protection/>
    </xf>
    <xf numFmtId="0" fontId="6" fillId="21" borderId="0" xfId="109" applyFont="1" applyFill="1" applyAlignment="1" applyProtection="1">
      <alignment horizontal="right" vertical="center"/>
      <protection/>
    </xf>
    <xf numFmtId="0" fontId="6" fillId="0" borderId="0" xfId="109" applyFont="1" applyFill="1" applyAlignment="1" applyProtection="1">
      <alignment horizontal="left" vertical="center" wrapText="1"/>
      <protection/>
    </xf>
    <xf numFmtId="0" fontId="6" fillId="0" borderId="0" xfId="109" applyFont="1" applyFill="1" applyAlignment="1" applyProtection="1">
      <alignment horizontal="centerContinuous" vertical="center" wrapText="1"/>
      <protection/>
    </xf>
    <xf numFmtId="0" fontId="0" fillId="0" borderId="0" xfId="0" applyAlignment="1">
      <alignment horizontal="left"/>
    </xf>
    <xf numFmtId="1" fontId="6" fillId="21" borderId="0" xfId="0" applyNumberFormat="1" applyFont="1" applyFill="1" applyBorder="1" applyAlignment="1" applyProtection="1">
      <alignment horizontal="center" vertical="center"/>
      <protection/>
    </xf>
    <xf numFmtId="37" fontId="5" fillId="21" borderId="0" xfId="0" applyNumberFormat="1" applyFont="1" applyFill="1" applyAlignment="1" applyProtection="1">
      <alignment horizontal="center" vertical="center"/>
      <protection/>
    </xf>
    <xf numFmtId="0" fontId="5" fillId="21" borderId="0" xfId="0" applyFont="1" applyFill="1" applyAlignment="1" applyProtection="1">
      <alignment horizontal="centerContinuous" vertical="center"/>
      <protection/>
    </xf>
    <xf numFmtId="0" fontId="5" fillId="21" borderId="0" xfId="0" applyFont="1" applyFill="1" applyAlignment="1" applyProtection="1">
      <alignment horizontal="center" vertical="center"/>
      <protection/>
    </xf>
    <xf numFmtId="0" fontId="6" fillId="21" borderId="0" xfId="0" applyFont="1" applyFill="1" applyBorder="1" applyAlignment="1" applyProtection="1">
      <alignment horizontal="right" vertical="center"/>
      <protection/>
    </xf>
    <xf numFmtId="0" fontId="5" fillId="21" borderId="0" xfId="0" applyFont="1" applyFill="1" applyAlignment="1" applyProtection="1">
      <alignment horizontal="left" vertical="center"/>
      <protection/>
    </xf>
    <xf numFmtId="0" fontId="6" fillId="21" borderId="0" xfId="0" applyFont="1" applyFill="1" applyBorder="1" applyAlignment="1" applyProtection="1">
      <alignment horizontal="center" vertical="top"/>
      <protection/>
    </xf>
    <xf numFmtId="0" fontId="5" fillId="21" borderId="0" xfId="0" applyFont="1" applyFill="1" applyBorder="1" applyAlignment="1" applyProtection="1">
      <alignment horizontal="center" vertical="center"/>
      <protection/>
    </xf>
    <xf numFmtId="0" fontId="5" fillId="21" borderId="0" xfId="0" applyFont="1" applyFill="1" applyBorder="1" applyAlignment="1" applyProtection="1">
      <alignment horizontal="center" vertical="center" wrapText="1"/>
      <protection/>
    </xf>
    <xf numFmtId="3" fontId="5" fillId="21" borderId="0" xfId="0" applyNumberFormat="1" applyFont="1" applyFill="1" applyBorder="1" applyAlignment="1" applyProtection="1">
      <alignment horizontal="left" vertical="center"/>
      <protection/>
    </xf>
    <xf numFmtId="3" fontId="6" fillId="21" borderId="0" xfId="0" applyNumberFormat="1" applyFont="1" applyFill="1" applyBorder="1" applyAlignment="1" applyProtection="1">
      <alignment/>
      <protection/>
    </xf>
    <xf numFmtId="0" fontId="5" fillId="21" borderId="0" xfId="0" applyFont="1" applyFill="1" applyBorder="1" applyAlignment="1" applyProtection="1" quotePrefix="1">
      <alignment horizontal="left" vertical="center"/>
      <protection/>
    </xf>
    <xf numFmtId="0" fontId="5" fillId="21" borderId="0" xfId="0" applyFont="1" applyFill="1" applyBorder="1" applyAlignment="1" applyProtection="1">
      <alignment vertical="center"/>
      <protection/>
    </xf>
    <xf numFmtId="3" fontId="5" fillId="21" borderId="0" xfId="0" applyNumberFormat="1" applyFont="1" applyFill="1" applyBorder="1" applyAlignment="1" applyProtection="1" quotePrefix="1">
      <alignment vertical="center"/>
      <protection/>
    </xf>
    <xf numFmtId="3" fontId="5" fillId="21" borderId="0" xfId="0" applyNumberFormat="1" applyFont="1" applyFill="1" applyBorder="1" applyAlignment="1" applyProtection="1">
      <alignment vertical="center"/>
      <protection/>
    </xf>
    <xf numFmtId="0" fontId="6" fillId="21" borderId="0" xfId="0" applyFont="1" applyFill="1" applyBorder="1" applyAlignment="1" applyProtection="1" quotePrefix="1">
      <alignment horizontal="right" vertical="center"/>
      <protection/>
    </xf>
    <xf numFmtId="3" fontId="5" fillId="21" borderId="12"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3" fontId="5" fillId="21" borderId="0" xfId="0" applyNumberFormat="1" applyFont="1" applyFill="1" applyBorder="1" applyAlignment="1" applyProtection="1">
      <alignment horizontal="center" vertical="center"/>
      <protection/>
    </xf>
    <xf numFmtId="179" fontId="6" fillId="34" borderId="0" xfId="0" applyNumberFormat="1" applyFont="1" applyFill="1" applyBorder="1" applyAlignment="1" applyProtection="1">
      <alignment vertical="center"/>
      <protection/>
    </xf>
    <xf numFmtId="0" fontId="6" fillId="21" borderId="0" xfId="109" applyFont="1" applyFill="1" applyBorder="1" applyAlignment="1" applyProtection="1" quotePrefix="1">
      <alignment vertical="center"/>
      <protection/>
    </xf>
    <xf numFmtId="0" fontId="5" fillId="21" borderId="0" xfId="109" applyFont="1" applyFill="1" applyBorder="1" applyAlignment="1" applyProtection="1">
      <alignment vertical="center"/>
      <protection/>
    </xf>
    <xf numFmtId="3" fontId="5" fillId="21" borderId="0" xfId="109" applyNumberFormat="1" applyFont="1" applyFill="1" applyBorder="1" applyAlignment="1" applyProtection="1">
      <alignment vertical="center"/>
      <protection/>
    </xf>
    <xf numFmtId="0" fontId="5" fillId="21" borderId="0" xfId="109" applyFont="1" applyFill="1" applyBorder="1" applyAlignment="1" applyProtection="1" quotePrefix="1">
      <alignment vertical="center"/>
      <protection/>
    </xf>
    <xf numFmtId="0" fontId="8" fillId="0" borderId="0" xfId="109" applyFont="1" applyFill="1" applyAlignment="1" applyProtection="1">
      <alignment horizontal="center" vertical="center"/>
      <protection/>
    </xf>
    <xf numFmtId="0" fontId="8" fillId="0" borderId="0" xfId="109" applyFont="1" applyFill="1" applyAlignment="1" applyProtection="1">
      <alignment horizontal="left" vertical="center"/>
      <protection/>
    </xf>
    <xf numFmtId="0" fontId="6" fillId="0" borderId="0" xfId="109" applyFont="1" applyFill="1" applyAlignment="1" applyProtection="1">
      <alignment horizontal="left" vertical="center"/>
      <protection/>
    </xf>
    <xf numFmtId="3" fontId="6" fillId="0" borderId="0" xfId="109" applyNumberFormat="1" applyFont="1" applyFill="1" applyBorder="1" applyAlignment="1" applyProtection="1">
      <alignment vertical="center"/>
      <protection/>
    </xf>
    <xf numFmtId="0" fontId="0" fillId="0" borderId="0" xfId="0" applyFill="1" applyAlignment="1">
      <alignment/>
    </xf>
    <xf numFmtId="10" fontId="5" fillId="22" borderId="0" xfId="0" applyNumberFormat="1" applyFont="1" applyFill="1" applyBorder="1" applyAlignment="1" applyProtection="1">
      <alignment horizontal="center" vertical="center"/>
      <protection locked="0"/>
    </xf>
    <xf numFmtId="37" fontId="6" fillId="4" borderId="0" xfId="0" applyNumberFormat="1" applyFont="1" applyFill="1" applyBorder="1" applyAlignment="1" applyProtection="1">
      <alignment horizontal="center" vertical="center"/>
      <protection/>
    </xf>
    <xf numFmtId="0" fontId="6" fillId="4" borderId="0" xfId="0" applyFont="1" applyFill="1" applyBorder="1" applyAlignment="1">
      <alignment horizontal="center" vertical="center"/>
    </xf>
    <xf numFmtId="3" fontId="5" fillId="4" borderId="0" xfId="0" applyNumberFormat="1" applyFont="1" applyFill="1" applyAlignment="1" applyProtection="1">
      <alignment vertical="center"/>
      <protection/>
    </xf>
    <xf numFmtId="0" fontId="7" fillId="0" borderId="0" xfId="109" applyFont="1">
      <alignment/>
      <protection/>
    </xf>
    <xf numFmtId="0" fontId="6" fillId="4" borderId="26" xfId="0" applyFont="1" applyFill="1" applyBorder="1" applyAlignment="1">
      <alignment vertical="center"/>
    </xf>
    <xf numFmtId="3" fontId="6" fillId="4" borderId="23" xfId="0" applyNumberFormat="1" applyFont="1" applyFill="1" applyBorder="1" applyAlignment="1">
      <alignment vertical="center"/>
    </xf>
    <xf numFmtId="0" fontId="6" fillId="4" borderId="23" xfId="0" applyFont="1" applyFill="1" applyBorder="1" applyAlignment="1">
      <alignment vertical="center"/>
    </xf>
    <xf numFmtId="0" fontId="6" fillId="4" borderId="23" xfId="0" applyFont="1" applyFill="1" applyBorder="1" applyAlignment="1">
      <alignment horizontal="center" vertical="center"/>
    </xf>
    <xf numFmtId="0" fontId="6" fillId="4" borderId="24" xfId="0" applyFont="1" applyFill="1" applyBorder="1" applyAlignment="1">
      <alignment vertical="center"/>
    </xf>
    <xf numFmtId="0" fontId="6" fillId="4" borderId="21" xfId="0" applyFont="1" applyFill="1" applyBorder="1" applyAlignment="1">
      <alignment vertical="center"/>
    </xf>
    <xf numFmtId="3" fontId="6" fillId="4" borderId="0" xfId="0" applyNumberFormat="1" applyFont="1" applyFill="1" applyBorder="1" applyAlignment="1">
      <alignment vertical="center"/>
    </xf>
    <xf numFmtId="0" fontId="6" fillId="4" borderId="0" xfId="0" applyFont="1" applyFill="1" applyBorder="1" applyAlignment="1">
      <alignment vertical="center"/>
    </xf>
    <xf numFmtId="0" fontId="6" fillId="4" borderId="19" xfId="0" applyFont="1" applyFill="1" applyBorder="1" applyAlignment="1">
      <alignment vertical="center"/>
    </xf>
    <xf numFmtId="0" fontId="6" fillId="4" borderId="25" xfId="0" applyFont="1" applyFill="1" applyBorder="1" applyAlignment="1">
      <alignment vertical="center"/>
    </xf>
    <xf numFmtId="3" fontId="6" fillId="4" borderId="17" xfId="0" applyNumberFormat="1" applyFont="1" applyFill="1" applyBorder="1" applyAlignment="1">
      <alignment vertical="center"/>
    </xf>
    <xf numFmtId="0" fontId="6" fillId="4" borderId="17" xfId="0" applyFont="1" applyFill="1" applyBorder="1" applyAlignment="1">
      <alignment horizontal="center" vertical="center"/>
    </xf>
    <xf numFmtId="0" fontId="6" fillId="4" borderId="22" xfId="0" applyFont="1" applyFill="1" applyBorder="1" applyAlignment="1">
      <alignment vertical="center"/>
    </xf>
    <xf numFmtId="3" fontId="5" fillId="34" borderId="0" xfId="0" applyNumberFormat="1" applyFont="1" applyFill="1" applyBorder="1" applyAlignment="1" applyProtection="1">
      <alignment vertical="center"/>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109" applyNumberFormat="1" applyFont="1" applyFill="1" applyAlignment="1" applyProtection="1">
      <alignment vertical="center" wrapText="1"/>
      <protection/>
    </xf>
    <xf numFmtId="0" fontId="6" fillId="4" borderId="26" xfId="109" applyFont="1" applyFill="1" applyBorder="1" applyAlignment="1" applyProtection="1">
      <alignment vertical="center" wrapText="1"/>
      <protection/>
    </xf>
    <xf numFmtId="0" fontId="0" fillId="0" borderId="24" xfId="109" applyBorder="1" applyAlignment="1">
      <alignment vertical="center" wrapText="1"/>
      <protection/>
    </xf>
    <xf numFmtId="0" fontId="0" fillId="0" borderId="21" xfId="109" applyBorder="1" applyAlignment="1">
      <alignment vertical="center" wrapText="1"/>
      <protection/>
    </xf>
    <xf numFmtId="0" fontId="0" fillId="0" borderId="19" xfId="109" applyBorder="1" applyAlignment="1">
      <alignment vertical="center" wrapText="1"/>
      <protection/>
    </xf>
    <xf numFmtId="0" fontId="0" fillId="0" borderId="25" xfId="109" applyBorder="1" applyAlignment="1">
      <alignment vertical="center" wrapText="1"/>
      <protection/>
    </xf>
    <xf numFmtId="0" fontId="0" fillId="0" borderId="22" xfId="109" applyBorder="1" applyAlignment="1">
      <alignment vertical="center" wrapText="1"/>
      <protection/>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6" fillId="16" borderId="23" xfId="0" applyFont="1" applyFill="1" applyBorder="1" applyAlignment="1">
      <alignment vertical="center" wrapText="1"/>
    </xf>
    <xf numFmtId="0" fontId="0" fillId="0" borderId="23" xfId="0" applyBorder="1" applyAlignment="1">
      <alignment vertical="center" wrapText="1"/>
    </xf>
    <xf numFmtId="0" fontId="5" fillId="23" borderId="11" xfId="0" applyFont="1" applyFill="1" applyBorder="1" applyAlignment="1">
      <alignment horizontal="center" vertical="center"/>
    </xf>
    <xf numFmtId="0" fontId="1" fillId="23" borderId="13" xfId="0" applyFont="1" applyFill="1" applyBorder="1" applyAlignment="1">
      <alignment horizontal="center" vertical="center"/>
    </xf>
    <xf numFmtId="37" fontId="5" fillId="35" borderId="11"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6" fillId="0" borderId="0" xfId="565" applyFont="1" applyAlignment="1">
      <alignment horizontal="left" vertical="center" wrapText="1"/>
      <protection/>
    </xf>
    <xf numFmtId="0" fontId="25" fillId="0" borderId="0" xfId="565" applyAlignment="1">
      <alignment horizontal="left" vertical="center" wrapText="1"/>
      <protection/>
    </xf>
    <xf numFmtId="0" fontId="13" fillId="0" borderId="0" xfId="56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5" fillId="21" borderId="0" xfId="0" applyFont="1" applyFill="1" applyAlignment="1" applyProtection="1">
      <alignment horizontal="center" vertical="center"/>
      <protection/>
    </xf>
    <xf numFmtId="0" fontId="6" fillId="4" borderId="0" xfId="110" applyFont="1" applyFill="1" applyAlignment="1">
      <alignment horizontal="center" vertical="center"/>
      <protection/>
    </xf>
    <xf numFmtId="0" fontId="6" fillId="4" borderId="0" xfId="109" applyFont="1" applyFill="1" applyAlignment="1" applyProtection="1">
      <alignment horizontal="center" vertical="center"/>
      <protection/>
    </xf>
    <xf numFmtId="0" fontId="6" fillId="21" borderId="0" xfId="109" applyFont="1" applyFill="1" applyAlignment="1" applyProtection="1">
      <alignment horizontal="center" vertical="center"/>
      <protection/>
    </xf>
    <xf numFmtId="0" fontId="5" fillId="21" borderId="0" xfId="0" applyFont="1" applyFill="1" applyBorder="1" applyAlignment="1" applyProtection="1">
      <alignment horizontal="center" vertical="center"/>
      <protection/>
    </xf>
    <xf numFmtId="0" fontId="0" fillId="21" borderId="0" xfId="0" applyFill="1" applyBorder="1" applyAlignment="1">
      <alignment horizontal="center" vertical="center"/>
    </xf>
    <xf numFmtId="0" fontId="6" fillId="0" borderId="0" xfId="109" applyFont="1" applyFill="1" applyAlignment="1" applyProtection="1">
      <alignment horizontal="center" vertical="center"/>
      <protection/>
    </xf>
    <xf numFmtId="0" fontId="6" fillId="0" borderId="0" xfId="110" applyFont="1" applyFill="1" applyAlignment="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37" fontId="5" fillId="4" borderId="0" xfId="109" applyNumberFormat="1" applyFont="1" applyFill="1" applyAlignment="1" applyProtection="1">
      <alignment horizontal="center" vertical="center"/>
      <protection/>
    </xf>
    <xf numFmtId="0" fontId="0" fillId="0" borderId="0" xfId="109" applyAlignment="1">
      <alignment horizontal="center" vertical="center"/>
      <protection/>
    </xf>
    <xf numFmtId="0" fontId="6" fillId="4" borderId="25"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5"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5" fillId="29" borderId="0" xfId="119" applyFont="1" applyFill="1" applyAlignment="1">
      <alignment horizontal="center" vertical="center"/>
      <protection/>
    </xf>
    <xf numFmtId="0" fontId="13" fillId="29" borderId="0" xfId="119" applyFont="1" applyFill="1" applyAlignment="1">
      <alignment horizontal="center" vertical="center"/>
      <protection/>
    </xf>
    <xf numFmtId="0" fontId="6" fillId="29" borderId="0" xfId="119" applyFont="1" applyFill="1" applyAlignment="1">
      <alignment vertical="center" wrapText="1"/>
      <protection/>
    </xf>
    <xf numFmtId="0" fontId="13" fillId="29" borderId="0" xfId="586" applyFont="1" applyFill="1" applyAlignment="1">
      <alignment horizontal="center"/>
      <protection/>
    </xf>
    <xf numFmtId="0" fontId="0" fillId="29" borderId="0" xfId="119"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9" applyNumberFormat="1" applyFont="1" applyFill="1" applyBorder="1" applyAlignment="1" applyProtection="1">
      <alignment horizontal="right" vertical="center"/>
      <protection/>
    </xf>
    <xf numFmtId="0" fontId="6" fillId="0" borderId="0" xfId="79" applyFont="1" applyAlignment="1" applyProtection="1">
      <alignment horizontal="right" vertical="center"/>
      <protection/>
    </xf>
    <xf numFmtId="3" fontId="6" fillId="4" borderId="23" xfId="143" applyNumberFormat="1" applyFont="1" applyFill="1" applyBorder="1" applyAlignment="1" applyProtection="1">
      <alignment horizontal="right" vertical="center"/>
      <protection/>
    </xf>
    <xf numFmtId="0" fontId="0" fillId="0" borderId="24" xfId="143" applyBorder="1" applyAlignment="1">
      <alignment horizontal="right" vertical="center"/>
      <protection/>
    </xf>
    <xf numFmtId="0" fontId="6" fillId="4" borderId="0" xfId="143" applyFont="1" applyFill="1" applyAlignment="1" applyProtection="1">
      <alignment horizontal="right" vertical="center"/>
      <protection/>
    </xf>
    <xf numFmtId="0" fontId="6" fillId="0" borderId="19" xfId="143" applyFont="1" applyBorder="1" applyAlignment="1">
      <alignment horizontal="right" vertical="center"/>
      <protection/>
    </xf>
    <xf numFmtId="0" fontId="38" fillId="29" borderId="26"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179" fontId="38" fillId="29" borderId="26" xfId="0" applyNumberFormat="1" applyFont="1" applyFill="1" applyBorder="1" applyAlignment="1" applyProtection="1">
      <alignment horizontal="center"/>
      <protection/>
    </xf>
    <xf numFmtId="0" fontId="15" fillId="0" borderId="23" xfId="0" applyFont="1" applyBorder="1" applyAlignment="1">
      <alignment/>
    </xf>
    <xf numFmtId="0" fontId="15" fillId="0" borderId="24" xfId="0" applyFont="1" applyBorder="1" applyAlignment="1">
      <alignment/>
    </xf>
    <xf numFmtId="0" fontId="0" fillId="0" borderId="23" xfId="0" applyBorder="1" applyAlignment="1">
      <alignment horizontal="center" vertical="center"/>
    </xf>
    <xf numFmtId="0" fontId="0" fillId="0" borderId="24" xfId="0" applyBorder="1" applyAlignment="1">
      <alignment/>
    </xf>
    <xf numFmtId="0" fontId="44" fillId="0" borderId="23"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37" fontId="6" fillId="4" borderId="0" xfId="0" applyNumberFormat="1" applyFont="1" applyFill="1" applyAlignment="1" applyProtection="1">
      <alignment horizontal="center"/>
      <protection/>
    </xf>
    <xf numFmtId="37" fontId="6" fillId="4" borderId="23" xfId="0" applyNumberFormat="1" applyFont="1" applyFill="1" applyBorder="1" applyAlignment="1" applyProtection="1">
      <alignment horizontal="center"/>
      <protection/>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3" fillId="29" borderId="23" xfId="0" applyFont="1" applyFill="1" applyBorder="1" applyAlignment="1" applyProtection="1">
      <alignment horizontal="center"/>
      <protection/>
    </xf>
    <xf numFmtId="0" fontId="13" fillId="29" borderId="24" xfId="0" applyFont="1" applyFill="1" applyBorder="1" applyAlignment="1" applyProtection="1">
      <alignment horizontal="center"/>
      <protection/>
    </xf>
    <xf numFmtId="0" fontId="0" fillId="0" borderId="24" xfId="0" applyBorder="1" applyAlignment="1">
      <alignment horizontal="center"/>
    </xf>
    <xf numFmtId="49" fontId="5" fillId="4" borderId="17" xfId="0" applyNumberFormat="1"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169" fontId="41" fillId="30" borderId="17" xfId="0" applyNumberFormat="1" applyFont="1" applyFill="1" applyBorder="1" applyAlignment="1" applyProtection="1">
      <alignment horizontal="center"/>
      <protection locked="0"/>
    </xf>
    <xf numFmtId="200" fontId="41" fillId="29" borderId="0" xfId="0" applyNumberFormat="1" applyFont="1" applyFill="1" applyBorder="1" applyAlignment="1">
      <alignment horizontal="center"/>
    </xf>
    <xf numFmtId="200" fontId="41" fillId="0" borderId="32" xfId="0" applyNumberFormat="1" applyFont="1" applyBorder="1" applyAlignment="1">
      <alignment horizontal="center"/>
    </xf>
    <xf numFmtId="5" fontId="41" fillId="29" borderId="17" xfId="0" applyNumberFormat="1" applyFont="1" applyFill="1" applyBorder="1" applyAlignment="1">
      <alignment horizontal="center"/>
    </xf>
    <xf numFmtId="0" fontId="41" fillId="29" borderId="0" xfId="0" applyFont="1" applyFill="1" applyBorder="1" applyAlignment="1">
      <alignment horizontal="center"/>
    </xf>
    <xf numFmtId="197" fontId="41" fillId="30" borderId="17" xfId="0" applyNumberFormat="1" applyFont="1" applyFill="1" applyBorder="1" applyAlignment="1" applyProtection="1">
      <alignment horizontal="center"/>
      <protection locked="0"/>
    </xf>
    <xf numFmtId="197" fontId="41"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1" fillId="29" borderId="0" xfId="0" applyFont="1" applyFill="1" applyBorder="1" applyAlignment="1">
      <alignment wrapText="1"/>
    </xf>
    <xf numFmtId="0" fontId="41" fillId="0" borderId="0" xfId="0" applyFont="1" applyAlignment="1">
      <alignment wrapText="1"/>
    </xf>
    <xf numFmtId="0" fontId="78" fillId="29" borderId="0" xfId="0" applyFont="1" applyFill="1" applyAlignment="1">
      <alignment horizontal="center" wrapText="1"/>
    </xf>
    <xf numFmtId="0" fontId="41" fillId="29" borderId="0" xfId="0" applyFont="1" applyFill="1" applyAlignment="1">
      <alignment wrapText="1"/>
    </xf>
    <xf numFmtId="0" fontId="41" fillId="0" borderId="32" xfId="0" applyFont="1" applyBorder="1" applyAlignment="1">
      <alignment horizontal="center"/>
    </xf>
    <xf numFmtId="0" fontId="41" fillId="0" borderId="29" xfId="0" applyFont="1" applyBorder="1" applyAlignment="1">
      <alignment horizontal="center" vertical="center"/>
    </xf>
    <xf numFmtId="0" fontId="41" fillId="29" borderId="36" xfId="0" applyFont="1" applyFill="1" applyBorder="1" applyAlignment="1">
      <alignment vertical="top" wrapText="1"/>
    </xf>
    <xf numFmtId="0" fontId="41" fillId="0" borderId="0" xfId="0" applyFont="1" applyAlignment="1">
      <alignment vertical="top" wrapText="1"/>
    </xf>
    <xf numFmtId="0" fontId="41" fillId="0" borderId="32" xfId="0" applyFont="1" applyBorder="1" applyAlignment="1">
      <alignment vertical="top" wrapText="1"/>
    </xf>
    <xf numFmtId="0" fontId="78" fillId="29" borderId="0" xfId="0" applyFont="1" applyFill="1" applyBorder="1" applyAlignment="1">
      <alignment horizontal="center" wrapText="1"/>
    </xf>
    <xf numFmtId="0" fontId="41" fillId="0" borderId="0" xfId="0" applyFont="1" applyAlignment="1">
      <alignment horizontal="center" wrapText="1"/>
    </xf>
    <xf numFmtId="0" fontId="78" fillId="29" borderId="0" xfId="0" applyFont="1" applyFill="1" applyAlignment="1">
      <alignment horizontal="center"/>
    </xf>
    <xf numFmtId="197" fontId="41" fillId="29" borderId="0" xfId="0" applyNumberFormat="1" applyFont="1" applyFill="1" applyAlignment="1">
      <alignment horizontal="center"/>
    </xf>
    <xf numFmtId="197" fontId="41" fillId="30" borderId="31" xfId="0" applyNumberFormat="1" applyFont="1" applyFill="1" applyBorder="1" applyAlignment="1" applyProtection="1">
      <alignment horizontal="center"/>
      <protection locked="0"/>
    </xf>
    <xf numFmtId="0" fontId="41" fillId="29" borderId="0" xfId="0" applyFont="1" applyFill="1" applyBorder="1" applyAlignment="1">
      <alignment/>
    </xf>
    <xf numFmtId="0" fontId="41" fillId="0" borderId="0" xfId="0" applyFont="1" applyBorder="1" applyAlignment="1">
      <alignment/>
    </xf>
    <xf numFmtId="0" fontId="41" fillId="29" borderId="34" xfId="0" applyFont="1" applyFill="1" applyBorder="1" applyAlignment="1">
      <alignment/>
    </xf>
    <xf numFmtId="0" fontId="41"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1" fillId="29" borderId="0" xfId="0" applyNumberFormat="1" applyFont="1" applyFill="1" applyAlignment="1">
      <alignment/>
    </xf>
    <xf numFmtId="0" fontId="41" fillId="29" borderId="23" xfId="0" applyFont="1" applyFill="1" applyBorder="1" applyAlignment="1">
      <alignment horizontal="center"/>
    </xf>
    <xf numFmtId="0" fontId="78" fillId="0" borderId="0" xfId="0" applyFont="1" applyAlignment="1">
      <alignment horizontal="center" wrapText="1"/>
    </xf>
    <xf numFmtId="0" fontId="74" fillId="4" borderId="0" xfId="0" applyFont="1" applyFill="1" applyAlignment="1" applyProtection="1">
      <alignment vertical="center"/>
      <protection/>
    </xf>
  </cellXfs>
  <cellStyles count="5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17" xfId="54"/>
    <cellStyle name="Comma 2" xfId="55"/>
    <cellStyle name="Comma 2 2" xfId="56"/>
    <cellStyle name="Comma 3" xfId="57"/>
    <cellStyle name="Comma 3 2" xfId="58"/>
    <cellStyle name="Comma 3 3" xfId="59"/>
    <cellStyle name="Comma 4" xfId="60"/>
    <cellStyle name="Comma 4 2" xfId="61"/>
    <cellStyle name="Comma 5" xfId="62"/>
    <cellStyle name="Comma 6" xfId="63"/>
    <cellStyle name="Comma 6 2" xfId="64"/>
    <cellStyle name="Comma 7" xfId="65"/>
    <cellStyle name="Comma 7 2" xfId="66"/>
    <cellStyle name="Comma 7 3"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10" xfId="80"/>
    <cellStyle name="Hyperlink 11" xfId="81"/>
    <cellStyle name="Hyperlink 12" xfId="82"/>
    <cellStyle name="Hyperlink 13" xfId="83"/>
    <cellStyle name="Hyperlink 14" xfId="84"/>
    <cellStyle name="Hyperlink 15" xfId="85"/>
    <cellStyle name="Hyperlink 16" xfId="86"/>
    <cellStyle name="Hyperlink 2" xfId="87"/>
    <cellStyle name="Hyperlink 2 2" xfId="88"/>
    <cellStyle name="Hyperlink 2 3" xfId="89"/>
    <cellStyle name="Hyperlink 3" xfId="90"/>
    <cellStyle name="Hyperlink 3 2" xfId="91"/>
    <cellStyle name="Hyperlink 3 3" xfId="92"/>
    <cellStyle name="Hyperlink 3 4" xfId="93"/>
    <cellStyle name="Hyperlink 4" xfId="94"/>
    <cellStyle name="Hyperlink 4 2" xfId="95"/>
    <cellStyle name="Hyperlink 5" xfId="96"/>
    <cellStyle name="Hyperlink 6" xfId="97"/>
    <cellStyle name="Hyperlink 7" xfId="98"/>
    <cellStyle name="Hyperlink 7 2" xfId="99"/>
    <cellStyle name="Hyperlink 7 3" xfId="100"/>
    <cellStyle name="Hyperlink 8" xfId="101"/>
    <cellStyle name="Hyperlink 8 2" xfId="102"/>
    <cellStyle name="Hyperlink 9" xfId="103"/>
    <cellStyle name="Input" xfId="104"/>
    <cellStyle name="Linked Cell" xfId="105"/>
    <cellStyle name="Neutral" xfId="106"/>
    <cellStyle name="Normal 10" xfId="107"/>
    <cellStyle name="Normal 10 2" xfId="108"/>
    <cellStyle name="Normal 10 2 2" xfId="109"/>
    <cellStyle name="Normal 10 2 2 2" xfId="110"/>
    <cellStyle name="Normal 10 2 2 3" xfId="111"/>
    <cellStyle name="Normal 10 2 3" xfId="112"/>
    <cellStyle name="Normal 10 3" xfId="113"/>
    <cellStyle name="Normal 10 3 2" xfId="114"/>
    <cellStyle name="Normal 10 3 3" xfId="115"/>
    <cellStyle name="Normal 10 4" xfId="116"/>
    <cellStyle name="Normal 10 4 2" xfId="117"/>
    <cellStyle name="Normal 10 4 3" xfId="118"/>
    <cellStyle name="Normal 10 5" xfId="119"/>
    <cellStyle name="Normal 10 5 2" xfId="120"/>
    <cellStyle name="Normal 10 5 3" xfId="121"/>
    <cellStyle name="Normal 10 6" xfId="122"/>
    <cellStyle name="Normal 10 6 2" xfId="123"/>
    <cellStyle name="Normal 10 6 3" xfId="124"/>
    <cellStyle name="Normal 10 7" xfId="125"/>
    <cellStyle name="Normal 10 7 2" xfId="126"/>
    <cellStyle name="Normal 10 7 3" xfId="127"/>
    <cellStyle name="Normal 11" xfId="128"/>
    <cellStyle name="Normal 11 2" xfId="129"/>
    <cellStyle name="Normal 11 2 2" xfId="130"/>
    <cellStyle name="Normal 11 2 3" xfId="131"/>
    <cellStyle name="Normal 11 3" xfId="132"/>
    <cellStyle name="Normal 11 4" xfId="133"/>
    <cellStyle name="Normal 11 5" xfId="134"/>
    <cellStyle name="Normal 11 5 2" xfId="135"/>
    <cellStyle name="Normal 11 5 3" xfId="136"/>
    <cellStyle name="Normal 11 6" xfId="137"/>
    <cellStyle name="Normal 12" xfId="138"/>
    <cellStyle name="Normal 12 10" xfId="139"/>
    <cellStyle name="Normal 12 11" xfId="140"/>
    <cellStyle name="Normal 12 12" xfId="141"/>
    <cellStyle name="Normal 12 13" xfId="142"/>
    <cellStyle name="Normal 12 2" xfId="143"/>
    <cellStyle name="Normal 12 2 2" xfId="144"/>
    <cellStyle name="Normal 12 3" xfId="145"/>
    <cellStyle name="Normal 12 4" xfId="146"/>
    <cellStyle name="Normal 12 5" xfId="147"/>
    <cellStyle name="Normal 12 6" xfId="148"/>
    <cellStyle name="Normal 12 7" xfId="149"/>
    <cellStyle name="Normal 12 8" xfId="150"/>
    <cellStyle name="Normal 12 9" xfId="151"/>
    <cellStyle name="Normal 13" xfId="152"/>
    <cellStyle name="Normal 13 10" xfId="153"/>
    <cellStyle name="Normal 13 11" xfId="154"/>
    <cellStyle name="Normal 13 12" xfId="155"/>
    <cellStyle name="Normal 13 13" xfId="156"/>
    <cellStyle name="Normal 13 2" xfId="157"/>
    <cellStyle name="Normal 13 2 2" xfId="158"/>
    <cellStyle name="Normal 13 3" xfId="159"/>
    <cellStyle name="Normal 13 4" xfId="160"/>
    <cellStyle name="Normal 13 5" xfId="161"/>
    <cellStyle name="Normal 13 6" xfId="162"/>
    <cellStyle name="Normal 13 7" xfId="163"/>
    <cellStyle name="Normal 13 8" xfId="164"/>
    <cellStyle name="Normal 13 9" xfId="165"/>
    <cellStyle name="Normal 14" xfId="166"/>
    <cellStyle name="Normal 14 2" xfId="167"/>
    <cellStyle name="Normal 14 3" xfId="168"/>
    <cellStyle name="Normal 14 4" xfId="169"/>
    <cellStyle name="Normal 14 5" xfId="170"/>
    <cellStyle name="Normal 14 6" xfId="171"/>
    <cellStyle name="Normal 14 7" xfId="172"/>
    <cellStyle name="Normal 14 7 2" xfId="173"/>
    <cellStyle name="Normal 14 7 3" xfId="174"/>
    <cellStyle name="Normal 15" xfId="175"/>
    <cellStyle name="Normal 15 2" xfId="176"/>
    <cellStyle name="Normal 15 3" xfId="177"/>
    <cellStyle name="Normal 15 4" xfId="178"/>
    <cellStyle name="Normal 15 5" xfId="179"/>
    <cellStyle name="Normal 16" xfId="180"/>
    <cellStyle name="Normal 16 2" xfId="181"/>
    <cellStyle name="Normal 16 3" xfId="182"/>
    <cellStyle name="Normal 16 4" xfId="183"/>
    <cellStyle name="Normal 16 5" xfId="184"/>
    <cellStyle name="Normal 17" xfId="185"/>
    <cellStyle name="Normal 17 2" xfId="186"/>
    <cellStyle name="Normal 17 3" xfId="187"/>
    <cellStyle name="Normal 17 4" xfId="188"/>
    <cellStyle name="Normal 17 5" xfId="189"/>
    <cellStyle name="Normal 18" xfId="190"/>
    <cellStyle name="Normal 18 2" xfId="191"/>
    <cellStyle name="Normal 18 2 2" xfId="192"/>
    <cellStyle name="Normal 18 2 3" xfId="193"/>
    <cellStyle name="Normal 18 3" xfId="194"/>
    <cellStyle name="Normal 18 4" xfId="195"/>
    <cellStyle name="Normal 18 5" xfId="196"/>
    <cellStyle name="Normal 18 6" xfId="197"/>
    <cellStyle name="Normal 18 7" xfId="198"/>
    <cellStyle name="Normal 18 8" xfId="199"/>
    <cellStyle name="Normal 18 9" xfId="200"/>
    <cellStyle name="Normal 19" xfId="201"/>
    <cellStyle name="Normal 19 2" xfId="202"/>
    <cellStyle name="Normal 19 2 2" xfId="203"/>
    <cellStyle name="Normal 19 2 3" xfId="204"/>
    <cellStyle name="Normal 19 3" xfId="205"/>
    <cellStyle name="Normal 19 4" xfId="206"/>
    <cellStyle name="Normal 19 5" xfId="207"/>
    <cellStyle name="Normal 19 6" xfId="208"/>
    <cellStyle name="Normal 19 7" xfId="209"/>
    <cellStyle name="Normal 19 8" xfId="210"/>
    <cellStyle name="Normal 2" xfId="211"/>
    <cellStyle name="Normal 2 10" xfId="212"/>
    <cellStyle name="Normal 2 10 10" xfId="213"/>
    <cellStyle name="Normal 2 10 11" xfId="214"/>
    <cellStyle name="Normal 2 10 11 2" xfId="215"/>
    <cellStyle name="Normal 2 10 11 2 2" xfId="216"/>
    <cellStyle name="Normal 2 10 11 2 2 2" xfId="217"/>
    <cellStyle name="Normal 2 10 11 2 2 3" xfId="218"/>
    <cellStyle name="Normal 2 10 11 3" xfId="219"/>
    <cellStyle name="Normal 2 10 11 4" xfId="220"/>
    <cellStyle name="Normal 2 10 11 5" xfId="221"/>
    <cellStyle name="Normal 2 10 12" xfId="222"/>
    <cellStyle name="Normal 2 10 2" xfId="223"/>
    <cellStyle name="Normal 2 10 2 2" xfId="224"/>
    <cellStyle name="Normal 2 10 3" xfId="225"/>
    <cellStyle name="Normal 2 10 3 2" xfId="226"/>
    <cellStyle name="Normal 2 10 4" xfId="227"/>
    <cellStyle name="Normal 2 10 4 2" xfId="228"/>
    <cellStyle name="Normal 2 10 5" xfId="229"/>
    <cellStyle name="Normal 2 10 5 2" xfId="230"/>
    <cellStyle name="Normal 2 10 6" xfId="231"/>
    <cellStyle name="Normal 2 10 6 2" xfId="232"/>
    <cellStyle name="Normal 2 10 7" xfId="233"/>
    <cellStyle name="Normal 2 10 7 2" xfId="234"/>
    <cellStyle name="Normal 2 10 8" xfId="235"/>
    <cellStyle name="Normal 2 10 8 2" xfId="236"/>
    <cellStyle name="Normal 2 10 9" xfId="237"/>
    <cellStyle name="Normal 2 11" xfId="238"/>
    <cellStyle name="Normal 2 11 10" xfId="239"/>
    <cellStyle name="Normal 2 11 11" xfId="240"/>
    <cellStyle name="Normal 2 11 2" xfId="241"/>
    <cellStyle name="Normal 2 11 2 2" xfId="242"/>
    <cellStyle name="Normal 2 11 3" xfId="243"/>
    <cellStyle name="Normal 2 11 3 2" xfId="244"/>
    <cellStyle name="Normal 2 11 4" xfId="245"/>
    <cellStyle name="Normal 2 11 4 2" xfId="246"/>
    <cellStyle name="Normal 2 11 5" xfId="247"/>
    <cellStyle name="Normal 2 11 5 2" xfId="248"/>
    <cellStyle name="Normal 2 11 6" xfId="249"/>
    <cellStyle name="Normal 2 11 6 2" xfId="250"/>
    <cellStyle name="Normal 2 11 7" xfId="251"/>
    <cellStyle name="Normal 2 11 7 2" xfId="252"/>
    <cellStyle name="Normal 2 11 8" xfId="253"/>
    <cellStyle name="Normal 2 11 8 2" xfId="254"/>
    <cellStyle name="Normal 2 11 9" xfId="255"/>
    <cellStyle name="Normal 2 12" xfId="256"/>
    <cellStyle name="Normal 2 13" xfId="257"/>
    <cellStyle name="Normal 2 14" xfId="258"/>
    <cellStyle name="Normal 2 15" xfId="259"/>
    <cellStyle name="Normal 2 16" xfId="260"/>
    <cellStyle name="Normal 2 17" xfId="261"/>
    <cellStyle name="Normal 2 17 2" xfId="262"/>
    <cellStyle name="Normal 2 17 3" xfId="263"/>
    <cellStyle name="Normal 2 2" xfId="264"/>
    <cellStyle name="Normal 2 2 10" xfId="265"/>
    <cellStyle name="Normal 2 2 10 2" xfId="266"/>
    <cellStyle name="Normal 2 2 11" xfId="267"/>
    <cellStyle name="Normal 2 2 11 2" xfId="268"/>
    <cellStyle name="Normal 2 2 12" xfId="269"/>
    <cellStyle name="Normal 2 2 12 2" xfId="270"/>
    <cellStyle name="Normal 2 2 12 2 2" xfId="271"/>
    <cellStyle name="Normal 2 2 12 2 3" xfId="272"/>
    <cellStyle name="Normal 2 2 12 2 4" xfId="273"/>
    <cellStyle name="Normal 2 2 12 3" xfId="274"/>
    <cellStyle name="Normal 2 2 12 4" xfId="275"/>
    <cellStyle name="Normal 2 2 13" xfId="276"/>
    <cellStyle name="Normal 2 2 13 2" xfId="277"/>
    <cellStyle name="Normal 2 2 13 2 2" xfId="278"/>
    <cellStyle name="Normal 2 2 13 2 3" xfId="279"/>
    <cellStyle name="Normal 2 2 13 2 4" xfId="280"/>
    <cellStyle name="Normal 2 2 13 3" xfId="281"/>
    <cellStyle name="Normal 2 2 13 4" xfId="282"/>
    <cellStyle name="Normal 2 2 14" xfId="283"/>
    <cellStyle name="Normal 2 2 14 2" xfId="284"/>
    <cellStyle name="Normal 2 2 15" xfId="285"/>
    <cellStyle name="Normal 2 2 15 2" xfId="286"/>
    <cellStyle name="Normal 2 2 16" xfId="287"/>
    <cellStyle name="Normal 2 2 16 2" xfId="288"/>
    <cellStyle name="Normal 2 2 16 3" xfId="289"/>
    <cellStyle name="Normal 2 2 17" xfId="290"/>
    <cellStyle name="Normal 2 2 18" xfId="291"/>
    <cellStyle name="Normal 2 2 19" xfId="292"/>
    <cellStyle name="Normal 2 2 2" xfId="293"/>
    <cellStyle name="Normal 2 2 2 2" xfId="294"/>
    <cellStyle name="Normal 2 2 2 2 2" xfId="295"/>
    <cellStyle name="Normal 2 2 2 2 3" xfId="296"/>
    <cellStyle name="Normal 2 2 2 2 3 2" xfId="297"/>
    <cellStyle name="Normal 2 2 2 2 3 3" xfId="298"/>
    <cellStyle name="Normal 2 2 2 3" xfId="299"/>
    <cellStyle name="Normal 2 2 2 3 2" xfId="300"/>
    <cellStyle name="Normal 2 2 2 3 3" xfId="301"/>
    <cellStyle name="Normal 2 2 2 3 4" xfId="302"/>
    <cellStyle name="Normal 2 2 2 4" xfId="303"/>
    <cellStyle name="Normal 2 2 2 4 2" xfId="304"/>
    <cellStyle name="Normal 2 2 2 5" xfId="305"/>
    <cellStyle name="Normal 2 2 2 5 2" xfId="306"/>
    <cellStyle name="Normal 2 2 2 5 3" xfId="307"/>
    <cellStyle name="Normal 2 2 2 5 4" xfId="308"/>
    <cellStyle name="Normal 2 2 2 6" xfId="309"/>
    <cellStyle name="Normal 2 2 2 6 2" xfId="310"/>
    <cellStyle name="Normal 2 2 2 7" xfId="311"/>
    <cellStyle name="Normal 2 2 2 7 2" xfId="312"/>
    <cellStyle name="Normal 2 2 2 7 3" xfId="313"/>
    <cellStyle name="Normal 2 2 2 8" xfId="314"/>
    <cellStyle name="Normal 2 2 20" xfId="315"/>
    <cellStyle name="Normal 2 2 21" xfId="316"/>
    <cellStyle name="Normal 2 2 22" xfId="317"/>
    <cellStyle name="Normal 2 2 3" xfId="318"/>
    <cellStyle name="Normal 2 2 3 2" xfId="319"/>
    <cellStyle name="Normal 2 2 4" xfId="320"/>
    <cellStyle name="Normal 2 2 4 2" xfId="321"/>
    <cellStyle name="Normal 2 2 5" xfId="322"/>
    <cellStyle name="Normal 2 2 5 2" xfId="323"/>
    <cellStyle name="Normal 2 2 6" xfId="324"/>
    <cellStyle name="Normal 2 2 6 2" xfId="325"/>
    <cellStyle name="Normal 2 2 7" xfId="326"/>
    <cellStyle name="Normal 2 2 7 2" xfId="327"/>
    <cellStyle name="Normal 2 2 8" xfId="328"/>
    <cellStyle name="Normal 2 2 8 2" xfId="329"/>
    <cellStyle name="Normal 2 2 9" xfId="330"/>
    <cellStyle name="Normal 2 2 9 2" xfId="331"/>
    <cellStyle name="Normal 2 3" xfId="332"/>
    <cellStyle name="Normal 2 3 10" xfId="333"/>
    <cellStyle name="Normal 2 3 11" xfId="334"/>
    <cellStyle name="Normal 2 3 12" xfId="335"/>
    <cellStyle name="Normal 2 3 13" xfId="336"/>
    <cellStyle name="Normal 2 3 14" xfId="337"/>
    <cellStyle name="Normal 2 3 15" xfId="338"/>
    <cellStyle name="Normal 2 3 2" xfId="339"/>
    <cellStyle name="Normal 2 3 2 2" xfId="340"/>
    <cellStyle name="Normal 2 3 2 2 2" xfId="341"/>
    <cellStyle name="Normal 2 3 2 2 3" xfId="342"/>
    <cellStyle name="Normal 2 3 2 3" xfId="343"/>
    <cellStyle name="Normal 2 3 2 4" xfId="344"/>
    <cellStyle name="Normal 2 3 2 5" xfId="345"/>
    <cellStyle name="Normal 2 3 3" xfId="346"/>
    <cellStyle name="Normal 2 3 3 2" xfId="347"/>
    <cellStyle name="Normal 2 3 3 3" xfId="348"/>
    <cellStyle name="Normal 2 3 4" xfId="349"/>
    <cellStyle name="Normal 2 3 5" xfId="350"/>
    <cellStyle name="Normal 2 3 6" xfId="351"/>
    <cellStyle name="Normal 2 3 7" xfId="352"/>
    <cellStyle name="Normal 2 3 8" xfId="353"/>
    <cellStyle name="Normal 2 3 9" xfId="354"/>
    <cellStyle name="Normal 2 4" xfId="355"/>
    <cellStyle name="Normal 2 4 10" xfId="356"/>
    <cellStyle name="Normal 2 4 11" xfId="357"/>
    <cellStyle name="Normal 2 4 12" xfId="358"/>
    <cellStyle name="Normal 2 4 12 2" xfId="359"/>
    <cellStyle name="Normal 2 4 12 3" xfId="360"/>
    <cellStyle name="Normal 2 4 13" xfId="361"/>
    <cellStyle name="Normal 2 4 13 2" xfId="362"/>
    <cellStyle name="Normal 2 4 13 3" xfId="363"/>
    <cellStyle name="Normal 2 4 2" xfId="364"/>
    <cellStyle name="Normal 2 4 2 2" xfId="365"/>
    <cellStyle name="Normal 2 4 2 2 2" xfId="366"/>
    <cellStyle name="Normal 2 4 2 2 3" xfId="367"/>
    <cellStyle name="Normal 2 4 2 3" xfId="368"/>
    <cellStyle name="Normal 2 4 2 4" xfId="369"/>
    <cellStyle name="Normal 2 4 2 5" xfId="370"/>
    <cellStyle name="Normal 2 4 3" xfId="371"/>
    <cellStyle name="Normal 2 4 3 2" xfId="372"/>
    <cellStyle name="Normal 2 4 3 3" xfId="373"/>
    <cellStyle name="Normal 2 4 4" xfId="374"/>
    <cellStyle name="Normal 2 4 5" xfId="375"/>
    <cellStyle name="Normal 2 4 6" xfId="376"/>
    <cellStyle name="Normal 2 4 7" xfId="377"/>
    <cellStyle name="Normal 2 4 8" xfId="378"/>
    <cellStyle name="Normal 2 4 9" xfId="379"/>
    <cellStyle name="Normal 2 5" xfId="380"/>
    <cellStyle name="Normal 2 5 10" xfId="381"/>
    <cellStyle name="Normal 2 5 11" xfId="382"/>
    <cellStyle name="Normal 2 5 12" xfId="383"/>
    <cellStyle name="Normal 2 5 12 2" xfId="384"/>
    <cellStyle name="Normal 2 5 12 3" xfId="385"/>
    <cellStyle name="Normal 2 5 2" xfId="386"/>
    <cellStyle name="Normal 2 5 2 2" xfId="387"/>
    <cellStyle name="Normal 2 5 3" xfId="388"/>
    <cellStyle name="Normal 2 5 3 2" xfId="389"/>
    <cellStyle name="Normal 2 5 4" xfId="390"/>
    <cellStyle name="Normal 2 5 5" xfId="391"/>
    <cellStyle name="Normal 2 5 6" xfId="392"/>
    <cellStyle name="Normal 2 5 7" xfId="393"/>
    <cellStyle name="Normal 2 5 8" xfId="394"/>
    <cellStyle name="Normal 2 5 9" xfId="395"/>
    <cellStyle name="Normal 2 6" xfId="396"/>
    <cellStyle name="Normal 2 6 10" xfId="397"/>
    <cellStyle name="Normal 2 6 11" xfId="398"/>
    <cellStyle name="Normal 2 6 12" xfId="399"/>
    <cellStyle name="Normal 2 6 2" xfId="400"/>
    <cellStyle name="Normal 2 6 2 2" xfId="401"/>
    <cellStyle name="Normal 2 6 3" xfId="402"/>
    <cellStyle name="Normal 2 6 3 2" xfId="403"/>
    <cellStyle name="Normal 2 6 4" xfId="404"/>
    <cellStyle name="Normal 2 6 5" xfId="405"/>
    <cellStyle name="Normal 2 6 6" xfId="406"/>
    <cellStyle name="Normal 2 6 7" xfId="407"/>
    <cellStyle name="Normal 2 6 8" xfId="408"/>
    <cellStyle name="Normal 2 6 9" xfId="409"/>
    <cellStyle name="Normal 2 7" xfId="410"/>
    <cellStyle name="Normal 2 7 10" xfId="411"/>
    <cellStyle name="Normal 2 7 11" xfId="412"/>
    <cellStyle name="Normal 2 7 2" xfId="413"/>
    <cellStyle name="Normal 2 7 2 2" xfId="414"/>
    <cellStyle name="Normal 2 7 2 3" xfId="415"/>
    <cellStyle name="Normal 2 7 3" xfId="416"/>
    <cellStyle name="Normal 2 7 3 2" xfId="417"/>
    <cellStyle name="Normal 2 7 4" xfId="418"/>
    <cellStyle name="Normal 2 7 4 2" xfId="419"/>
    <cellStyle name="Normal 2 7 5" xfId="420"/>
    <cellStyle name="Normal 2 7 5 2" xfId="421"/>
    <cellStyle name="Normal 2 7 6" xfId="422"/>
    <cellStyle name="Normal 2 7 6 2" xfId="423"/>
    <cellStyle name="Normal 2 7 7" xfId="424"/>
    <cellStyle name="Normal 2 7 7 2" xfId="425"/>
    <cellStyle name="Normal 2 7 8" xfId="426"/>
    <cellStyle name="Normal 2 7 8 2" xfId="427"/>
    <cellStyle name="Normal 2 7 9" xfId="428"/>
    <cellStyle name="Normal 2 8" xfId="429"/>
    <cellStyle name="Normal 2 8 10" xfId="430"/>
    <cellStyle name="Normal 2 8 11" xfId="431"/>
    <cellStyle name="Normal 2 8 2" xfId="432"/>
    <cellStyle name="Normal 2 8 2 2" xfId="433"/>
    <cellStyle name="Normal 2 8 3" xfId="434"/>
    <cellStyle name="Normal 2 8 3 2" xfId="435"/>
    <cellStyle name="Normal 2 8 4" xfId="436"/>
    <cellStyle name="Normal 2 8 4 2" xfId="437"/>
    <cellStyle name="Normal 2 8 5" xfId="438"/>
    <cellStyle name="Normal 2 8 5 2" xfId="439"/>
    <cellStyle name="Normal 2 8 6" xfId="440"/>
    <cellStyle name="Normal 2 8 6 2" xfId="441"/>
    <cellStyle name="Normal 2 8 7" xfId="442"/>
    <cellStyle name="Normal 2 8 7 2" xfId="443"/>
    <cellStyle name="Normal 2 8 8" xfId="444"/>
    <cellStyle name="Normal 2 8 8 2" xfId="445"/>
    <cellStyle name="Normal 2 8 9" xfId="446"/>
    <cellStyle name="Normal 2 9" xfId="447"/>
    <cellStyle name="Normal 2 9 10" xfId="448"/>
    <cellStyle name="Normal 2 9 11" xfId="449"/>
    <cellStyle name="Normal 2 9 2" xfId="450"/>
    <cellStyle name="Normal 2 9 2 2" xfId="451"/>
    <cellStyle name="Normal 2 9 3" xfId="452"/>
    <cellStyle name="Normal 2 9 3 2" xfId="453"/>
    <cellStyle name="Normal 2 9 4" xfId="454"/>
    <cellStyle name="Normal 2 9 4 2" xfId="455"/>
    <cellStyle name="Normal 2 9 5" xfId="456"/>
    <cellStyle name="Normal 2 9 5 2" xfId="457"/>
    <cellStyle name="Normal 2 9 6" xfId="458"/>
    <cellStyle name="Normal 2 9 6 2" xfId="459"/>
    <cellStyle name="Normal 2 9 7" xfId="460"/>
    <cellStyle name="Normal 2 9 7 2" xfId="461"/>
    <cellStyle name="Normal 2 9 8" xfId="462"/>
    <cellStyle name="Normal 2 9 8 2" xfId="463"/>
    <cellStyle name="Normal 2 9 9" xfId="464"/>
    <cellStyle name="Normal 20" xfId="465"/>
    <cellStyle name="Normal 20 2" xfId="466"/>
    <cellStyle name="Normal 20 3" xfId="467"/>
    <cellStyle name="Normal 21" xfId="468"/>
    <cellStyle name="Normal 21 2" xfId="469"/>
    <cellStyle name="Normal 21 2 2" xfId="470"/>
    <cellStyle name="Normal 21 2 3" xfId="471"/>
    <cellStyle name="Normal 21 3" xfId="472"/>
    <cellStyle name="Normal 21 4" xfId="473"/>
    <cellStyle name="Normal 21 5" xfId="474"/>
    <cellStyle name="Normal 22" xfId="475"/>
    <cellStyle name="Normal 22 2" xfId="476"/>
    <cellStyle name="Normal 22 3" xfId="477"/>
    <cellStyle name="Normal 23" xfId="478"/>
    <cellStyle name="Normal 23 2" xfId="479"/>
    <cellStyle name="Normal 23 3" xfId="480"/>
    <cellStyle name="Normal 24" xfId="481"/>
    <cellStyle name="Normal 24 2" xfId="482"/>
    <cellStyle name="Normal 24 3" xfId="483"/>
    <cellStyle name="Normal 25" xfId="484"/>
    <cellStyle name="Normal 25 2" xfId="485"/>
    <cellStyle name="Normal 25 3" xfId="486"/>
    <cellStyle name="Normal 26" xfId="487"/>
    <cellStyle name="Normal 27" xfId="488"/>
    <cellStyle name="Normal 27 2" xfId="489"/>
    <cellStyle name="Normal 3" xfId="490"/>
    <cellStyle name="Normal 3 10" xfId="491"/>
    <cellStyle name="Normal 3 10 2" xfId="492"/>
    <cellStyle name="Normal 3 11" xfId="493"/>
    <cellStyle name="Normal 3 12" xfId="494"/>
    <cellStyle name="Normal 3 13" xfId="495"/>
    <cellStyle name="Normal 3 14" xfId="496"/>
    <cellStyle name="Normal 3 15" xfId="497"/>
    <cellStyle name="Normal 3 2" xfId="498"/>
    <cellStyle name="Normal 3 2 2" xfId="499"/>
    <cellStyle name="Normal 3 2 2 2" xfId="500"/>
    <cellStyle name="Normal 3 2 2 3" xfId="501"/>
    <cellStyle name="Normal 3 2 3" xfId="502"/>
    <cellStyle name="Normal 3 2 4" xfId="503"/>
    <cellStyle name="Normal 3 2 5" xfId="504"/>
    <cellStyle name="Normal 3 3" xfId="505"/>
    <cellStyle name="Normal 3 3 2" xfId="506"/>
    <cellStyle name="Normal 3 3 2 2" xfId="507"/>
    <cellStyle name="Normal 3 3 2 3" xfId="508"/>
    <cellStyle name="Normal 3 3 3" xfId="509"/>
    <cellStyle name="Normal 3 3 4" xfId="510"/>
    <cellStyle name="Normal 3 4" xfId="511"/>
    <cellStyle name="Normal 3 5" xfId="512"/>
    <cellStyle name="Normal 3 6" xfId="513"/>
    <cellStyle name="Normal 3 7" xfId="514"/>
    <cellStyle name="Normal 3 7 2" xfId="515"/>
    <cellStyle name="Normal 3 7 3" xfId="516"/>
    <cellStyle name="Normal 3 8" xfId="517"/>
    <cellStyle name="Normal 3 8 2" xfId="518"/>
    <cellStyle name="Normal 3 8 3" xfId="519"/>
    <cellStyle name="Normal 3 9" xfId="520"/>
    <cellStyle name="Normal 3 9 2" xfId="521"/>
    <cellStyle name="Normal 3 9 3" xfId="522"/>
    <cellStyle name="Normal 4" xfId="523"/>
    <cellStyle name="Normal 4 10" xfId="524"/>
    <cellStyle name="Normal 4 11" xfId="525"/>
    <cellStyle name="Normal 4 12" xfId="526"/>
    <cellStyle name="Normal 4 13" xfId="527"/>
    <cellStyle name="Normal 4 2" xfId="528"/>
    <cellStyle name="Normal 4 2 2" xfId="529"/>
    <cellStyle name="Normal 4 2 2 2" xfId="530"/>
    <cellStyle name="Normal 4 2 2 3" xfId="531"/>
    <cellStyle name="Normal 4 2 2 3 2" xfId="532"/>
    <cellStyle name="Normal 4 2 3" xfId="533"/>
    <cellStyle name="Normal 4 2 4" xfId="534"/>
    <cellStyle name="Normal 4 2 5" xfId="535"/>
    <cellStyle name="Normal 4 3" xfId="536"/>
    <cellStyle name="Normal 4 3 2" xfId="537"/>
    <cellStyle name="Normal 4 3 3" xfId="538"/>
    <cellStyle name="Normal 4 4" xfId="539"/>
    <cellStyle name="Normal 4 5" xfId="540"/>
    <cellStyle name="Normal 4 5 2" xfId="541"/>
    <cellStyle name="Normal 4 5 3" xfId="542"/>
    <cellStyle name="Normal 4 6" xfId="543"/>
    <cellStyle name="Normal 4 6 2" xfId="544"/>
    <cellStyle name="Normal 4 6 3" xfId="545"/>
    <cellStyle name="Normal 4 7" xfId="546"/>
    <cellStyle name="Normal 4 8" xfId="547"/>
    <cellStyle name="Normal 4 9" xfId="548"/>
    <cellStyle name="Normal 5" xfId="549"/>
    <cellStyle name="Normal 5 2" xfId="550"/>
    <cellStyle name="Normal 5 3" xfId="551"/>
    <cellStyle name="Normal 5 3 2" xfId="552"/>
    <cellStyle name="Normal 5 3 3" xfId="553"/>
    <cellStyle name="Normal 5 4" xfId="554"/>
    <cellStyle name="Normal 5 5" xfId="555"/>
    <cellStyle name="Normal 5 5 2" xfId="556"/>
    <cellStyle name="Normal 5 5 3" xfId="557"/>
    <cellStyle name="Normal 5 6" xfId="558"/>
    <cellStyle name="Normal 6" xfId="559"/>
    <cellStyle name="Normal 6 2" xfId="560"/>
    <cellStyle name="Normal 6 3" xfId="561"/>
    <cellStyle name="Normal 6 4" xfId="562"/>
    <cellStyle name="Normal 6 5" xfId="563"/>
    <cellStyle name="Normal 7" xfId="564"/>
    <cellStyle name="Normal 7 2" xfId="565"/>
    <cellStyle name="Normal 7 2 2" xfId="566"/>
    <cellStyle name="Normal 7 2 2 2" xfId="567"/>
    <cellStyle name="Normal 7 2 2 3" xfId="568"/>
    <cellStyle name="Normal 7 2 3" xfId="569"/>
    <cellStyle name="Normal 7 2 4" xfId="570"/>
    <cellStyle name="Normal 7 2 4 2" xfId="571"/>
    <cellStyle name="Normal 7 2 4 3" xfId="572"/>
    <cellStyle name="Normal 7 2 5" xfId="573"/>
    <cellStyle name="Normal 7 3" xfId="574"/>
    <cellStyle name="Normal 7 4" xfId="575"/>
    <cellStyle name="Normal 7 4 2" xfId="576"/>
    <cellStyle name="Normal 7 4 3" xfId="577"/>
    <cellStyle name="Normal 7 5" xfId="578"/>
    <cellStyle name="Normal 7 5 2" xfId="579"/>
    <cellStyle name="Normal 7 5 3" xfId="580"/>
    <cellStyle name="Normal 7 5 4" xfId="581"/>
    <cellStyle name="Normal 7 5 5" xfId="582"/>
    <cellStyle name="Normal 7 6" xfId="583"/>
    <cellStyle name="Normal 7 7" xfId="584"/>
    <cellStyle name="Normal 8" xfId="585"/>
    <cellStyle name="Normal 8 2" xfId="586"/>
    <cellStyle name="Normal 8 3" xfId="587"/>
    <cellStyle name="Normal 9" xfId="588"/>
    <cellStyle name="Normal 9 2" xfId="589"/>
    <cellStyle name="Normal 9 2 2" xfId="590"/>
    <cellStyle name="Normal 9 2 3" xfId="591"/>
    <cellStyle name="Normal 9 3" xfId="592"/>
    <cellStyle name="Normal 9 4" xfId="593"/>
    <cellStyle name="Normal 9 5" xfId="594"/>
    <cellStyle name="Normal 9 5 2" xfId="595"/>
    <cellStyle name="Normal 9 5 3" xfId="596"/>
    <cellStyle name="Normal 9 6" xfId="597"/>
    <cellStyle name="Normal 9 6 2" xfId="598"/>
    <cellStyle name="Normal 9 6 3" xfId="599"/>
    <cellStyle name="Normal_debt" xfId="600"/>
    <cellStyle name="Normal_lpform" xfId="601"/>
    <cellStyle name="Note" xfId="602"/>
    <cellStyle name="Output" xfId="603"/>
    <cellStyle name="Percent" xfId="604"/>
    <cellStyle name="Title" xfId="605"/>
    <cellStyle name="Total" xfId="606"/>
    <cellStyle name="Warning Text" xfId="607"/>
  </cellStyles>
  <dxfs count="1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9"/>
  <sheetViews>
    <sheetView tabSelected="1" zoomScale="85" zoomScaleNormal="85" workbookViewId="0" topLeftCell="A1">
      <selection activeCell="G51" sqref="G51"/>
    </sheetView>
  </sheetViews>
  <sheetFormatPr defaultColWidth="8.796875" defaultRowHeight="15"/>
  <cols>
    <col min="1" max="1" width="76.3984375" style="61" customWidth="1"/>
    <col min="2" max="16384" width="8.8984375" style="61" customWidth="1"/>
  </cols>
  <sheetData>
    <row r="1" ht="15.75">
      <c r="A1" s="60" t="s">
        <v>980</v>
      </c>
    </row>
    <row r="3" ht="34.5" customHeight="1">
      <c r="A3" s="562" t="s">
        <v>1021</v>
      </c>
    </row>
    <row r="4" ht="15.75">
      <c r="A4" s="62"/>
    </row>
    <row r="5" ht="85.5" customHeight="1">
      <c r="A5" s="63" t="s">
        <v>896</v>
      </c>
    </row>
    <row r="6" ht="15.75">
      <c r="A6" s="63"/>
    </row>
    <row r="7" ht="47.25">
      <c r="A7" s="63" t="s">
        <v>897</v>
      </c>
    </row>
    <row r="9" ht="15.75">
      <c r="A9" s="60" t="s">
        <v>55</v>
      </c>
    </row>
    <row r="10" ht="15.75">
      <c r="A10" s="60"/>
    </row>
    <row r="11" ht="27" customHeight="1">
      <c r="A11" s="62" t="s">
        <v>56</v>
      </c>
    </row>
    <row r="12" ht="51.75" customHeight="1" hidden="1"/>
    <row r="13" ht="12" customHeight="1"/>
    <row r="14" ht="42.75" customHeight="1">
      <c r="A14" s="64" t="s">
        <v>634</v>
      </c>
    </row>
    <row r="15" ht="14.25" customHeight="1">
      <c r="A15" s="64"/>
    </row>
    <row r="18" ht="15.75">
      <c r="A18" s="60" t="s">
        <v>112</v>
      </c>
    </row>
    <row r="20" ht="34.5" customHeight="1">
      <c r="A20" s="63" t="s">
        <v>10</v>
      </c>
    </row>
    <row r="21" ht="18" customHeight="1">
      <c r="A21" s="63"/>
    </row>
    <row r="22" ht="23.25" customHeight="1">
      <c r="A22" s="65" t="s">
        <v>11</v>
      </c>
    </row>
    <row r="23" ht="23.25" customHeight="1">
      <c r="A23" s="66"/>
    </row>
    <row r="24" ht="15.75">
      <c r="A24" s="67" t="s">
        <v>15</v>
      </c>
    </row>
    <row r="25" ht="15.75">
      <c r="A25" s="68"/>
    </row>
    <row r="26" ht="85.5" customHeight="1">
      <c r="A26" s="69" t="s">
        <v>35</v>
      </c>
    </row>
    <row r="27" ht="19.5" customHeight="1">
      <c r="A27" s="63"/>
    </row>
    <row r="28" ht="19.5" customHeight="1">
      <c r="A28" s="70" t="s">
        <v>16</v>
      </c>
    </row>
    <row r="30" ht="15.75">
      <c r="A30" s="71" t="s">
        <v>57</v>
      </c>
    </row>
    <row r="32" ht="15.75">
      <c r="A32" s="63" t="s">
        <v>58</v>
      </c>
    </row>
    <row r="34" ht="15.75">
      <c r="A34" s="60" t="s">
        <v>113</v>
      </c>
    </row>
    <row r="36" ht="81" customHeight="1">
      <c r="A36" s="63" t="s">
        <v>743</v>
      </c>
    </row>
    <row r="37" ht="38.25" customHeight="1">
      <c r="A37" s="63" t="s">
        <v>36</v>
      </c>
    </row>
    <row r="38" ht="51" customHeight="1">
      <c r="A38" s="72" t="s">
        <v>12</v>
      </c>
    </row>
    <row r="39" ht="11.25" customHeight="1"/>
    <row r="40" ht="81" customHeight="1">
      <c r="A40" s="63" t="s">
        <v>632</v>
      </c>
    </row>
    <row r="41" ht="66" customHeight="1">
      <c r="A41" s="63" t="s">
        <v>87</v>
      </c>
    </row>
    <row r="42" ht="105" customHeight="1">
      <c r="A42" s="63" t="s">
        <v>91</v>
      </c>
    </row>
    <row r="43" ht="116.25" customHeight="1">
      <c r="A43" s="473" t="s">
        <v>631</v>
      </c>
    </row>
    <row r="44" ht="12.75" customHeight="1"/>
    <row r="45" ht="73.5" customHeight="1">
      <c r="A45" s="703" t="s">
        <v>898</v>
      </c>
    </row>
    <row r="46" ht="69.75" customHeight="1">
      <c r="A46" s="366" t="s">
        <v>577</v>
      </c>
    </row>
    <row r="47" ht="64.5" customHeight="1">
      <c r="A47" s="704" t="s">
        <v>899</v>
      </c>
    </row>
    <row r="48" ht="12.75" customHeight="1"/>
    <row r="49" ht="67.5" customHeight="1">
      <c r="A49" s="63" t="s">
        <v>578</v>
      </c>
    </row>
    <row r="50" ht="37.5" customHeight="1">
      <c r="A50" s="63" t="s">
        <v>579</v>
      </c>
    </row>
    <row r="51" ht="13.5" customHeight="1">
      <c r="A51" s="63"/>
    </row>
    <row r="52" ht="86.25" customHeight="1">
      <c r="A52" s="63" t="s">
        <v>946</v>
      </c>
    </row>
    <row r="53" ht="86.25" customHeight="1">
      <c r="A53" s="473" t="s">
        <v>633</v>
      </c>
    </row>
    <row r="54" ht="13.5" customHeight="1">
      <c r="A54" s="63"/>
    </row>
    <row r="55" ht="73.5" customHeight="1">
      <c r="A55" s="63" t="s">
        <v>947</v>
      </c>
    </row>
    <row r="56" ht="153.75" customHeight="1">
      <c r="A56" s="63" t="s">
        <v>948</v>
      </c>
    </row>
    <row r="57" ht="35.25" customHeight="1">
      <c r="A57" s="63" t="s">
        <v>949</v>
      </c>
    </row>
    <row r="58" ht="15.75">
      <c r="A58" s="63"/>
    </row>
    <row r="59" ht="82.5" customHeight="1">
      <c r="A59" s="63" t="s">
        <v>900</v>
      </c>
    </row>
    <row r="61" ht="64.5" customHeight="1">
      <c r="A61" s="63" t="s">
        <v>580</v>
      </c>
    </row>
    <row r="62" ht="42.75" customHeight="1">
      <c r="A62" s="63" t="s">
        <v>597</v>
      </c>
    </row>
    <row r="63" ht="88.5" customHeight="1">
      <c r="A63" s="63" t="s">
        <v>635</v>
      </c>
    </row>
    <row r="64" ht="39" customHeight="1">
      <c r="A64" s="341" t="s">
        <v>598</v>
      </c>
    </row>
    <row r="66" s="63" customFormat="1" ht="58.5" customHeight="1">
      <c r="A66" s="63" t="s">
        <v>581</v>
      </c>
    </row>
    <row r="68" ht="69" customHeight="1">
      <c r="A68" s="63" t="s">
        <v>582</v>
      </c>
    </row>
    <row r="69" ht="14.25" customHeight="1">
      <c r="A69" s="63"/>
    </row>
    <row r="70" ht="156" customHeight="1">
      <c r="A70" s="63" t="s">
        <v>901</v>
      </c>
    </row>
    <row r="71" ht="11.25" customHeight="1"/>
    <row r="72" ht="85.5" customHeight="1">
      <c r="A72" s="63" t="s">
        <v>902</v>
      </c>
    </row>
    <row r="73" ht="85.5" customHeight="1">
      <c r="A73" s="63" t="s">
        <v>903</v>
      </c>
    </row>
    <row r="74" ht="101.25" customHeight="1">
      <c r="A74" s="473" t="s">
        <v>904</v>
      </c>
    </row>
    <row r="75" ht="87" customHeight="1">
      <c r="A75" s="473" t="s">
        <v>905</v>
      </c>
    </row>
    <row r="76" ht="85.5" customHeight="1">
      <c r="A76" s="473" t="s">
        <v>906</v>
      </c>
    </row>
    <row r="77" ht="120" customHeight="1">
      <c r="A77" s="63" t="s">
        <v>907</v>
      </c>
    </row>
    <row r="78" ht="104.25" customHeight="1">
      <c r="A78" s="63" t="s">
        <v>908</v>
      </c>
    </row>
    <row r="79" ht="122.25" customHeight="1">
      <c r="A79" s="63" t="s">
        <v>909</v>
      </c>
    </row>
    <row r="80" ht="140.25" customHeight="1">
      <c r="A80" s="63" t="s">
        <v>917</v>
      </c>
    </row>
    <row r="81" ht="74.25" customHeight="1">
      <c r="A81" s="63" t="s">
        <v>910</v>
      </c>
    </row>
    <row r="82" ht="106.5" customHeight="1">
      <c r="A82" s="63" t="s">
        <v>911</v>
      </c>
    </row>
    <row r="83" ht="58.5" customHeight="1">
      <c r="A83" s="63" t="s">
        <v>912</v>
      </c>
    </row>
    <row r="84" ht="114.75" customHeight="1">
      <c r="A84" s="63" t="s">
        <v>913</v>
      </c>
    </row>
    <row r="85" ht="109.5" customHeight="1">
      <c r="A85" s="342" t="s">
        <v>914</v>
      </c>
    </row>
    <row r="86" ht="105.75" customHeight="1">
      <c r="A86" s="343" t="s">
        <v>915</v>
      </c>
    </row>
    <row r="87" ht="70.5" customHeight="1">
      <c r="A87" s="707" t="s">
        <v>916</v>
      </c>
    </row>
    <row r="88" ht="96" customHeight="1">
      <c r="A88" s="707" t="s">
        <v>937</v>
      </c>
    </row>
    <row r="89" ht="17.25" customHeight="1">
      <c r="A89" s="707"/>
    </row>
    <row r="90" ht="54" customHeight="1">
      <c r="A90" s="63" t="s">
        <v>918</v>
      </c>
    </row>
    <row r="91" ht="72" customHeight="1">
      <c r="A91" s="708" t="s">
        <v>919</v>
      </c>
    </row>
    <row r="92" ht="38.25" customHeight="1">
      <c r="A92" s="367" t="s">
        <v>920</v>
      </c>
    </row>
    <row r="93" ht="129" customHeight="1">
      <c r="A93" s="473" t="s">
        <v>921</v>
      </c>
    </row>
    <row r="94" ht="54.75" customHeight="1">
      <c r="A94" s="473" t="s">
        <v>922</v>
      </c>
    </row>
    <row r="95" ht="126.75" customHeight="1">
      <c r="A95" s="473" t="s">
        <v>923</v>
      </c>
    </row>
    <row r="96" ht="147" customHeight="1">
      <c r="A96" s="473" t="s">
        <v>924</v>
      </c>
    </row>
    <row r="97" ht="85.5" customHeight="1">
      <c r="A97" s="709" t="s">
        <v>925</v>
      </c>
    </row>
    <row r="98" ht="82.5" customHeight="1">
      <c r="A98" s="710" t="s">
        <v>926</v>
      </c>
    </row>
    <row r="99" ht="12" customHeight="1"/>
    <row r="100" ht="127.5" customHeight="1">
      <c r="A100" s="63" t="s">
        <v>927</v>
      </c>
    </row>
    <row r="101" ht="117" customHeight="1">
      <c r="A101" s="63" t="s">
        <v>928</v>
      </c>
    </row>
    <row r="102" ht="56.25" customHeight="1">
      <c r="A102" s="63" t="s">
        <v>929</v>
      </c>
    </row>
    <row r="103" ht="26.25" customHeight="1">
      <c r="A103" s="63" t="s">
        <v>930</v>
      </c>
    </row>
    <row r="104" ht="14.25" customHeight="1">
      <c r="A104" s="63"/>
    </row>
    <row r="105" ht="68.25" customHeight="1">
      <c r="A105" s="63" t="s">
        <v>931</v>
      </c>
    </row>
    <row r="107" ht="63.75" customHeight="1">
      <c r="A107" s="473" t="s">
        <v>932</v>
      </c>
    </row>
    <row r="108" ht="94.5">
      <c r="A108" s="473" t="s">
        <v>933</v>
      </c>
    </row>
    <row r="109" ht="123.75" customHeight="1">
      <c r="A109" s="473" t="s">
        <v>934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R119" sqref="R119"/>
    </sheetView>
  </sheetViews>
  <sheetFormatPr defaultColWidth="8.796875" defaultRowHeight="15" customHeight="1"/>
  <cols>
    <col min="1" max="1" width="8.8984375" style="75" customWidth="1"/>
    <col min="2" max="3" width="17.3984375" style="75" customWidth="1"/>
    <col min="4" max="4" width="10.796875" style="75" customWidth="1"/>
    <col min="5" max="5" width="11" style="75" customWidth="1"/>
    <col min="6" max="9" width="10.796875" style="75" customWidth="1"/>
    <col min="10" max="16384" width="8.8984375" style="75" customWidth="1"/>
  </cols>
  <sheetData>
    <row r="1" spans="1:9" ht="15" customHeight="1">
      <c r="A1" s="74"/>
      <c r="B1" s="192">
        <f>inputPrYr!D3</f>
        <v>0</v>
      </c>
      <c r="C1" s="74"/>
      <c r="D1" s="74"/>
      <c r="E1" s="74"/>
      <c r="F1" s="204"/>
      <c r="G1" s="204"/>
      <c r="H1" s="204"/>
      <c r="I1" s="152"/>
    </row>
    <row r="2" spans="1:9" ht="15" customHeight="1">
      <c r="A2" s="74"/>
      <c r="B2" s="74"/>
      <c r="C2" s="74"/>
      <c r="D2" s="74"/>
      <c r="E2" s="74"/>
      <c r="F2" s="74"/>
      <c r="G2" s="446"/>
      <c r="H2" s="446"/>
      <c r="I2" s="152">
        <f>inputPrYr!$C$6</f>
        <v>0</v>
      </c>
    </row>
    <row r="3" spans="1:9" ht="20.25" customHeight="1">
      <c r="A3" s="980" t="s">
        <v>994</v>
      </c>
      <c r="B3" s="981"/>
      <c r="C3" s="981"/>
      <c r="D3" s="981"/>
      <c r="E3" s="981"/>
      <c r="F3" s="981"/>
      <c r="G3" s="981"/>
      <c r="H3" s="981"/>
      <c r="I3" s="981"/>
    </row>
    <row r="4" spans="1:9" ht="15" customHeight="1">
      <c r="A4" s="74"/>
      <c r="B4" s="81"/>
      <c r="C4" s="80"/>
      <c r="D4" s="80"/>
      <c r="E4" s="80"/>
      <c r="F4" s="74"/>
      <c r="G4" s="446"/>
      <c r="H4" s="446"/>
      <c r="I4" s="74"/>
    </row>
    <row r="5" spans="1:9" ht="15" customHeight="1">
      <c r="A5" s="74"/>
      <c r="B5" s="74"/>
      <c r="C5" s="74"/>
      <c r="D5" s="74"/>
      <c r="E5" s="74"/>
      <c r="F5" s="74"/>
      <c r="G5" s="446"/>
      <c r="H5" s="446"/>
      <c r="I5" s="74"/>
    </row>
    <row r="6" spans="1:9" ht="15.75" customHeight="1">
      <c r="A6" s="74"/>
      <c r="B6" s="205" t="s">
        <v>794</v>
      </c>
      <c r="C6" s="786" t="s">
        <v>995</v>
      </c>
      <c r="D6" s="978" t="str">
        <f>CONCATENATE("Allocation for Year ",I1,"")</f>
        <v>Allocation for Year </v>
      </c>
      <c r="E6" s="979"/>
      <c r="F6" s="979"/>
      <c r="G6" s="979"/>
      <c r="H6" s="960"/>
      <c r="I6" s="74"/>
    </row>
    <row r="7" spans="1:9" ht="23.25" customHeight="1">
      <c r="A7" s="74"/>
      <c r="B7" s="206" t="str">
        <f>CONCATENATE("for ",I2-1,"")</f>
        <v>for -1</v>
      </c>
      <c r="C7" s="206" t="str">
        <f>CONCATENATE("Tax Year ",I2-2,"")</f>
        <v>Tax Year -2</v>
      </c>
      <c r="D7" s="168" t="s">
        <v>215</v>
      </c>
      <c r="E7" s="168" t="s">
        <v>214</v>
      </c>
      <c r="F7" s="168" t="s">
        <v>213</v>
      </c>
      <c r="G7" s="785" t="s">
        <v>992</v>
      </c>
      <c r="H7" s="785" t="s">
        <v>993</v>
      </c>
      <c r="I7" s="607"/>
    </row>
    <row r="8" spans="1:9" ht="15" customHeight="1">
      <c r="A8" s="74"/>
      <c r="B8" s="88" t="s">
        <v>116</v>
      </c>
      <c r="C8" s="207" t="str">
        <f>IF((inputPrYr!E22)&gt;0,(inputPrYr!E22),"  ")</f>
        <v>  </v>
      </c>
      <c r="D8" s="207">
        <f>IF(inputPrYr!E22&gt;0,D18-SUM(D9:D15),0)</f>
        <v>0</v>
      </c>
      <c r="E8" s="207">
        <f>IF(inputPrYr!E22=0,0,E20-SUM(E9:E15))</f>
        <v>0</v>
      </c>
      <c r="F8" s="207">
        <f>IF(inputPrYr!E22=0,0,F22-SUM(F9:F15))</f>
        <v>0</v>
      </c>
      <c r="G8" s="207">
        <f>IF(inputPrYr!E22=0,0,G24-SUM(G9:G15))</f>
        <v>0</v>
      </c>
      <c r="H8" s="207">
        <f>IF(inputPrYr!E22=0,0,H26-SUM(H9:H15))</f>
        <v>0</v>
      </c>
      <c r="I8" s="621"/>
    </row>
    <row r="9" spans="1:9" ht="15" customHeight="1">
      <c r="A9" s="74"/>
      <c r="B9" s="88" t="str">
        <f>IF(inputPrYr!B23&gt;" ",inputPrYr!B23," ")</f>
        <v>Debt Service</v>
      </c>
      <c r="C9" s="207" t="str">
        <f>IF((inputPrYr!E23)&gt;0,(inputPrYr!E23),"  ")</f>
        <v>  </v>
      </c>
      <c r="D9" s="207" t="str">
        <f>IF(inputPrYr!$E23&gt;0,ROUND(C9*D$29,0),"  ")</f>
        <v>  </v>
      </c>
      <c r="E9" s="207" t="str">
        <f>IF(inputPrYr!$E23&gt;0,ROUND(+C9*E$31,0),"  ")</f>
        <v>  </v>
      </c>
      <c r="F9" s="207" t="str">
        <f>IF(inputPrYr!E23&gt;0,ROUND(C9*F$33,0),"  ")</f>
        <v>  </v>
      </c>
      <c r="G9" s="207" t="str">
        <f>IF(inputPrYr!E23&gt;0,ROUND(C9*G$35,0),"  ")</f>
        <v>  </v>
      </c>
      <c r="H9" s="207" t="str">
        <f>IF(inputPrYr!E23&gt;0,ROUND(C9*H$37,0),"  ")</f>
        <v>  </v>
      </c>
      <c r="I9" s="621"/>
    </row>
    <row r="10" spans="1:9" ht="15" customHeight="1">
      <c r="A10" s="74"/>
      <c r="B10" s="88" t="str">
        <f>IF(inputPrYr!B24&gt;" ",inputPrYr!B24," ")</f>
        <v>Library</v>
      </c>
      <c r="C10" s="207" t="str">
        <f>IF((inputPrYr!E24)&gt;0,(inputPrYr!E24),"  ")</f>
        <v>  </v>
      </c>
      <c r="D10" s="207" t="str">
        <f>IF(inputPrYr!$E24&gt;0,ROUND(C10*D$29,0),"  ")</f>
        <v>  </v>
      </c>
      <c r="E10" s="207" t="str">
        <f>IF(inputPrYr!$E24&gt;0,ROUND(C10*E$31,0),"  ")</f>
        <v>  </v>
      </c>
      <c r="F10" s="207" t="str">
        <f>IF(inputPrYr!E24&gt;0,ROUND(C10*F$33,0),"  ")</f>
        <v>  </v>
      </c>
      <c r="G10" s="207" t="str">
        <f>IF(inputPrYr!E24&gt;0,ROUND(C10*G$35,0),"  ")</f>
        <v>  </v>
      </c>
      <c r="H10" s="207" t="str">
        <f>IF(inputPrYr!E24&gt;0,ROUND(C10*H$37,0),"  ")</f>
        <v>  </v>
      </c>
      <c r="I10" s="621"/>
    </row>
    <row r="11" spans="1:9" ht="15" customHeight="1">
      <c r="A11" s="74"/>
      <c r="B11" s="109" t="str">
        <f>IF((inputPrYr!$B26&gt;"  "),(inputPrYr!$B26),"  ")</f>
        <v>  </v>
      </c>
      <c r="C11" s="207" t="str">
        <f>IF((inputPrYr!E26)&gt;0,(inputPrYr!E26),"  ")</f>
        <v>  </v>
      </c>
      <c r="D11" s="207" t="str">
        <f>IF(inputPrYr!$E26&gt;0,ROUND(C11*D$29,0),"  ")</f>
        <v>  </v>
      </c>
      <c r="E11" s="207" t="str">
        <f>IF(inputPrYr!$E26&gt;0,ROUND(+C11*E$31,0),"  ")</f>
        <v>  </v>
      </c>
      <c r="F11" s="207" t="str">
        <f>IF(inputPrYr!E26&gt;0,ROUND(C11*F$33,0),"  ")</f>
        <v>  </v>
      </c>
      <c r="G11" s="207" t="str">
        <f>IF(inputPrYr!E26&gt;0,ROUND(C11*G$35,0),"  ")</f>
        <v>  </v>
      </c>
      <c r="H11" s="207" t="str">
        <f>IF(inputPrYr!E26&gt;0,ROUND(C11*H$37,0),"  ")</f>
        <v>  </v>
      </c>
      <c r="I11" s="621"/>
    </row>
    <row r="12" spans="1:9" ht="15" customHeight="1">
      <c r="A12" s="74"/>
      <c r="B12" s="109" t="str">
        <f>IF((inputPrYr!$B27&gt;"  "),(inputPrYr!$B27),"  ")</f>
        <v>  </v>
      </c>
      <c r="C12" s="207" t="str">
        <f>IF((inputPrYr!E27)&gt;0,(inputPrYr!E27),"  ")</f>
        <v>  </v>
      </c>
      <c r="D12" s="207" t="str">
        <f>IF(inputPrYr!$E27&gt;0,ROUND(C12*D$29,0),"  ")</f>
        <v>  </v>
      </c>
      <c r="E12" s="207" t="str">
        <f>IF(inputPrYr!$E27&gt;0,ROUND(+C12*E$31,0),"  ")</f>
        <v>  </v>
      </c>
      <c r="F12" s="207" t="str">
        <f>IF(inputPrYr!E27&gt;0,ROUND(C12*F$33,0),"  ")</f>
        <v>  </v>
      </c>
      <c r="G12" s="207" t="str">
        <f>IF(inputPrYr!E27&gt;0,ROUND(C12*G$35,0),"  ")</f>
        <v>  </v>
      </c>
      <c r="H12" s="207" t="str">
        <f>IF(inputPrYr!E27&gt;0,ROUND(C12*H$37,0),"  ")</f>
        <v>  </v>
      </c>
      <c r="I12" s="621"/>
    </row>
    <row r="13" spans="1:9" ht="15" customHeight="1">
      <c r="A13" s="74"/>
      <c r="B13" s="109" t="str">
        <f>IF((inputPrYr!$B28&gt;"  "),(inputPrYr!$B28),"  ")</f>
        <v>  </v>
      </c>
      <c r="C13" s="207" t="str">
        <f>IF((inputPrYr!E28)&gt;0,(inputPrYr!E28),"  ")</f>
        <v>  </v>
      </c>
      <c r="D13" s="207" t="str">
        <f>IF(inputPrYr!$E28&gt;0,ROUND(C13*D$29,0),"  ")</f>
        <v>  </v>
      </c>
      <c r="E13" s="207" t="str">
        <f>IF(inputPrYr!$E28&gt;0,ROUND(+C13*E$31,0),"  ")</f>
        <v>  </v>
      </c>
      <c r="F13" s="207" t="str">
        <f>IF(inputPrYr!E28&gt;0,ROUND(C13*F$33,0),"  ")</f>
        <v>  </v>
      </c>
      <c r="G13" s="207" t="str">
        <f>IF(inputPrYr!E28&gt;0,ROUND(C13*G$35,0),"  ")</f>
        <v>  </v>
      </c>
      <c r="H13" s="207" t="str">
        <f>IF(inputPrYr!E28&gt;0,ROUND(C13*H$37,0),"  ")</f>
        <v>  </v>
      </c>
      <c r="I13" s="621"/>
    </row>
    <row r="14" spans="1:9" ht="15" customHeight="1">
      <c r="A14" s="74"/>
      <c r="B14" s="109" t="str">
        <f>IF((inputPrYr!$B29&gt;"  "),(inputPrYr!$B29),"  ")</f>
        <v>  </v>
      </c>
      <c r="C14" s="207" t="str">
        <f>IF((inputPrYr!E29)&gt;0,(inputPrYr!E29),"  ")</f>
        <v>  </v>
      </c>
      <c r="D14" s="207" t="str">
        <f>IF(inputPrYr!$E29&gt;0,ROUND(C14*D$29,0),"  ")</f>
        <v>  </v>
      </c>
      <c r="E14" s="207" t="str">
        <f>IF(inputPrYr!$E29&gt;0,ROUND(+C14*E$31,0),"  ")</f>
        <v>  </v>
      </c>
      <c r="F14" s="207" t="str">
        <f>IF(inputPrYr!E29&gt;0,ROUND(C14*F$33,0),"  ")</f>
        <v>  </v>
      </c>
      <c r="G14" s="207" t="str">
        <f>IF(inputPrYr!E29&gt;0,ROUND(C14*G$35,0),"  ")</f>
        <v>  </v>
      </c>
      <c r="H14" s="207" t="str">
        <f>IF(inputPrYr!E29&gt;0,ROUND(C14*H$37,0),"  ")</f>
        <v>  </v>
      </c>
      <c r="I14" s="621"/>
    </row>
    <row r="15" spans="1:9" ht="15" customHeight="1">
      <c r="A15" s="74"/>
      <c r="B15" s="109" t="str">
        <f>inputPrYr!B32</f>
        <v>Recreation</v>
      </c>
      <c r="C15" s="207" t="str">
        <f>IF((inputPrYr!E32)&gt;0,(inputPrYr!E32),"  ")</f>
        <v>  </v>
      </c>
      <c r="D15" s="207" t="str">
        <f>IF(inputPrYr!$E32&gt;0,ROUND(C15*D$29,0),"  ")</f>
        <v>  </v>
      </c>
      <c r="E15" s="207" t="str">
        <f>IF(inputPrYr!$E32&gt;0,ROUND(+C15*E$31,0),"  ")</f>
        <v>  </v>
      </c>
      <c r="F15" s="207" t="str">
        <f>IF(inputPrYr!E32&gt;0,ROUND(C15*F$33,0),"  ")</f>
        <v>  </v>
      </c>
      <c r="G15" s="207" t="str">
        <f>IF(inputPrYr!E32&gt;0,ROUND(C15*G$35,0),"  ")</f>
        <v>  </v>
      </c>
      <c r="H15" s="207" t="str">
        <f>IF(inputPrYr!E32&gt;0,ROUND(C15*H$37,0),"  ")</f>
        <v>  </v>
      </c>
      <c r="I15" s="621"/>
    </row>
    <row r="16" spans="1:9" ht="16.5" customHeight="1" thickBot="1">
      <c r="A16" s="74"/>
      <c r="B16" s="89" t="s">
        <v>143</v>
      </c>
      <c r="C16" s="207">
        <f aca="true" t="shared" si="0" ref="C16:H16">SUM(C8:C15)</f>
        <v>0</v>
      </c>
      <c r="D16" s="208">
        <f t="shared" si="0"/>
        <v>0</v>
      </c>
      <c r="E16" s="208">
        <f t="shared" si="0"/>
        <v>0</v>
      </c>
      <c r="F16" s="208">
        <f t="shared" si="0"/>
        <v>0</v>
      </c>
      <c r="G16" s="208">
        <f t="shared" si="0"/>
        <v>0</v>
      </c>
      <c r="H16" s="208">
        <f t="shared" si="0"/>
        <v>0</v>
      </c>
      <c r="I16" s="621"/>
    </row>
    <row r="17" spans="1:9" ht="15" customHeight="1" thickTop="1">
      <c r="A17" s="74"/>
      <c r="B17" s="74"/>
      <c r="C17" s="74"/>
      <c r="D17" s="74"/>
      <c r="E17" s="74"/>
      <c r="F17" s="74"/>
      <c r="G17" s="446"/>
      <c r="H17" s="446"/>
      <c r="I17" s="74"/>
    </row>
    <row r="18" spans="1:9" ht="15" customHeight="1">
      <c r="A18" s="74"/>
      <c r="B18" s="781" t="s">
        <v>996</v>
      </c>
      <c r="C18" s="209"/>
      <c r="D18" s="197">
        <f>(inputOth!E37)</f>
        <v>0</v>
      </c>
      <c r="E18" s="209"/>
      <c r="F18" s="74"/>
      <c r="G18" s="446"/>
      <c r="H18" s="446"/>
      <c r="I18" s="74"/>
    </row>
    <row r="19" spans="1:9" ht="15" customHeight="1">
      <c r="A19" s="74"/>
      <c r="B19" s="74"/>
      <c r="C19" s="74"/>
      <c r="D19" s="74"/>
      <c r="E19" s="74"/>
      <c r="F19" s="74"/>
      <c r="G19" s="446"/>
      <c r="H19" s="446"/>
      <c r="I19" s="74"/>
    </row>
    <row r="20" spans="1:9" ht="15" customHeight="1">
      <c r="A20" s="74"/>
      <c r="B20" s="781" t="s">
        <v>997</v>
      </c>
      <c r="C20" s="74"/>
      <c r="D20" s="74"/>
      <c r="E20" s="197">
        <f>(inputOth!E38)</f>
        <v>0</v>
      </c>
      <c r="F20" s="74"/>
      <c r="G20" s="446"/>
      <c r="H20" s="446"/>
      <c r="I20" s="74"/>
    </row>
    <row r="21" spans="1:9" ht="15" customHeight="1">
      <c r="A21" s="74"/>
      <c r="B21" s="74"/>
      <c r="C21" s="74"/>
      <c r="D21" s="74"/>
      <c r="E21" s="74"/>
      <c r="F21" s="74"/>
      <c r="G21" s="446"/>
      <c r="H21" s="446"/>
      <c r="I21" s="74"/>
    </row>
    <row r="22" spans="1:9" ht="15" customHeight="1">
      <c r="A22" s="74"/>
      <c r="B22" s="781" t="s">
        <v>998</v>
      </c>
      <c r="C22" s="74"/>
      <c r="D22" s="74"/>
      <c r="E22" s="74"/>
      <c r="F22" s="197">
        <f>inputOth!E39</f>
        <v>0</v>
      </c>
      <c r="G22" s="198"/>
      <c r="H22" s="198"/>
      <c r="I22" s="74"/>
    </row>
    <row r="23" spans="1:9" ht="15" customHeight="1">
      <c r="A23" s="446"/>
      <c r="B23" s="77"/>
      <c r="C23" s="446"/>
      <c r="D23" s="446"/>
      <c r="E23" s="446"/>
      <c r="F23" s="198"/>
      <c r="G23" s="198"/>
      <c r="H23" s="198"/>
      <c r="I23" s="446"/>
    </row>
    <row r="24" spans="1:9" ht="15" customHeight="1">
      <c r="A24" s="446"/>
      <c r="B24" s="787" t="s">
        <v>999</v>
      </c>
      <c r="C24" s="446"/>
      <c r="D24" s="446"/>
      <c r="E24" s="446"/>
      <c r="F24" s="198"/>
      <c r="G24" s="197">
        <f>inputOth!E40</f>
        <v>0</v>
      </c>
      <c r="H24" s="198"/>
      <c r="I24" s="446"/>
    </row>
    <row r="25" spans="1:9" ht="15" customHeight="1">
      <c r="A25" s="446"/>
      <c r="B25" s="77"/>
      <c r="C25" s="446"/>
      <c r="D25" s="446"/>
      <c r="E25" s="446"/>
      <c r="F25" s="198"/>
      <c r="G25" s="198"/>
      <c r="H25" s="198"/>
      <c r="I25" s="446"/>
    </row>
    <row r="26" spans="1:9" ht="15" customHeight="1">
      <c r="A26" s="446"/>
      <c r="B26" s="788" t="s">
        <v>1000</v>
      </c>
      <c r="C26" s="446"/>
      <c r="D26" s="446"/>
      <c r="E26" s="446"/>
      <c r="F26" s="198"/>
      <c r="G26" s="198"/>
      <c r="H26" s="197">
        <f>inputOth!E41</f>
        <v>0</v>
      </c>
      <c r="I26" s="446"/>
    </row>
    <row r="27" spans="1:9" ht="15" customHeight="1">
      <c r="A27" s="74"/>
      <c r="B27" s="74"/>
      <c r="C27" s="74"/>
      <c r="D27" s="74"/>
      <c r="E27" s="74"/>
      <c r="F27" s="74"/>
      <c r="G27" s="446"/>
      <c r="H27" s="446"/>
      <c r="I27" s="74"/>
    </row>
    <row r="28" spans="1:9" ht="15" customHeight="1">
      <c r="A28" s="74"/>
      <c r="B28" s="74"/>
      <c r="C28" s="74"/>
      <c r="D28" s="74"/>
      <c r="E28" s="74"/>
      <c r="F28" s="74"/>
      <c r="G28" s="446"/>
      <c r="H28" s="446"/>
      <c r="I28" s="74"/>
    </row>
    <row r="29" spans="1:9" ht="15" customHeight="1">
      <c r="A29" s="74"/>
      <c r="B29" s="77" t="s">
        <v>144</v>
      </c>
      <c r="C29" s="74"/>
      <c r="D29" s="201">
        <f>IF(C16=0,0,D18/C16)</f>
        <v>0</v>
      </c>
      <c r="E29" s="74"/>
      <c r="F29" s="74"/>
      <c r="G29" s="446"/>
      <c r="H29" s="446"/>
      <c r="I29" s="74"/>
    </row>
    <row r="30" spans="1:9" ht="15" customHeight="1">
      <c r="A30" s="74"/>
      <c r="B30" s="74"/>
      <c r="C30" s="74"/>
      <c r="D30" s="74"/>
      <c r="E30" s="74"/>
      <c r="F30" s="74"/>
      <c r="G30" s="446"/>
      <c r="H30" s="446"/>
      <c r="I30" s="74"/>
    </row>
    <row r="31" spans="1:9" ht="15" customHeight="1">
      <c r="A31" s="74"/>
      <c r="B31" s="116"/>
      <c r="C31" s="77" t="s">
        <v>145</v>
      </c>
      <c r="D31" s="74"/>
      <c r="E31" s="201">
        <f>IF(C16=0,0,E20/C16)</f>
        <v>0</v>
      </c>
      <c r="F31" s="74"/>
      <c r="G31" s="446"/>
      <c r="H31" s="446"/>
      <c r="I31" s="74"/>
    </row>
    <row r="32" spans="1:9" ht="15" customHeight="1">
      <c r="A32" s="74"/>
      <c r="B32" s="74"/>
      <c r="C32" s="74"/>
      <c r="D32" s="74"/>
      <c r="E32" s="74"/>
      <c r="F32" s="74"/>
      <c r="G32" s="446"/>
      <c r="H32" s="446"/>
      <c r="I32" s="74"/>
    </row>
    <row r="33" spans="1:9" ht="15" customHeight="1">
      <c r="A33" s="74"/>
      <c r="B33" s="116"/>
      <c r="C33" s="74"/>
      <c r="D33" s="74" t="s">
        <v>212</v>
      </c>
      <c r="E33" s="74"/>
      <c r="F33" s="201">
        <f>IF(C16=0,0,F22/C16)</f>
        <v>0</v>
      </c>
      <c r="G33" s="783"/>
      <c r="H33" s="783"/>
      <c r="I33" s="74"/>
    </row>
    <row r="34" spans="1:9" ht="15" customHeight="1">
      <c r="A34" s="446"/>
      <c r="B34" s="116"/>
      <c r="C34" s="446"/>
      <c r="D34" s="446"/>
      <c r="E34" s="446"/>
      <c r="F34" s="783"/>
      <c r="G34" s="783"/>
      <c r="H34" s="783"/>
      <c r="I34" s="446"/>
    </row>
    <row r="35" spans="1:9" ht="15" customHeight="1">
      <c r="A35" s="446"/>
      <c r="B35" s="116"/>
      <c r="C35" s="446"/>
      <c r="D35" s="446"/>
      <c r="E35" s="789" t="s">
        <v>1001</v>
      </c>
      <c r="F35" s="783"/>
      <c r="G35" s="201">
        <f>IF(C16=0,0,G24/C16)</f>
        <v>0</v>
      </c>
      <c r="H35" s="783"/>
      <c r="I35" s="446"/>
    </row>
    <row r="36" spans="1:9" ht="15" customHeight="1">
      <c r="A36" s="446"/>
      <c r="B36" s="116"/>
      <c r="C36" s="446"/>
      <c r="D36" s="446"/>
      <c r="E36" s="446"/>
      <c r="F36" s="783"/>
      <c r="G36" s="783"/>
      <c r="H36" s="783"/>
      <c r="I36" s="446"/>
    </row>
    <row r="37" spans="1:9" ht="15" customHeight="1">
      <c r="A37" s="446"/>
      <c r="B37" s="116"/>
      <c r="C37" s="446"/>
      <c r="D37" s="446"/>
      <c r="E37" s="446"/>
      <c r="F37" s="790" t="s">
        <v>1002</v>
      </c>
      <c r="G37" s="783"/>
      <c r="H37" s="201">
        <f>IF(C16=0,0,H26/C16)</f>
        <v>0</v>
      </c>
      <c r="I37" s="446"/>
    </row>
    <row r="38" spans="1:9" ht="15" customHeight="1">
      <c r="A38" s="74"/>
      <c r="B38" s="116"/>
      <c r="C38" s="116"/>
      <c r="D38" s="116"/>
      <c r="E38" s="116"/>
      <c r="F38" s="116"/>
      <c r="G38" s="116"/>
      <c r="H38" s="116"/>
      <c r="I38" s="116"/>
    </row>
    <row r="39" spans="1:9" ht="15" customHeight="1">
      <c r="A39" s="74"/>
      <c r="B39" s="116"/>
      <c r="C39" s="116"/>
      <c r="D39" s="116"/>
      <c r="E39" s="116"/>
      <c r="F39" s="116"/>
      <c r="G39" s="116"/>
      <c r="H39" s="116"/>
      <c r="I39" s="116"/>
    </row>
    <row r="43" ht="16.5" customHeight="1"/>
    <row r="44" ht="15.75" customHeight="1"/>
    <row r="45" s="210" customFormat="1" ht="15.75" customHeight="1"/>
    <row r="46" ht="18.75" customHeight="1"/>
    <row r="52" ht="17.25" customHeight="1"/>
  </sheetData>
  <sheetProtection sheet="1"/>
  <mergeCells count="2">
    <mergeCell ref="D6:H6"/>
    <mergeCell ref="A3:I3"/>
  </mergeCells>
  <printOptions/>
  <pageMargins left="0.5" right="0.5" top="0.5" bottom="0.5" header="0.25" footer="0.5"/>
  <pageSetup blackAndWhite="1" fitToHeight="1" fitToWidth="1" horizontalDpi="120" verticalDpi="120" orientation="portrait" scale="68" r:id="rId1"/>
  <headerFooter alignWithMargins="0">
    <oddHeader>&amp;RState of Kansas
City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Q80" sqref="Q80"/>
    </sheetView>
  </sheetViews>
  <sheetFormatPr defaultColWidth="8.796875" defaultRowHeight="15"/>
  <cols>
    <col min="1" max="2" width="17.796875" style="122" customWidth="1"/>
    <col min="3" max="6" width="12.796875" style="122" customWidth="1"/>
    <col min="7" max="16384" width="8.8984375" style="122" customWidth="1"/>
  </cols>
  <sheetData>
    <row r="1" spans="1:6" ht="15.75">
      <c r="A1" s="192">
        <f>inputPrYr!D3</f>
        <v>0</v>
      </c>
      <c r="B1" s="74"/>
      <c r="C1" s="74"/>
      <c r="D1" s="74"/>
      <c r="E1" s="74"/>
      <c r="F1" s="74">
        <f>inputPrYr!C6</f>
        <v>0</v>
      </c>
    </row>
    <row r="2" spans="1:6" ht="15.75">
      <c r="A2" s="74"/>
      <c r="B2" s="74"/>
      <c r="C2" s="74"/>
      <c r="D2" s="74"/>
      <c r="E2" s="74"/>
      <c r="F2" s="74"/>
    </row>
    <row r="3" spans="1:6" ht="15.75">
      <c r="A3" s="970" t="s">
        <v>260</v>
      </c>
      <c r="B3" s="970"/>
      <c r="C3" s="970"/>
      <c r="D3" s="970"/>
      <c r="E3" s="970"/>
      <c r="F3" s="970"/>
    </row>
    <row r="4" spans="1:6" ht="15.75">
      <c r="A4" s="211"/>
      <c r="B4" s="211"/>
      <c r="C4" s="211"/>
      <c r="D4" s="211"/>
      <c r="E4" s="211"/>
      <c r="F4" s="211"/>
    </row>
    <row r="5" spans="1:6" ht="15.75">
      <c r="A5" s="212" t="s">
        <v>593</v>
      </c>
      <c r="B5" s="212" t="s">
        <v>595</v>
      </c>
      <c r="C5" s="212" t="s">
        <v>162</v>
      </c>
      <c r="D5" s="212" t="s">
        <v>270</v>
      </c>
      <c r="E5" s="212" t="s">
        <v>271</v>
      </c>
      <c r="F5" s="212" t="s">
        <v>284</v>
      </c>
    </row>
    <row r="6" spans="1:6" ht="15.75">
      <c r="A6" s="213" t="s">
        <v>592</v>
      </c>
      <c r="B6" s="213" t="s">
        <v>594</v>
      </c>
      <c r="C6" s="213" t="s">
        <v>283</v>
      </c>
      <c r="D6" s="213" t="s">
        <v>283</v>
      </c>
      <c r="E6" s="213" t="s">
        <v>283</v>
      </c>
      <c r="F6" s="213" t="s">
        <v>272</v>
      </c>
    </row>
    <row r="7" spans="1:6" ht="15.75">
      <c r="A7" s="214" t="s">
        <v>281</v>
      </c>
      <c r="B7" s="214" t="s">
        <v>282</v>
      </c>
      <c r="C7" s="215">
        <f>F1-2</f>
        <v>-2</v>
      </c>
      <c r="D7" s="215">
        <f>F1-1</f>
        <v>-1</v>
      </c>
      <c r="E7" s="215">
        <f>F1</f>
        <v>0</v>
      </c>
      <c r="F7" s="214" t="s">
        <v>273</v>
      </c>
    </row>
    <row r="8" spans="1:6" ht="15.75">
      <c r="A8" s="216"/>
      <c r="B8" s="216"/>
      <c r="C8" s="217"/>
      <c r="D8" s="217"/>
      <c r="E8" s="217"/>
      <c r="F8" s="216"/>
    </row>
    <row r="9" spans="1:6" ht="15.75">
      <c r="A9" s="218"/>
      <c r="B9" s="218"/>
      <c r="C9" s="219"/>
      <c r="D9" s="219"/>
      <c r="E9" s="219"/>
      <c r="F9" s="218"/>
    </row>
    <row r="10" spans="1:6" ht="15.75">
      <c r="A10" s="218"/>
      <c r="B10" s="218"/>
      <c r="C10" s="219"/>
      <c r="D10" s="219"/>
      <c r="E10" s="219"/>
      <c r="F10" s="218"/>
    </row>
    <row r="11" spans="1:6" ht="15.75">
      <c r="A11" s="218"/>
      <c r="B11" s="218"/>
      <c r="C11" s="219"/>
      <c r="D11" s="219"/>
      <c r="E11" s="219"/>
      <c r="F11" s="218"/>
    </row>
    <row r="12" spans="1:6" ht="15.75">
      <c r="A12" s="218"/>
      <c r="B12" s="218"/>
      <c r="C12" s="219"/>
      <c r="D12" s="219"/>
      <c r="E12" s="219"/>
      <c r="F12" s="218"/>
    </row>
    <row r="13" spans="1:6" ht="15.75">
      <c r="A13" s="218"/>
      <c r="B13" s="218"/>
      <c r="C13" s="219"/>
      <c r="D13" s="219"/>
      <c r="E13" s="219"/>
      <c r="F13" s="218"/>
    </row>
    <row r="14" spans="1:6" ht="15.75">
      <c r="A14" s="218"/>
      <c r="B14" s="218"/>
      <c r="C14" s="219"/>
      <c r="D14" s="219"/>
      <c r="E14" s="219"/>
      <c r="F14" s="218"/>
    </row>
    <row r="15" spans="1:6" ht="15.75">
      <c r="A15" s="218"/>
      <c r="B15" s="218"/>
      <c r="C15" s="219"/>
      <c r="D15" s="219"/>
      <c r="E15" s="219"/>
      <c r="F15" s="218"/>
    </row>
    <row r="16" spans="1:6" ht="15.75">
      <c r="A16" s="218"/>
      <c r="B16" s="218"/>
      <c r="C16" s="219"/>
      <c r="D16" s="219"/>
      <c r="E16" s="219"/>
      <c r="F16" s="218"/>
    </row>
    <row r="17" spans="1:6" ht="15.75">
      <c r="A17" s="218"/>
      <c r="B17" s="218"/>
      <c r="C17" s="219"/>
      <c r="D17" s="219"/>
      <c r="E17" s="219"/>
      <c r="F17" s="218"/>
    </row>
    <row r="18" spans="1:6" ht="15.75">
      <c r="A18" s="218"/>
      <c r="B18" s="218"/>
      <c r="C18" s="219"/>
      <c r="D18" s="219"/>
      <c r="E18" s="219"/>
      <c r="F18" s="218"/>
    </row>
    <row r="19" spans="1:6" ht="15.75">
      <c r="A19" s="218"/>
      <c r="B19" s="218"/>
      <c r="C19" s="219"/>
      <c r="D19" s="219"/>
      <c r="E19" s="219"/>
      <c r="F19" s="218"/>
    </row>
    <row r="20" spans="1:6" ht="15.75">
      <c r="A20" s="218"/>
      <c r="B20" s="218"/>
      <c r="C20" s="219"/>
      <c r="D20" s="219"/>
      <c r="E20" s="219"/>
      <c r="F20" s="218"/>
    </row>
    <row r="21" spans="1:6" ht="15.75">
      <c r="A21" s="218"/>
      <c r="B21" s="218"/>
      <c r="C21" s="219"/>
      <c r="D21" s="219"/>
      <c r="E21" s="219"/>
      <c r="F21" s="218"/>
    </row>
    <row r="22" spans="1:6" ht="15.75">
      <c r="A22" s="191"/>
      <c r="B22" s="220" t="s">
        <v>146</v>
      </c>
      <c r="C22" s="221">
        <f>SUM(C8:C21)</f>
        <v>0</v>
      </c>
      <c r="D22" s="221">
        <f>SUM(D8:D21)</f>
        <v>0</v>
      </c>
      <c r="E22" s="221">
        <f>SUM(E8:E21)</f>
        <v>0</v>
      </c>
      <c r="F22" s="191"/>
    </row>
    <row r="23" spans="1:6" ht="15.75">
      <c r="A23" s="191"/>
      <c r="B23" s="222" t="s">
        <v>591</v>
      </c>
      <c r="C23" s="223"/>
      <c r="D23" s="224"/>
      <c r="E23" s="224"/>
      <c r="F23" s="191"/>
    </row>
    <row r="24" spans="1:6" ht="15.75">
      <c r="A24" s="191"/>
      <c r="B24" s="220" t="s">
        <v>107</v>
      </c>
      <c r="C24" s="221">
        <f>C22</f>
        <v>0</v>
      </c>
      <c r="D24" s="221">
        <f>SUM(D22-D23)</f>
        <v>0</v>
      </c>
      <c r="E24" s="221">
        <f>SUM(E22-E23)</f>
        <v>0</v>
      </c>
      <c r="F24" s="191"/>
    </row>
    <row r="25" spans="1:6" ht="15.75">
      <c r="A25" s="116"/>
      <c r="B25" s="116"/>
      <c r="C25" s="116"/>
      <c r="D25" s="116"/>
      <c r="E25" s="116"/>
      <c r="F25" s="116"/>
    </row>
    <row r="26" spans="1:6" ht="15.75">
      <c r="A26" s="116"/>
      <c r="B26" s="116"/>
      <c r="C26" s="116"/>
      <c r="D26" s="116"/>
      <c r="E26" s="116"/>
      <c r="F26" s="116"/>
    </row>
    <row r="27" spans="1:6" ht="15.75">
      <c r="A27" s="375" t="s">
        <v>596</v>
      </c>
      <c r="B27" s="374" t="str">
        <f>CONCATENATE("Adjustments are required only if the transfer is being made in ",D7," and/or ",E7," from a non-budgeted fund.")</f>
        <v>Adjustments are required only if the transfer is being made in -1 and/or 0 from a non-budgeted fund.</v>
      </c>
      <c r="C27" s="116"/>
      <c r="D27" s="116"/>
      <c r="E27" s="116"/>
      <c r="F27" s="116"/>
    </row>
    <row r="28" spans="1:6" ht="15.75">
      <c r="A28" s="116"/>
      <c r="B28" s="116"/>
      <c r="C28" s="116"/>
      <c r="D28" s="116"/>
      <c r="E28" s="116"/>
      <c r="F28" s="116"/>
    </row>
    <row r="29" spans="1:6" ht="15.75">
      <c r="A29" s="116"/>
      <c r="B29" s="116"/>
      <c r="C29" s="116"/>
      <c r="D29" s="116"/>
      <c r="E29" s="116"/>
      <c r="F29" s="11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12.xml><?xml version="1.0" encoding="utf-8"?>
<worksheet xmlns="http://schemas.openxmlformats.org/spreadsheetml/2006/main" xmlns:r="http://schemas.openxmlformats.org/officeDocument/2006/relationships">
  <dimension ref="A1:A68"/>
  <sheetViews>
    <sheetView zoomScalePageLayoutView="0" workbookViewId="0" topLeftCell="A1">
      <selection activeCell="N122" sqref="N122"/>
    </sheetView>
  </sheetViews>
  <sheetFormatPr defaultColWidth="8.796875" defaultRowHeight="15"/>
  <cols>
    <col min="1" max="1" width="70.59765625" style="345" customWidth="1"/>
    <col min="2" max="16384" width="8.8984375" style="345" customWidth="1"/>
  </cols>
  <sheetData>
    <row r="1" ht="18.75">
      <c r="A1" s="346" t="s">
        <v>342</v>
      </c>
    </row>
    <row r="2" ht="18.75">
      <c r="A2" s="346"/>
    </row>
    <row r="3" ht="18.75">
      <c r="A3" s="346"/>
    </row>
    <row r="4" ht="51.75" customHeight="1">
      <c r="A4" s="555" t="s">
        <v>777</v>
      </c>
    </row>
    <row r="5" ht="18.75">
      <c r="A5" s="346"/>
    </row>
    <row r="6" ht="15.75">
      <c r="A6" s="347"/>
    </row>
    <row r="7" ht="47.25">
      <c r="A7" s="348" t="s">
        <v>343</v>
      </c>
    </row>
    <row r="8" ht="15.75">
      <c r="A8" s="347"/>
    </row>
    <row r="9" ht="15.75">
      <c r="A9" s="347"/>
    </row>
    <row r="10" ht="63">
      <c r="A10" s="348" t="s">
        <v>344</v>
      </c>
    </row>
    <row r="11" ht="15.75">
      <c r="A11" s="349"/>
    </row>
    <row r="12" ht="15.75">
      <c r="A12" s="347"/>
    </row>
    <row r="13" ht="47.25">
      <c r="A13" s="348" t="s">
        <v>345</v>
      </c>
    </row>
    <row r="14" ht="15.75">
      <c r="A14" s="349"/>
    </row>
    <row r="15" ht="15.75">
      <c r="A15" s="347"/>
    </row>
    <row r="16" ht="47.25">
      <c r="A16" s="348" t="s">
        <v>346</v>
      </c>
    </row>
    <row r="17" ht="15.75">
      <c r="A17" s="349"/>
    </row>
    <row r="18" ht="15.75">
      <c r="A18" s="349"/>
    </row>
    <row r="19" ht="47.25">
      <c r="A19" s="348" t="s">
        <v>347</v>
      </c>
    </row>
    <row r="20" ht="15.75">
      <c r="A20" s="349"/>
    </row>
    <row r="21" ht="15.75">
      <c r="A21" s="349"/>
    </row>
    <row r="22" ht="47.25">
      <c r="A22" s="348" t="s">
        <v>348</v>
      </c>
    </row>
    <row r="23" ht="15.75">
      <c r="A23" s="349"/>
    </row>
    <row r="24" ht="15.75">
      <c r="A24" s="349"/>
    </row>
    <row r="25" ht="31.5">
      <c r="A25" s="348" t="s">
        <v>349</v>
      </c>
    </row>
    <row r="26" ht="15.75">
      <c r="A26" s="347"/>
    </row>
    <row r="27" ht="15.75">
      <c r="A27" s="347"/>
    </row>
    <row r="28" ht="60">
      <c r="A28" s="350" t="s">
        <v>350</v>
      </c>
    </row>
    <row r="29" ht="15">
      <c r="A29" s="351"/>
    </row>
    <row r="30" ht="15">
      <c r="A30" s="351"/>
    </row>
    <row r="31" ht="47.25">
      <c r="A31" s="348" t="s">
        <v>351</v>
      </c>
    </row>
    <row r="32" ht="15.75">
      <c r="A32" s="347"/>
    </row>
    <row r="33" ht="15.75">
      <c r="A33" s="347"/>
    </row>
    <row r="34" ht="66.75" customHeight="1">
      <c r="A34" s="486" t="s">
        <v>778</v>
      </c>
    </row>
    <row r="35" ht="15.75">
      <c r="A35" s="347"/>
    </row>
    <row r="36" ht="15.75">
      <c r="A36" s="347"/>
    </row>
    <row r="37" ht="63">
      <c r="A37" s="352" t="s">
        <v>352</v>
      </c>
    </row>
    <row r="38" ht="15.75">
      <c r="A38" s="349"/>
    </row>
    <row r="39" ht="15.75">
      <c r="A39" s="347"/>
    </row>
    <row r="40" ht="63">
      <c r="A40" s="348" t="s">
        <v>353</v>
      </c>
    </row>
    <row r="41" ht="15.75">
      <c r="A41" s="349"/>
    </row>
    <row r="42" ht="15.75">
      <c r="A42" s="349"/>
    </row>
    <row r="43" ht="82.5" customHeight="1">
      <c r="A43" s="340" t="s">
        <v>779</v>
      </c>
    </row>
    <row r="44" ht="15.75">
      <c r="A44" s="349"/>
    </row>
    <row r="45" ht="15.75">
      <c r="A45" s="349"/>
    </row>
    <row r="46" ht="69" customHeight="1">
      <c r="A46" s="340" t="s">
        <v>780</v>
      </c>
    </row>
    <row r="47" ht="15.75">
      <c r="A47" s="349"/>
    </row>
    <row r="48" ht="15.75">
      <c r="A48" s="349"/>
    </row>
    <row r="49" ht="69" customHeight="1">
      <c r="A49" s="340" t="s">
        <v>781</v>
      </c>
    </row>
    <row r="50" ht="15.75" customHeight="1">
      <c r="A50" s="349"/>
    </row>
    <row r="51" ht="21.75" customHeight="1">
      <c r="A51" s="349"/>
    </row>
    <row r="52" ht="66" customHeight="1">
      <c r="A52" s="340" t="s">
        <v>782</v>
      </c>
    </row>
    <row r="53" ht="15.75">
      <c r="A53" s="349"/>
    </row>
    <row r="54" ht="15.75">
      <c r="A54" s="349"/>
    </row>
    <row r="55" ht="63">
      <c r="A55" s="348" t="s">
        <v>354</v>
      </c>
    </row>
    <row r="56" ht="15.75">
      <c r="A56" s="349"/>
    </row>
    <row r="57" ht="15.75">
      <c r="A57" s="349"/>
    </row>
    <row r="58" ht="63">
      <c r="A58" s="348" t="s">
        <v>355</v>
      </c>
    </row>
    <row r="59" ht="15.75">
      <c r="A59" s="349"/>
    </row>
    <row r="60" ht="15.75">
      <c r="A60" s="349"/>
    </row>
    <row r="61" ht="47.25">
      <c r="A61" s="348" t="s">
        <v>356</v>
      </c>
    </row>
    <row r="62" ht="15.75">
      <c r="A62" s="349"/>
    </row>
    <row r="63" ht="15.75">
      <c r="A63" s="349"/>
    </row>
    <row r="64" ht="47.25">
      <c r="A64" s="348" t="s">
        <v>357</v>
      </c>
    </row>
    <row r="65" ht="15.75">
      <c r="A65" s="349"/>
    </row>
    <row r="66" ht="15.75">
      <c r="A66" s="349"/>
    </row>
    <row r="67" ht="78.75">
      <c r="A67" s="348" t="s">
        <v>358</v>
      </c>
    </row>
    <row r="68" ht="15">
      <c r="A68" s="35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AC44"/>
  <sheetViews>
    <sheetView zoomScale="75" zoomScaleNormal="75" zoomScalePageLayoutView="0" workbookViewId="0" topLeftCell="A1">
      <selection activeCell="Y104" sqref="Y104"/>
    </sheetView>
  </sheetViews>
  <sheetFormatPr defaultColWidth="8.796875" defaultRowHeight="15"/>
  <cols>
    <col min="1" max="1" width="5.69921875" style="75" customWidth="1"/>
    <col min="2" max="2" width="20.796875" style="75" customWidth="1"/>
    <col min="3" max="3" width="9.296875" style="75" customWidth="1"/>
    <col min="4" max="4" width="9" style="75" customWidth="1"/>
    <col min="5" max="5" width="8.796875" style="75" customWidth="1"/>
    <col min="6" max="6" width="12.796875" style="75" customWidth="1"/>
    <col min="7" max="7" width="12.69921875" style="75" customWidth="1"/>
    <col min="8" max="13" width="9.796875" style="75" customWidth="1"/>
    <col min="14" max="16384" width="8.8984375" style="75" customWidth="1"/>
  </cols>
  <sheetData>
    <row r="1" spans="2:13" ht="15.75">
      <c r="B1" s="192">
        <f>inputPrYr!$D$3</f>
        <v>0</v>
      </c>
      <c r="C1" s="74"/>
      <c r="D1" s="74"/>
      <c r="E1" s="74"/>
      <c r="F1" s="74"/>
      <c r="G1" s="74"/>
      <c r="H1" s="74"/>
      <c r="I1" s="74"/>
      <c r="J1" s="74"/>
      <c r="K1" s="74"/>
      <c r="L1" s="74"/>
      <c r="M1" s="152">
        <f>inputPrYr!$C$6</f>
        <v>0</v>
      </c>
    </row>
    <row r="2" spans="2:13" ht="15.75">
      <c r="B2" s="192"/>
      <c r="C2" s="74"/>
      <c r="D2" s="74"/>
      <c r="E2" s="74"/>
      <c r="F2" s="74"/>
      <c r="G2" s="74"/>
      <c r="H2" s="74"/>
      <c r="I2" s="74"/>
      <c r="J2" s="74"/>
      <c r="K2" s="74"/>
      <c r="L2" s="74"/>
      <c r="M2" s="204"/>
    </row>
    <row r="3" spans="2:13" ht="15.75">
      <c r="B3" s="225" t="s">
        <v>210</v>
      </c>
      <c r="C3" s="80"/>
      <c r="D3" s="80"/>
      <c r="E3" s="80"/>
      <c r="F3" s="80"/>
      <c r="G3" s="80"/>
      <c r="H3" s="80"/>
      <c r="I3" s="80"/>
      <c r="J3" s="80"/>
      <c r="K3" s="80"/>
      <c r="L3" s="80"/>
      <c r="M3" s="80"/>
    </row>
    <row r="4" spans="2:13" ht="15.75">
      <c r="B4" s="74"/>
      <c r="C4" s="226"/>
      <c r="D4" s="226"/>
      <c r="E4" s="226"/>
      <c r="F4" s="226"/>
      <c r="G4" s="226"/>
      <c r="H4" s="226"/>
      <c r="I4" s="226"/>
      <c r="J4" s="226"/>
      <c r="K4" s="226"/>
      <c r="L4" s="226"/>
      <c r="M4" s="226"/>
    </row>
    <row r="5" spans="2:13" ht="15.75">
      <c r="B5" s="184"/>
      <c r="C5" s="611" t="s">
        <v>181</v>
      </c>
      <c r="D5" s="205" t="s">
        <v>181</v>
      </c>
      <c r="E5" s="205" t="s">
        <v>195</v>
      </c>
      <c r="F5" s="205"/>
      <c r="G5" s="205" t="s">
        <v>617</v>
      </c>
      <c r="H5" s="74"/>
      <c r="I5" s="74"/>
      <c r="J5" s="227" t="s">
        <v>182</v>
      </c>
      <c r="K5" s="228"/>
      <c r="L5" s="227" t="s">
        <v>182</v>
      </c>
      <c r="M5" s="228"/>
    </row>
    <row r="6" spans="2:13" ht="15.75">
      <c r="B6" s="229" t="s">
        <v>776</v>
      </c>
      <c r="C6" s="610" t="s">
        <v>183</v>
      </c>
      <c r="D6" s="229" t="s">
        <v>285</v>
      </c>
      <c r="E6" s="229" t="s">
        <v>184</v>
      </c>
      <c r="F6" s="229" t="s">
        <v>141</v>
      </c>
      <c r="G6" s="229" t="s">
        <v>261</v>
      </c>
      <c r="H6" s="982" t="s">
        <v>185</v>
      </c>
      <c r="I6" s="983"/>
      <c r="J6" s="982">
        <f>inputPrYr!$C$6-1</f>
        <v>-1</v>
      </c>
      <c r="K6" s="985"/>
      <c r="L6" s="984">
        <f>inputPrYr!$C$6</f>
        <v>0</v>
      </c>
      <c r="M6" s="985"/>
    </row>
    <row r="7" spans="2:13" ht="15.75">
      <c r="B7" s="232" t="s">
        <v>775</v>
      </c>
      <c r="C7" s="612" t="s">
        <v>186</v>
      </c>
      <c r="D7" s="232" t="s">
        <v>286</v>
      </c>
      <c r="E7" s="232" t="s">
        <v>160</v>
      </c>
      <c r="F7" s="232" t="s">
        <v>187</v>
      </c>
      <c r="G7" s="230" t="str">
        <f>CONCATENATE("Jan 1,",M1-1,"")</f>
        <v>Jan 1,-1</v>
      </c>
      <c r="H7" s="178" t="s">
        <v>195</v>
      </c>
      <c r="I7" s="178" t="s">
        <v>197</v>
      </c>
      <c r="J7" s="178" t="s">
        <v>195</v>
      </c>
      <c r="K7" s="178" t="s">
        <v>197</v>
      </c>
      <c r="L7" s="178" t="s">
        <v>195</v>
      </c>
      <c r="M7" s="178" t="s">
        <v>197</v>
      </c>
    </row>
    <row r="8" spans="2:13" ht="15.75">
      <c r="B8" s="231" t="s">
        <v>188</v>
      </c>
      <c r="C8" s="89"/>
      <c r="D8" s="89"/>
      <c r="E8" s="233"/>
      <c r="F8" s="180"/>
      <c r="G8" s="180"/>
      <c r="H8" s="89"/>
      <c r="I8" s="89"/>
      <c r="J8" s="180"/>
      <c r="K8" s="180"/>
      <c r="L8" s="180"/>
      <c r="M8" s="180"/>
    </row>
    <row r="9" spans="2:13" ht="15.75">
      <c r="B9" s="234"/>
      <c r="C9" s="257"/>
      <c r="D9" s="257"/>
      <c r="E9" s="235"/>
      <c r="F9" s="236"/>
      <c r="G9" s="237"/>
      <c r="H9" s="238"/>
      <c r="I9" s="238"/>
      <c r="J9" s="237"/>
      <c r="K9" s="237"/>
      <c r="L9" s="237"/>
      <c r="M9" s="237"/>
    </row>
    <row r="10" spans="2:13" ht="15.75">
      <c r="B10" s="234"/>
      <c r="C10" s="257"/>
      <c r="D10" s="257"/>
      <c r="E10" s="235"/>
      <c r="F10" s="236"/>
      <c r="G10" s="237"/>
      <c r="H10" s="238"/>
      <c r="I10" s="238"/>
      <c r="J10" s="237"/>
      <c r="K10" s="237"/>
      <c r="L10" s="237"/>
      <c r="M10" s="237"/>
    </row>
    <row r="11" spans="2:13" ht="15.75">
      <c r="B11" s="234"/>
      <c r="C11" s="257"/>
      <c r="D11" s="257"/>
      <c r="E11" s="235"/>
      <c r="F11" s="236"/>
      <c r="G11" s="237"/>
      <c r="H11" s="238"/>
      <c r="I11" s="238"/>
      <c r="J11" s="237"/>
      <c r="K11" s="237"/>
      <c r="L11" s="237"/>
      <c r="M11" s="237"/>
    </row>
    <row r="12" spans="2:13" ht="15.75">
      <c r="B12" s="234"/>
      <c r="C12" s="257"/>
      <c r="D12" s="257"/>
      <c r="E12" s="235"/>
      <c r="F12" s="236"/>
      <c r="G12" s="237"/>
      <c r="H12" s="238"/>
      <c r="I12" s="238"/>
      <c r="J12" s="237"/>
      <c r="K12" s="237"/>
      <c r="L12" s="237"/>
      <c r="M12" s="237"/>
    </row>
    <row r="13" spans="2:13" ht="15.75">
      <c r="B13" s="234"/>
      <c r="C13" s="257"/>
      <c r="D13" s="257"/>
      <c r="E13" s="235"/>
      <c r="F13" s="236"/>
      <c r="G13" s="237"/>
      <c r="H13" s="238"/>
      <c r="I13" s="238"/>
      <c r="J13" s="237"/>
      <c r="K13" s="237"/>
      <c r="L13" s="237"/>
      <c r="M13" s="237"/>
    </row>
    <row r="14" spans="2:13" ht="15.75">
      <c r="B14" s="234"/>
      <c r="C14" s="257"/>
      <c r="D14" s="257"/>
      <c r="E14" s="235"/>
      <c r="F14" s="236"/>
      <c r="G14" s="237"/>
      <c r="H14" s="238"/>
      <c r="I14" s="238"/>
      <c r="J14" s="237"/>
      <c r="K14" s="237"/>
      <c r="L14" s="237"/>
      <c r="M14" s="237"/>
    </row>
    <row r="15" spans="2:13" ht="15.75">
      <c r="B15" s="234"/>
      <c r="C15" s="257"/>
      <c r="D15" s="257"/>
      <c r="E15" s="235"/>
      <c r="F15" s="236"/>
      <c r="G15" s="237"/>
      <c r="H15" s="238"/>
      <c r="I15" s="238"/>
      <c r="J15" s="237"/>
      <c r="K15" s="237"/>
      <c r="L15" s="237"/>
      <c r="M15" s="237"/>
    </row>
    <row r="16" spans="2:13" ht="15.75">
      <c r="B16" s="234"/>
      <c r="C16" s="257"/>
      <c r="D16" s="257"/>
      <c r="E16" s="235"/>
      <c r="F16" s="236"/>
      <c r="G16" s="237"/>
      <c r="H16" s="238"/>
      <c r="I16" s="238"/>
      <c r="J16" s="237"/>
      <c r="K16" s="237"/>
      <c r="L16" s="237"/>
      <c r="M16" s="237"/>
    </row>
    <row r="17" spans="2:13" ht="15.75">
      <c r="B17" s="234"/>
      <c r="C17" s="257"/>
      <c r="D17" s="257"/>
      <c r="E17" s="235"/>
      <c r="F17" s="236"/>
      <c r="G17" s="237"/>
      <c r="H17" s="238"/>
      <c r="I17" s="238"/>
      <c r="J17" s="237"/>
      <c r="K17" s="237"/>
      <c r="L17" s="237"/>
      <c r="M17" s="237"/>
    </row>
    <row r="18" spans="2:13" ht="15.75">
      <c r="B18" s="234"/>
      <c r="C18" s="257"/>
      <c r="D18" s="257"/>
      <c r="E18" s="235"/>
      <c r="F18" s="236"/>
      <c r="G18" s="237"/>
      <c r="H18" s="238"/>
      <c r="I18" s="238"/>
      <c r="J18" s="237"/>
      <c r="K18" s="237"/>
      <c r="L18" s="237"/>
      <c r="M18" s="237"/>
    </row>
    <row r="19" spans="2:13" ht="15.75">
      <c r="B19" s="234"/>
      <c r="C19" s="257"/>
      <c r="D19" s="257"/>
      <c r="E19" s="235"/>
      <c r="F19" s="236"/>
      <c r="G19" s="237"/>
      <c r="H19" s="238"/>
      <c r="I19" s="238"/>
      <c r="J19" s="237"/>
      <c r="K19" s="237"/>
      <c r="L19" s="237"/>
      <c r="M19" s="237"/>
    </row>
    <row r="20" spans="2:13" ht="15.75">
      <c r="B20" s="220" t="s">
        <v>189</v>
      </c>
      <c r="C20" s="239"/>
      <c r="D20" s="239"/>
      <c r="E20" s="240"/>
      <c r="F20" s="241"/>
      <c r="G20" s="242">
        <f>SUM(G9:G19)</f>
        <v>0</v>
      </c>
      <c r="H20" s="243"/>
      <c r="I20" s="243"/>
      <c r="J20" s="242">
        <f>SUM(J9:J19)</f>
        <v>0</v>
      </c>
      <c r="K20" s="242">
        <f>SUM(K9:K19)</f>
        <v>0</v>
      </c>
      <c r="L20" s="242">
        <f>SUM(L9:L19)</f>
        <v>0</v>
      </c>
      <c r="M20" s="242">
        <f>SUM(M9:M19)</f>
        <v>0</v>
      </c>
    </row>
    <row r="21" spans="2:13" ht="15.75">
      <c r="B21" s="178" t="s">
        <v>190</v>
      </c>
      <c r="C21" s="244"/>
      <c r="D21" s="244"/>
      <c r="E21" s="245"/>
      <c r="F21" s="207"/>
      <c r="G21" s="207"/>
      <c r="H21" s="246"/>
      <c r="I21" s="246"/>
      <c r="J21" s="207"/>
      <c r="K21" s="207"/>
      <c r="L21" s="207"/>
      <c r="M21" s="207"/>
    </row>
    <row r="22" spans="2:13" ht="15.75">
      <c r="B22" s="234"/>
      <c r="C22" s="257"/>
      <c r="D22" s="257"/>
      <c r="E22" s="235"/>
      <c r="F22" s="236"/>
      <c r="G22" s="237"/>
      <c r="H22" s="238"/>
      <c r="I22" s="238"/>
      <c r="J22" s="237"/>
      <c r="K22" s="237"/>
      <c r="L22" s="237"/>
      <c r="M22" s="237"/>
    </row>
    <row r="23" spans="2:13" ht="15.75">
      <c r="B23" s="234"/>
      <c r="C23" s="257"/>
      <c r="D23" s="257"/>
      <c r="E23" s="235"/>
      <c r="F23" s="236"/>
      <c r="G23" s="237"/>
      <c r="H23" s="238"/>
      <c r="I23" s="238"/>
      <c r="J23" s="237"/>
      <c r="K23" s="237"/>
      <c r="L23" s="237"/>
      <c r="M23" s="237"/>
    </row>
    <row r="24" spans="2:13" ht="15.75">
      <c r="B24" s="234"/>
      <c r="C24" s="257"/>
      <c r="D24" s="257"/>
      <c r="E24" s="235"/>
      <c r="F24" s="236"/>
      <c r="G24" s="237"/>
      <c r="H24" s="238"/>
      <c r="I24" s="238"/>
      <c r="J24" s="237"/>
      <c r="K24" s="237"/>
      <c r="L24" s="237"/>
      <c r="M24" s="237"/>
    </row>
    <row r="25" spans="2:13" ht="15.75">
      <c r="B25" s="234"/>
      <c r="C25" s="257"/>
      <c r="D25" s="257"/>
      <c r="E25" s="235"/>
      <c r="F25" s="236"/>
      <c r="G25" s="237"/>
      <c r="H25" s="238"/>
      <c r="I25" s="238"/>
      <c r="J25" s="237"/>
      <c r="K25" s="237"/>
      <c r="L25" s="237"/>
      <c r="M25" s="237"/>
    </row>
    <row r="26" spans="2:13" ht="15.75">
      <c r="B26" s="234"/>
      <c r="C26" s="257"/>
      <c r="D26" s="257"/>
      <c r="E26" s="235"/>
      <c r="F26" s="236"/>
      <c r="G26" s="237"/>
      <c r="H26" s="238"/>
      <c r="I26" s="238"/>
      <c r="J26" s="237"/>
      <c r="K26" s="237"/>
      <c r="L26" s="237"/>
      <c r="M26" s="237"/>
    </row>
    <row r="27" spans="2:13" ht="15.75">
      <c r="B27" s="234"/>
      <c r="C27" s="257"/>
      <c r="D27" s="257"/>
      <c r="E27" s="235"/>
      <c r="F27" s="236"/>
      <c r="G27" s="237"/>
      <c r="H27" s="238"/>
      <c r="I27" s="238"/>
      <c r="J27" s="237"/>
      <c r="K27" s="237"/>
      <c r="L27" s="237"/>
      <c r="M27" s="237"/>
    </row>
    <row r="28" spans="2:13" ht="15.75">
      <c r="B28" s="234"/>
      <c r="C28" s="257"/>
      <c r="D28" s="257"/>
      <c r="E28" s="235"/>
      <c r="F28" s="236"/>
      <c r="G28" s="237"/>
      <c r="H28" s="238"/>
      <c r="I28" s="238"/>
      <c r="J28" s="237"/>
      <c r="K28" s="237"/>
      <c r="L28" s="237"/>
      <c r="M28" s="237"/>
    </row>
    <row r="29" spans="2:13" ht="15.75">
      <c r="B29" s="234"/>
      <c r="C29" s="257"/>
      <c r="D29" s="257"/>
      <c r="E29" s="235"/>
      <c r="F29" s="236"/>
      <c r="G29" s="237"/>
      <c r="H29" s="238"/>
      <c r="I29" s="238"/>
      <c r="J29" s="237"/>
      <c r="K29" s="237"/>
      <c r="L29" s="237"/>
      <c r="M29" s="237"/>
    </row>
    <row r="30" spans="2:13" ht="15.75">
      <c r="B30" s="220" t="s">
        <v>191</v>
      </c>
      <c r="C30" s="239"/>
      <c r="D30" s="239"/>
      <c r="E30" s="247"/>
      <c r="F30" s="241"/>
      <c r="G30" s="248">
        <f>SUM(G22:G29)</f>
        <v>0</v>
      </c>
      <c r="H30" s="243"/>
      <c r="I30" s="243"/>
      <c r="J30" s="248">
        <f>SUM(J22:J29)</f>
        <v>0</v>
      </c>
      <c r="K30" s="248">
        <f>SUM(K22:K29)</f>
        <v>0</v>
      </c>
      <c r="L30" s="242">
        <f>SUM(L22:L29)</f>
        <v>0</v>
      </c>
      <c r="M30" s="248">
        <f>SUM(M22:M29)</f>
        <v>0</v>
      </c>
    </row>
    <row r="31" spans="2:13" ht="15.75">
      <c r="B31" s="178" t="s">
        <v>192</v>
      </c>
      <c r="C31" s="244"/>
      <c r="D31" s="244"/>
      <c r="E31" s="245"/>
      <c r="F31" s="207"/>
      <c r="G31" s="249"/>
      <c r="H31" s="246"/>
      <c r="I31" s="246"/>
      <c r="J31" s="207"/>
      <c r="K31" s="207"/>
      <c r="L31" s="207"/>
      <c r="M31" s="207"/>
    </row>
    <row r="32" spans="2:13" ht="15.75">
      <c r="B32" s="234"/>
      <c r="C32" s="257"/>
      <c r="D32" s="257"/>
      <c r="E32" s="235"/>
      <c r="F32" s="236"/>
      <c r="G32" s="237"/>
      <c r="H32" s="238"/>
      <c r="I32" s="238"/>
      <c r="J32" s="237"/>
      <c r="K32" s="237"/>
      <c r="L32" s="237"/>
      <c r="M32" s="237"/>
    </row>
    <row r="33" spans="2:13" ht="15.75">
      <c r="B33" s="234"/>
      <c r="C33" s="376"/>
      <c r="D33" s="257"/>
      <c r="E33" s="235"/>
      <c r="F33" s="236"/>
      <c r="G33" s="237"/>
      <c r="H33" s="238"/>
      <c r="I33" s="238"/>
      <c r="J33" s="237"/>
      <c r="K33" s="237"/>
      <c r="L33" s="237"/>
      <c r="M33" s="237"/>
    </row>
    <row r="34" spans="2:13" ht="15.75">
      <c r="B34" s="234"/>
      <c r="C34" s="257"/>
      <c r="D34" s="257"/>
      <c r="E34" s="235"/>
      <c r="F34" s="236"/>
      <c r="G34" s="237"/>
      <c r="H34" s="238"/>
      <c r="I34" s="238"/>
      <c r="J34" s="237"/>
      <c r="K34" s="237"/>
      <c r="L34" s="237"/>
      <c r="M34" s="237"/>
    </row>
    <row r="35" spans="2:13" ht="15.75">
      <c r="B35" s="234"/>
      <c r="C35" s="257"/>
      <c r="D35" s="257"/>
      <c r="E35" s="235"/>
      <c r="F35" s="236"/>
      <c r="G35" s="237"/>
      <c r="H35" s="238"/>
      <c r="I35" s="238"/>
      <c r="J35" s="237"/>
      <c r="K35" s="237"/>
      <c r="L35" s="237"/>
      <c r="M35" s="237"/>
    </row>
    <row r="36" spans="2:13" ht="15.75">
      <c r="B36" s="234"/>
      <c r="C36" s="257"/>
      <c r="D36" s="257"/>
      <c r="E36" s="235"/>
      <c r="F36" s="236"/>
      <c r="G36" s="237"/>
      <c r="H36" s="238"/>
      <c r="I36" s="238"/>
      <c r="J36" s="237"/>
      <c r="K36" s="237"/>
      <c r="L36" s="237"/>
      <c r="M36" s="237"/>
    </row>
    <row r="37" spans="2:29" ht="15.75">
      <c r="B37" s="234"/>
      <c r="C37" s="257"/>
      <c r="D37" s="257"/>
      <c r="E37" s="235"/>
      <c r="F37" s="236"/>
      <c r="G37" s="237"/>
      <c r="H37" s="238"/>
      <c r="I37" s="238"/>
      <c r="J37" s="237"/>
      <c r="K37" s="237"/>
      <c r="L37" s="237"/>
      <c r="M37" s="237"/>
      <c r="N37" s="61"/>
      <c r="O37" s="61"/>
      <c r="P37" s="61"/>
      <c r="Q37" s="61"/>
      <c r="R37" s="61"/>
      <c r="S37" s="61"/>
      <c r="T37" s="61"/>
      <c r="U37" s="61"/>
      <c r="V37" s="61"/>
      <c r="W37" s="61"/>
      <c r="X37" s="61"/>
      <c r="Y37" s="61"/>
      <c r="Z37" s="61"/>
      <c r="AA37" s="61"/>
      <c r="AB37" s="61"/>
      <c r="AC37" s="61"/>
    </row>
    <row r="38" spans="2:13" ht="15.75">
      <c r="B38" s="220" t="s">
        <v>268</v>
      </c>
      <c r="C38" s="220"/>
      <c r="D38" s="220"/>
      <c r="E38" s="247"/>
      <c r="F38" s="241"/>
      <c r="G38" s="248">
        <f>SUM(G32:G37)</f>
        <v>0</v>
      </c>
      <c r="H38" s="241"/>
      <c r="I38" s="241"/>
      <c r="J38" s="248">
        <f>SUM(J32:J37)</f>
        <v>0</v>
      </c>
      <c r="K38" s="248">
        <f>SUM(K32:K37)</f>
        <v>0</v>
      </c>
      <c r="L38" s="248">
        <f>SUM(L32:L37)</f>
        <v>0</v>
      </c>
      <c r="M38" s="248">
        <f>SUM(M32:M37)</f>
        <v>0</v>
      </c>
    </row>
    <row r="39" spans="2:13" ht="15.75">
      <c r="B39" s="220" t="s">
        <v>193</v>
      </c>
      <c r="C39" s="220"/>
      <c r="D39" s="220"/>
      <c r="E39" s="220"/>
      <c r="F39" s="241"/>
      <c r="G39" s="248">
        <f>SUM(G20+G30+G38)</f>
        <v>0</v>
      </c>
      <c r="H39" s="241"/>
      <c r="I39" s="241"/>
      <c r="J39" s="248">
        <f>SUM(J20+J30+J38)</f>
        <v>0</v>
      </c>
      <c r="K39" s="248">
        <f>SUM(K20+K30+K38)</f>
        <v>0</v>
      </c>
      <c r="L39" s="248">
        <f>SUM(L20+L30+L38)</f>
        <v>0</v>
      </c>
      <c r="M39" s="248">
        <f>SUM(M20+M30+M38)</f>
        <v>0</v>
      </c>
    </row>
    <row r="40" spans="2:13" ht="15.75">
      <c r="B40" s="61"/>
      <c r="C40" s="61"/>
      <c r="D40" s="61"/>
      <c r="E40" s="61"/>
      <c r="F40" s="61"/>
      <c r="G40" s="61"/>
      <c r="H40" s="61"/>
      <c r="I40" s="61"/>
      <c r="J40" s="61"/>
      <c r="K40" s="61"/>
      <c r="L40" s="61"/>
      <c r="M40" s="61"/>
    </row>
    <row r="41" spans="6:13" ht="15.75">
      <c r="F41" s="250"/>
      <c r="G41" s="250"/>
      <c r="J41" s="250"/>
      <c r="K41" s="250"/>
      <c r="L41" s="250"/>
      <c r="M41" s="250"/>
    </row>
    <row r="42" spans="6:14" ht="15.75">
      <c r="F42" s="61"/>
      <c r="H42" s="251"/>
      <c r="N42" s="61"/>
    </row>
    <row r="43" spans="2:13" ht="15.75">
      <c r="B43" s="61"/>
      <c r="C43" s="61"/>
      <c r="D43" s="61"/>
      <c r="E43" s="61"/>
      <c r="F43" s="61"/>
      <c r="G43" s="61"/>
      <c r="H43" s="61"/>
      <c r="I43" s="61"/>
      <c r="J43" s="61"/>
      <c r="K43" s="61"/>
      <c r="L43" s="61"/>
      <c r="M43" s="61"/>
    </row>
    <row r="44" spans="2:13" ht="15.75">
      <c r="B44" s="61"/>
      <c r="C44" s="61"/>
      <c r="D44" s="61"/>
      <c r="E44" s="61"/>
      <c r="F44" s="61"/>
      <c r="G44" s="61"/>
      <c r="H44" s="61"/>
      <c r="I44" s="61"/>
      <c r="J44" s="61"/>
      <c r="K44" s="61"/>
      <c r="L44" s="61"/>
      <c r="M44" s="61"/>
    </row>
  </sheetData>
  <sheetProtection sheet="1" objects="1" scenarios="1"/>
  <mergeCells count="3">
    <mergeCell ref="H6:I6"/>
    <mergeCell ref="L6:M6"/>
    <mergeCell ref="J6:K6"/>
  </mergeCells>
  <printOptions/>
  <pageMargins left="0.21" right="0.2" top="1" bottom="0.5" header="0.5" footer="0"/>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K43"/>
  <sheetViews>
    <sheetView zoomScale="75" zoomScaleNormal="75" zoomScalePageLayoutView="0" workbookViewId="0" topLeftCell="A1">
      <selection activeCell="V113" sqref="V113"/>
    </sheetView>
  </sheetViews>
  <sheetFormatPr defaultColWidth="8.796875" defaultRowHeight="15"/>
  <cols>
    <col min="1" max="1" width="8.8984375" style="75" customWidth="1"/>
    <col min="2" max="2" width="25.796875" style="75" customWidth="1"/>
    <col min="3" max="3" width="11.796875" style="75" customWidth="1"/>
    <col min="4" max="5" width="9.796875" style="75" customWidth="1"/>
    <col min="6" max="6" width="17.09765625" style="75" customWidth="1"/>
    <col min="7" max="9" width="15.796875" style="75" customWidth="1"/>
    <col min="10" max="11" width="9.796875" style="75" customWidth="1"/>
    <col min="12" max="16384" width="8.8984375" style="75" customWidth="1"/>
  </cols>
  <sheetData>
    <row r="1" spans="2:11" ht="15.75">
      <c r="B1" s="192">
        <f>inputPrYr!$D$3</f>
        <v>0</v>
      </c>
      <c r="C1" s="74"/>
      <c r="D1" s="74"/>
      <c r="E1" s="74"/>
      <c r="F1" s="74"/>
      <c r="G1" s="74"/>
      <c r="H1" s="74"/>
      <c r="I1" s="152">
        <f>inputPrYr!$C$6</f>
        <v>0</v>
      </c>
      <c r="J1" s="61"/>
      <c r="K1" s="252"/>
    </row>
    <row r="2" spans="2:11" ht="15.75">
      <c r="B2" s="192"/>
      <c r="C2" s="74"/>
      <c r="D2" s="74"/>
      <c r="E2" s="74"/>
      <c r="F2" s="74"/>
      <c r="G2" s="74"/>
      <c r="H2" s="74"/>
      <c r="I2" s="74"/>
      <c r="J2" s="61"/>
      <c r="K2" s="252"/>
    </row>
    <row r="3" spans="2:11" ht="15.75">
      <c r="B3" s="225" t="s">
        <v>246</v>
      </c>
      <c r="C3" s="80"/>
      <c r="D3" s="80"/>
      <c r="E3" s="80"/>
      <c r="F3" s="80"/>
      <c r="G3" s="80"/>
      <c r="H3" s="80"/>
      <c r="I3" s="80"/>
      <c r="J3" s="253"/>
      <c r="K3" s="253"/>
    </row>
    <row r="4" spans="2:11" ht="15.75">
      <c r="B4" s="74"/>
      <c r="C4" s="226"/>
      <c r="D4" s="226"/>
      <c r="E4" s="226"/>
      <c r="F4" s="226"/>
      <c r="G4" s="226"/>
      <c r="H4" s="226"/>
      <c r="I4" s="226"/>
      <c r="J4" s="254"/>
      <c r="K4" s="254"/>
    </row>
    <row r="5" spans="2:11" ht="15.75">
      <c r="B5" s="184"/>
      <c r="C5" s="184"/>
      <c r="D5" s="184"/>
      <c r="E5" s="184"/>
      <c r="F5" s="205" t="s">
        <v>120</v>
      </c>
      <c r="G5" s="184"/>
      <c r="H5" s="184"/>
      <c r="I5" s="184"/>
      <c r="J5" s="255"/>
      <c r="K5" s="155"/>
    </row>
    <row r="6" spans="2:9" ht="15.75">
      <c r="B6" s="173"/>
      <c r="C6" s="229"/>
      <c r="D6" s="229" t="s">
        <v>194</v>
      </c>
      <c r="E6" s="229" t="s">
        <v>195</v>
      </c>
      <c r="F6" s="229" t="s">
        <v>141</v>
      </c>
      <c r="G6" s="229" t="s">
        <v>279</v>
      </c>
      <c r="H6" s="229" t="s">
        <v>198</v>
      </c>
      <c r="I6" s="229" t="s">
        <v>198</v>
      </c>
    </row>
    <row r="7" spans="2:9" ht="15.75">
      <c r="B7" s="229" t="s">
        <v>793</v>
      </c>
      <c r="C7" s="229" t="s">
        <v>199</v>
      </c>
      <c r="D7" s="229" t="s">
        <v>200</v>
      </c>
      <c r="E7" s="229" t="s">
        <v>184</v>
      </c>
      <c r="F7" s="229" t="s">
        <v>201</v>
      </c>
      <c r="G7" s="229" t="s">
        <v>280</v>
      </c>
      <c r="H7" s="229" t="s">
        <v>202</v>
      </c>
      <c r="I7" s="229" t="s">
        <v>202</v>
      </c>
    </row>
    <row r="8" spans="2:9" ht="15.75">
      <c r="B8" s="232" t="s">
        <v>792</v>
      </c>
      <c r="C8" s="232" t="s">
        <v>181</v>
      </c>
      <c r="D8" s="256" t="s">
        <v>203</v>
      </c>
      <c r="E8" s="232" t="s">
        <v>160</v>
      </c>
      <c r="F8" s="256" t="s">
        <v>262</v>
      </c>
      <c r="G8" s="232">
        <f>inputPrYr!C6-1</f>
        <v>-1</v>
      </c>
      <c r="H8" s="232">
        <f>inputPrYr!C6-1</f>
        <v>-1</v>
      </c>
      <c r="I8" s="215">
        <f>inputPrYr!$C$6</f>
        <v>0</v>
      </c>
    </row>
    <row r="9" spans="2:9" ht="15.75">
      <c r="B9" s="234"/>
      <c r="C9" s="257"/>
      <c r="D9" s="257"/>
      <c r="E9" s="235"/>
      <c r="F9" s="236"/>
      <c r="G9" s="236"/>
      <c r="H9" s="236"/>
      <c r="I9" s="236"/>
    </row>
    <row r="10" spans="2:9" ht="15.75">
      <c r="B10" s="234"/>
      <c r="C10" s="257"/>
      <c r="D10" s="257"/>
      <c r="E10" s="235"/>
      <c r="F10" s="236"/>
      <c r="G10" s="236"/>
      <c r="H10" s="236"/>
      <c r="I10" s="236"/>
    </row>
    <row r="11" spans="2:9" ht="15.75">
      <c r="B11" s="234"/>
      <c r="C11" s="234"/>
      <c r="D11" s="257"/>
      <c r="E11" s="235"/>
      <c r="F11" s="236"/>
      <c r="G11" s="236"/>
      <c r="H11" s="236"/>
      <c r="I11" s="236"/>
    </row>
    <row r="12" spans="2:9" ht="15.75">
      <c r="B12" s="234"/>
      <c r="C12" s="234"/>
      <c r="D12" s="257"/>
      <c r="E12" s="235"/>
      <c r="F12" s="236"/>
      <c r="G12" s="236"/>
      <c r="H12" s="236"/>
      <c r="I12" s="236"/>
    </row>
    <row r="13" spans="2:9" ht="15.75">
      <c r="B13" s="234"/>
      <c r="C13" s="234"/>
      <c r="D13" s="257"/>
      <c r="E13" s="235"/>
      <c r="F13" s="236"/>
      <c r="G13" s="236"/>
      <c r="H13" s="236"/>
      <c r="I13" s="236"/>
    </row>
    <row r="14" spans="2:9" ht="15.75">
      <c r="B14" s="234"/>
      <c r="C14" s="257"/>
      <c r="D14" s="257"/>
      <c r="E14" s="235"/>
      <c r="F14" s="236"/>
      <c r="G14" s="236"/>
      <c r="H14" s="236"/>
      <c r="I14" s="236"/>
    </row>
    <row r="15" spans="2:9" ht="15.75">
      <c r="B15" s="234"/>
      <c r="C15" s="234"/>
      <c r="D15" s="257"/>
      <c r="E15" s="235"/>
      <c r="F15" s="236"/>
      <c r="G15" s="236"/>
      <c r="H15" s="236"/>
      <c r="I15" s="236"/>
    </row>
    <row r="16" spans="2:9" ht="15.75">
      <c r="B16" s="234"/>
      <c r="C16" s="234"/>
      <c r="D16" s="257"/>
      <c r="E16" s="235"/>
      <c r="F16" s="236"/>
      <c r="G16" s="236"/>
      <c r="H16" s="236"/>
      <c r="I16" s="236"/>
    </row>
    <row r="17" spans="2:9" ht="15.75">
      <c r="B17" s="234"/>
      <c r="C17" s="234"/>
      <c r="D17" s="257"/>
      <c r="E17" s="235"/>
      <c r="F17" s="236"/>
      <c r="G17" s="236"/>
      <c r="H17" s="236"/>
      <c r="I17" s="236"/>
    </row>
    <row r="18" spans="2:9" ht="15.75">
      <c r="B18" s="234"/>
      <c r="C18" s="234"/>
      <c r="D18" s="257"/>
      <c r="E18" s="235"/>
      <c r="F18" s="236"/>
      <c r="G18" s="236"/>
      <c r="H18" s="236"/>
      <c r="I18" s="236"/>
    </row>
    <row r="19" spans="2:9" ht="15.75">
      <c r="B19" s="234"/>
      <c r="C19" s="234"/>
      <c r="D19" s="257"/>
      <c r="E19" s="235"/>
      <c r="F19" s="236"/>
      <c r="G19" s="236"/>
      <c r="H19" s="236"/>
      <c r="I19" s="236"/>
    </row>
    <row r="20" spans="2:9" ht="15.75">
      <c r="B20" s="234"/>
      <c r="C20" s="234"/>
      <c r="D20" s="257"/>
      <c r="E20" s="235"/>
      <c r="F20" s="236"/>
      <c r="G20" s="236"/>
      <c r="H20" s="236"/>
      <c r="I20" s="236"/>
    </row>
    <row r="21" spans="2:9" ht="15.75">
      <c r="B21" s="234"/>
      <c r="C21" s="234"/>
      <c r="D21" s="257"/>
      <c r="E21" s="235"/>
      <c r="F21" s="236"/>
      <c r="G21" s="236"/>
      <c r="H21" s="236"/>
      <c r="I21" s="236"/>
    </row>
    <row r="22" spans="2:9" ht="15.75">
      <c r="B22" s="234"/>
      <c r="C22" s="234"/>
      <c r="D22" s="257"/>
      <c r="E22" s="235"/>
      <c r="F22" s="236"/>
      <c r="G22" s="236"/>
      <c r="H22" s="236"/>
      <c r="I22" s="236"/>
    </row>
    <row r="23" spans="2:9" ht="15.75">
      <c r="B23" s="234"/>
      <c r="C23" s="234"/>
      <c r="D23" s="257"/>
      <c r="E23" s="235"/>
      <c r="F23" s="236"/>
      <c r="G23" s="236"/>
      <c r="H23" s="236"/>
      <c r="I23" s="236"/>
    </row>
    <row r="24" spans="2:9" ht="15.75">
      <c r="B24" s="234"/>
      <c r="C24" s="234"/>
      <c r="D24" s="257"/>
      <c r="E24" s="235"/>
      <c r="F24" s="236"/>
      <c r="G24" s="236"/>
      <c r="H24" s="236"/>
      <c r="I24" s="236"/>
    </row>
    <row r="25" spans="2:9" ht="15.75">
      <c r="B25" s="234"/>
      <c r="C25" s="234"/>
      <c r="D25" s="257"/>
      <c r="E25" s="235"/>
      <c r="F25" s="236"/>
      <c r="G25" s="236"/>
      <c r="H25" s="236"/>
      <c r="I25" s="236"/>
    </row>
    <row r="26" spans="2:9" ht="15.75">
      <c r="B26" s="234"/>
      <c r="C26" s="234"/>
      <c r="D26" s="257"/>
      <c r="E26" s="235"/>
      <c r="F26" s="236"/>
      <c r="G26" s="236"/>
      <c r="H26" s="236"/>
      <c r="I26" s="236"/>
    </row>
    <row r="27" spans="2:9" ht="15.75">
      <c r="B27" s="234"/>
      <c r="C27" s="234"/>
      <c r="D27" s="257"/>
      <c r="E27" s="235"/>
      <c r="F27" s="236"/>
      <c r="G27" s="236"/>
      <c r="H27" s="236"/>
      <c r="I27" s="236"/>
    </row>
    <row r="28" spans="2:9" ht="15.75">
      <c r="B28" s="234"/>
      <c r="C28" s="234"/>
      <c r="D28" s="257"/>
      <c r="E28" s="235"/>
      <c r="F28" s="236"/>
      <c r="G28" s="236"/>
      <c r="H28" s="236"/>
      <c r="I28" s="236"/>
    </row>
    <row r="29" spans="2:9" ht="15.75">
      <c r="B29" s="234"/>
      <c r="C29" s="234"/>
      <c r="D29" s="257"/>
      <c r="E29" s="235"/>
      <c r="F29" s="236"/>
      <c r="G29" s="236"/>
      <c r="H29" s="236"/>
      <c r="I29" s="236"/>
    </row>
    <row r="30" spans="2:9" ht="15.75">
      <c r="B30" s="234"/>
      <c r="C30" s="234"/>
      <c r="D30" s="257"/>
      <c r="E30" s="235"/>
      <c r="F30" s="236"/>
      <c r="G30" s="236"/>
      <c r="H30" s="236"/>
      <c r="I30" s="236"/>
    </row>
    <row r="31" spans="2:9" ht="15.75">
      <c r="B31" s="234"/>
      <c r="C31" s="234"/>
      <c r="D31" s="257"/>
      <c r="E31" s="235"/>
      <c r="F31" s="236"/>
      <c r="G31" s="236"/>
      <c r="H31" s="236"/>
      <c r="I31" s="236"/>
    </row>
    <row r="32" spans="2:9" ht="16.5" thickBot="1">
      <c r="B32" s="193"/>
      <c r="C32" s="193"/>
      <c r="D32" s="193"/>
      <c r="E32" s="193"/>
      <c r="F32" s="193" t="s">
        <v>146</v>
      </c>
      <c r="G32" s="258">
        <f>SUM(G9:G31)</f>
        <v>0</v>
      </c>
      <c r="H32" s="258">
        <f>SUM(H9:H31)</f>
        <v>0</v>
      </c>
      <c r="I32" s="259">
        <f>SUM(I9:I31)</f>
        <v>0</v>
      </c>
    </row>
    <row r="33" spans="2:11" ht="16.5" thickTop="1">
      <c r="B33" s="74"/>
      <c r="C33" s="74"/>
      <c r="D33" s="74"/>
      <c r="E33" s="74"/>
      <c r="F33" s="74"/>
      <c r="G33" s="74"/>
      <c r="H33" s="74"/>
      <c r="I33" s="74"/>
      <c r="J33" s="250"/>
      <c r="K33" s="250"/>
    </row>
    <row r="34" spans="2:11" ht="15.75">
      <c r="B34" s="260" t="s">
        <v>66</v>
      </c>
      <c r="C34" s="261"/>
      <c r="D34" s="261"/>
      <c r="E34" s="261"/>
      <c r="F34" s="261"/>
      <c r="G34" s="261"/>
      <c r="H34" s="74"/>
      <c r="I34" s="74"/>
      <c r="J34" s="250"/>
      <c r="K34" s="250"/>
    </row>
    <row r="43" ht="15.75">
      <c r="D43" s="251"/>
    </row>
  </sheetData>
  <sheetProtection sheet="1" objects="1" scenarios="1"/>
  <printOptions/>
  <pageMargins left="1.09" right="0.4" top="1" bottom="0.5" header="0.5" footer="0.5"/>
  <pageSetup blackAndWhite="1" fitToHeight="1" fitToWidth="1" horizontalDpi="120" verticalDpi="120" orientation="landscape" scale="78" r:id="rId1"/>
  <headerFooter alignWithMargins="0">
    <oddHeader>&amp;RState of Kansas
City
</oddHeader>
    <oddFooter>&amp;CPage No. 6</oddFoot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N103" sqref="N103"/>
    </sheetView>
  </sheetViews>
  <sheetFormatPr defaultColWidth="8.796875" defaultRowHeight="15"/>
  <cols>
    <col min="1" max="1" width="2.59765625" style="646" customWidth="1"/>
    <col min="2" max="4" width="8.8984375" style="646" customWidth="1"/>
    <col min="5" max="5" width="9.69921875" style="646" customWidth="1"/>
    <col min="6" max="6" width="8.8984375" style="646" customWidth="1"/>
    <col min="7" max="7" width="9.69921875" style="646" customWidth="1"/>
    <col min="8" max="16384" width="8.8984375" style="646" customWidth="1"/>
  </cols>
  <sheetData>
    <row r="1" spans="2:9" ht="15.75">
      <c r="B1" s="645"/>
      <c r="C1" s="645"/>
      <c r="D1" s="645"/>
      <c r="E1" s="645"/>
      <c r="F1" s="645"/>
      <c r="G1" s="645"/>
      <c r="H1" s="645"/>
      <c r="I1" s="645"/>
    </row>
    <row r="2" spans="2:9" ht="15.75">
      <c r="B2" s="986" t="s">
        <v>808</v>
      </c>
      <c r="C2" s="986"/>
      <c r="D2" s="986"/>
      <c r="E2" s="986"/>
      <c r="F2" s="986"/>
      <c r="G2" s="986"/>
      <c r="H2" s="986"/>
      <c r="I2" s="986"/>
    </row>
    <row r="3" spans="2:9" ht="15.75">
      <c r="B3" s="986" t="s">
        <v>809</v>
      </c>
      <c r="C3" s="986"/>
      <c r="D3" s="986"/>
      <c r="E3" s="986"/>
      <c r="F3" s="986"/>
      <c r="G3" s="986"/>
      <c r="H3" s="986"/>
      <c r="I3" s="986"/>
    </row>
    <row r="4" spans="2:9" ht="15.75">
      <c r="B4" s="647"/>
      <c r="C4" s="647"/>
      <c r="D4" s="647"/>
      <c r="E4" s="647"/>
      <c r="F4" s="647"/>
      <c r="G4" s="647"/>
      <c r="H4" s="647"/>
      <c r="I4" s="647"/>
    </row>
    <row r="5" spans="2:9" ht="15.75">
      <c r="B5" s="987" t="str">
        <f>CONCATENATE("Budgeted Year: ",inputPrYr!C6,"")</f>
        <v>Budgeted Year: </v>
      </c>
      <c r="C5" s="987"/>
      <c r="D5" s="987"/>
      <c r="E5" s="987"/>
      <c r="F5" s="987"/>
      <c r="G5" s="987"/>
      <c r="H5" s="987"/>
      <c r="I5" s="987"/>
    </row>
    <row r="6" spans="2:9" ht="15.75">
      <c r="B6" s="648"/>
      <c r="C6" s="647"/>
      <c r="D6" s="647"/>
      <c r="E6" s="647"/>
      <c r="F6" s="647"/>
      <c r="G6" s="647"/>
      <c r="H6" s="647"/>
      <c r="I6" s="647"/>
    </row>
    <row r="7" spans="2:9" ht="15.75">
      <c r="B7" s="648" t="str">
        <f>CONCATENATE("Library found in: ",inputPrYr!D3,"")</f>
        <v>Library found in: </v>
      </c>
      <c r="C7" s="647"/>
      <c r="D7" s="647"/>
      <c r="E7" s="647"/>
      <c r="F7" s="647"/>
      <c r="G7" s="647"/>
      <c r="H7" s="647"/>
      <c r="I7" s="647"/>
    </row>
    <row r="8" spans="2:9" ht="15.75">
      <c r="B8" s="648">
        <f>inputPrYr!D4</f>
        <v>0</v>
      </c>
      <c r="C8" s="647"/>
      <c r="D8" s="647"/>
      <c r="E8" s="647"/>
      <c r="F8" s="647"/>
      <c r="G8" s="647"/>
      <c r="H8" s="647"/>
      <c r="I8" s="647"/>
    </row>
    <row r="9" spans="2:9" ht="15.75">
      <c r="B9" s="647"/>
      <c r="C9" s="647"/>
      <c r="D9" s="647"/>
      <c r="E9" s="647"/>
      <c r="F9" s="647"/>
      <c r="G9" s="647"/>
      <c r="H9" s="647"/>
      <c r="I9" s="647"/>
    </row>
    <row r="10" spans="2:9" ht="39" customHeight="1">
      <c r="B10" s="988" t="s">
        <v>810</v>
      </c>
      <c r="C10" s="988"/>
      <c r="D10" s="988"/>
      <c r="E10" s="988"/>
      <c r="F10" s="988"/>
      <c r="G10" s="988"/>
      <c r="H10" s="988"/>
      <c r="I10" s="988"/>
    </row>
    <row r="11" spans="2:9" ht="15.75">
      <c r="B11" s="647"/>
      <c r="C11" s="647"/>
      <c r="D11" s="647"/>
      <c r="E11" s="647"/>
      <c r="F11" s="647"/>
      <c r="G11" s="647"/>
      <c r="H11" s="647"/>
      <c r="I11" s="647"/>
    </row>
    <row r="12" spans="2:9" ht="15.75">
      <c r="B12" s="649" t="s">
        <v>811</v>
      </c>
      <c r="C12" s="647"/>
      <c r="D12" s="647"/>
      <c r="E12" s="647"/>
      <c r="F12" s="647"/>
      <c r="G12" s="647"/>
      <c r="H12" s="647"/>
      <c r="I12" s="647"/>
    </row>
    <row r="13" spans="2:9" ht="15.75">
      <c r="B13" s="647"/>
      <c r="C13" s="647"/>
      <c r="D13" s="647"/>
      <c r="E13" s="650" t="s">
        <v>812</v>
      </c>
      <c r="F13" s="647"/>
      <c r="G13" s="650" t="s">
        <v>813</v>
      </c>
      <c r="H13" s="647"/>
      <c r="I13" s="647"/>
    </row>
    <row r="14" spans="2:9" ht="15.75">
      <c r="B14" s="647"/>
      <c r="C14" s="647"/>
      <c r="D14" s="647"/>
      <c r="E14" s="651">
        <f>inputPrYr!C6-1</f>
        <v>-1</v>
      </c>
      <c r="F14" s="647"/>
      <c r="G14" s="651">
        <f>inputPrYr!C6</f>
        <v>0</v>
      </c>
      <c r="H14" s="647"/>
      <c r="I14" s="647"/>
    </row>
    <row r="15" spans="2:9" ht="15.75">
      <c r="B15" s="648" t="str">
        <f>'Library-Rec'!B50</f>
        <v>Ad Valorem Tax</v>
      </c>
      <c r="C15" s="647"/>
      <c r="D15" s="647"/>
      <c r="E15" s="652">
        <f>'Library-Rec'!D8</f>
        <v>0</v>
      </c>
      <c r="F15" s="647"/>
      <c r="G15" s="652">
        <f>'Library-Rec'!E42</f>
        <v>0</v>
      </c>
      <c r="H15" s="647"/>
      <c r="I15" s="647"/>
    </row>
    <row r="16" spans="2:9" ht="15.75">
      <c r="B16" s="648" t="str">
        <f>'Library-Rec'!B51</f>
        <v>Delinquent Tax</v>
      </c>
      <c r="C16" s="647"/>
      <c r="D16" s="647"/>
      <c r="E16" s="652">
        <f>'Library-Rec'!D9</f>
        <v>0</v>
      </c>
      <c r="F16" s="647"/>
      <c r="G16" s="652">
        <f>'Library-Rec'!E9</f>
        <v>0</v>
      </c>
      <c r="H16" s="647"/>
      <c r="I16" s="647"/>
    </row>
    <row r="17" spans="2:9" ht="15.75">
      <c r="B17" s="648" t="str">
        <f>'Library-Rec'!B52</f>
        <v>Motor Vehicle Tax</v>
      </c>
      <c r="C17" s="647"/>
      <c r="D17" s="647"/>
      <c r="E17" s="652">
        <f>'Library-Rec'!D10</f>
        <v>0</v>
      </c>
      <c r="F17" s="647"/>
      <c r="G17" s="652" t="str">
        <f>'Library-Rec'!E10</f>
        <v>  </v>
      </c>
      <c r="H17" s="647"/>
      <c r="I17" s="647"/>
    </row>
    <row r="18" spans="2:9" ht="15.75">
      <c r="B18" s="648" t="str">
        <f>'Library-Rec'!B53</f>
        <v>Recreational Vehicle Tax</v>
      </c>
      <c r="C18" s="647"/>
      <c r="D18" s="647"/>
      <c r="E18" s="652">
        <f>'Library-Rec'!D11</f>
        <v>0</v>
      </c>
      <c r="F18" s="647"/>
      <c r="G18" s="652" t="str">
        <f>'Library-Rec'!E11</f>
        <v>  </v>
      </c>
      <c r="H18" s="647"/>
      <c r="I18" s="647"/>
    </row>
    <row r="19" spans="2:9" ht="15.75">
      <c r="B19" s="648" t="str">
        <f>'Library-Rec'!B54</f>
        <v>16/20M Vehicle Tax</v>
      </c>
      <c r="C19" s="647"/>
      <c r="D19" s="647"/>
      <c r="E19" s="652">
        <f>'Library-Rec'!D12</f>
        <v>0</v>
      </c>
      <c r="F19" s="647"/>
      <c r="G19" s="652" t="str">
        <f>'Library-Rec'!E12</f>
        <v>  </v>
      </c>
      <c r="H19" s="647"/>
      <c r="I19" s="647"/>
    </row>
    <row r="20" spans="2:9" ht="15.75">
      <c r="B20" s="647" t="s">
        <v>108</v>
      </c>
      <c r="C20" s="647"/>
      <c r="D20" s="647"/>
      <c r="E20" s="652">
        <v>0</v>
      </c>
      <c r="F20" s="647"/>
      <c r="G20" s="652">
        <v>0</v>
      </c>
      <c r="H20" s="647"/>
      <c r="I20" s="647"/>
    </row>
    <row r="21" spans="2:9" ht="15.75">
      <c r="B21" s="647"/>
      <c r="C21" s="647"/>
      <c r="D21" s="647"/>
      <c r="E21" s="652">
        <v>0</v>
      </c>
      <c r="F21" s="647"/>
      <c r="G21" s="652">
        <v>0</v>
      </c>
      <c r="H21" s="647"/>
      <c r="I21" s="647"/>
    </row>
    <row r="22" spans="2:9" ht="15.75">
      <c r="B22" s="647" t="s">
        <v>814</v>
      </c>
      <c r="C22" s="647"/>
      <c r="D22" s="647"/>
      <c r="E22" s="653">
        <f>SUM(E15:E21)</f>
        <v>0</v>
      </c>
      <c r="F22" s="647"/>
      <c r="G22" s="653">
        <f>SUM(G15:G21)</f>
        <v>0</v>
      </c>
      <c r="H22" s="647"/>
      <c r="I22" s="647"/>
    </row>
    <row r="23" spans="2:9" ht="15.75">
      <c r="B23" s="647" t="s">
        <v>815</v>
      </c>
      <c r="C23" s="647"/>
      <c r="D23" s="647"/>
      <c r="E23" s="654">
        <f>G22-E22</f>
        <v>0</v>
      </c>
      <c r="F23" s="647"/>
      <c r="G23" s="655"/>
      <c r="H23" s="647"/>
      <c r="I23" s="647"/>
    </row>
    <row r="24" spans="2:9" ht="15.75">
      <c r="B24" s="647" t="s">
        <v>816</v>
      </c>
      <c r="C24" s="647"/>
      <c r="D24" s="656" t="str">
        <f>IF((G22-E22)&gt;=0,"Qualify","Not Qualify")</f>
        <v>Qualify</v>
      </c>
      <c r="E24" s="647"/>
      <c r="F24" s="647"/>
      <c r="G24" s="647"/>
      <c r="H24" s="647"/>
      <c r="I24" s="647"/>
    </row>
    <row r="25" spans="2:9" ht="15.75">
      <c r="B25" s="647"/>
      <c r="C25" s="647"/>
      <c r="D25" s="647"/>
      <c r="E25" s="647"/>
      <c r="F25" s="647"/>
      <c r="G25" s="647"/>
      <c r="H25" s="647"/>
      <c r="I25" s="647"/>
    </row>
    <row r="26" spans="2:9" ht="15.75">
      <c r="B26" s="649" t="s">
        <v>817</v>
      </c>
      <c r="C26" s="647"/>
      <c r="D26" s="647"/>
      <c r="E26" s="647"/>
      <c r="F26" s="647"/>
      <c r="G26" s="647"/>
      <c r="H26" s="647"/>
      <c r="I26" s="647"/>
    </row>
    <row r="27" spans="2:9" ht="15.75">
      <c r="B27" s="647" t="s">
        <v>173</v>
      </c>
      <c r="C27" s="647"/>
      <c r="D27" s="647"/>
      <c r="E27" s="652">
        <f>summ!D37</f>
        <v>0</v>
      </c>
      <c r="F27" s="647"/>
      <c r="G27" s="652">
        <f>summ!F37</f>
        <v>0</v>
      </c>
      <c r="H27" s="647"/>
      <c r="I27" s="647"/>
    </row>
    <row r="28" spans="2:9" ht="15.75">
      <c r="B28" s="647" t="s">
        <v>818</v>
      </c>
      <c r="C28" s="647"/>
      <c r="D28" s="647"/>
      <c r="E28" s="657" t="str">
        <f>IF(G27-E27&gt;=0,"No","Yes")</f>
        <v>No</v>
      </c>
      <c r="F28" s="647"/>
      <c r="G28" s="647"/>
      <c r="H28" s="647"/>
      <c r="I28" s="647"/>
    </row>
    <row r="29" spans="2:9" ht="15.75">
      <c r="B29" s="647" t="s">
        <v>819</v>
      </c>
      <c r="C29" s="647"/>
      <c r="D29" s="647"/>
      <c r="E29" s="650" t="str">
        <f>summ!E18</f>
        <v>  </v>
      </c>
      <c r="F29" s="647"/>
      <c r="G29" s="658" t="str">
        <f>summ!H18</f>
        <v>  </v>
      </c>
      <c r="H29" s="647"/>
      <c r="I29" s="647"/>
    </row>
    <row r="30" spans="2:9" ht="15.75">
      <c r="B30" s="647" t="s">
        <v>820</v>
      </c>
      <c r="C30" s="647"/>
      <c r="D30" s="647"/>
      <c r="E30" s="659" t="e">
        <f>G29-E29</f>
        <v>#VALUE!</v>
      </c>
      <c r="F30" s="647"/>
      <c r="G30" s="647"/>
      <c r="H30" s="647"/>
      <c r="I30" s="647"/>
    </row>
    <row r="31" spans="2:9" ht="15.75">
      <c r="B31" s="647" t="s">
        <v>816</v>
      </c>
      <c r="C31" s="647"/>
      <c r="D31" s="660" t="e">
        <f>IF(E30&gt;=0,"Qualify","Not Qualify")</f>
        <v>#VALUE!</v>
      </c>
      <c r="E31" s="647"/>
      <c r="F31" s="647"/>
      <c r="G31" s="647"/>
      <c r="H31" s="647"/>
      <c r="I31" s="647"/>
    </row>
    <row r="32" spans="2:9" ht="15.75">
      <c r="B32" s="647"/>
      <c r="C32" s="647"/>
      <c r="D32" s="647"/>
      <c r="E32" s="647"/>
      <c r="F32" s="647"/>
      <c r="G32" s="647"/>
      <c r="H32" s="647"/>
      <c r="I32" s="647"/>
    </row>
    <row r="33" spans="2:9" ht="15.75">
      <c r="B33" s="647" t="s">
        <v>821</v>
      </c>
      <c r="C33" s="647"/>
      <c r="D33" s="647"/>
      <c r="E33" s="647"/>
      <c r="F33" s="661" t="str">
        <f>IF(D24="Not Qualify",IF(D31="Not Qualify",IF(D31="Not Qualify","Not Qualify","Qualify"),"Qualify"),"Qualify")</f>
        <v>Qualify</v>
      </c>
      <c r="G33" s="647"/>
      <c r="H33" s="647"/>
      <c r="I33" s="647"/>
    </row>
    <row r="34" spans="2:9" ht="15.75">
      <c r="B34" s="647"/>
      <c r="C34" s="647"/>
      <c r="D34" s="647"/>
      <c r="E34" s="647"/>
      <c r="F34" s="647"/>
      <c r="G34" s="647"/>
      <c r="H34" s="647"/>
      <c r="I34" s="647"/>
    </row>
    <row r="35" spans="2:9" ht="15.75">
      <c r="B35" s="647"/>
      <c r="C35" s="647"/>
      <c r="D35" s="647"/>
      <c r="E35" s="647"/>
      <c r="F35" s="647"/>
      <c r="G35" s="647"/>
      <c r="H35" s="647"/>
      <c r="I35" s="647"/>
    </row>
    <row r="36" spans="2:9" ht="37.5" customHeight="1">
      <c r="B36" s="988" t="s">
        <v>822</v>
      </c>
      <c r="C36" s="988"/>
      <c r="D36" s="988"/>
      <c r="E36" s="988"/>
      <c r="F36" s="988"/>
      <c r="G36" s="988"/>
      <c r="H36" s="988"/>
      <c r="I36" s="988"/>
    </row>
    <row r="37" spans="2:9" ht="15.75">
      <c r="B37" s="647"/>
      <c r="C37" s="647"/>
      <c r="D37" s="647"/>
      <c r="E37" s="647"/>
      <c r="F37" s="647"/>
      <c r="G37" s="647"/>
      <c r="H37" s="647"/>
      <c r="I37" s="647"/>
    </row>
    <row r="38" spans="2:9" ht="15.75">
      <c r="B38" s="647"/>
      <c r="C38" s="647"/>
      <c r="D38" s="647"/>
      <c r="E38" s="647"/>
      <c r="F38" s="647"/>
      <c r="G38" s="647"/>
      <c r="H38" s="647"/>
      <c r="I38" s="647"/>
    </row>
    <row r="39" spans="2:9" ht="15.75">
      <c r="B39" s="647"/>
      <c r="C39" s="647"/>
      <c r="D39" s="647"/>
      <c r="E39" s="647"/>
      <c r="F39" s="647"/>
      <c r="G39" s="647"/>
      <c r="H39" s="647"/>
      <c r="I39" s="647"/>
    </row>
    <row r="40" spans="2:9" ht="15.75">
      <c r="B40" s="647"/>
      <c r="C40" s="647"/>
      <c r="D40" s="647"/>
      <c r="E40" s="662" t="s">
        <v>180</v>
      </c>
      <c r="F40" s="663">
        <v>7</v>
      </c>
      <c r="G40" s="647"/>
      <c r="H40" s="647"/>
      <c r="I40" s="647"/>
    </row>
    <row r="41" spans="2:9" ht="15.75">
      <c r="B41" s="647"/>
      <c r="C41" s="647"/>
      <c r="D41" s="647"/>
      <c r="E41" s="647"/>
      <c r="F41" s="647"/>
      <c r="G41" s="647"/>
      <c r="H41" s="647"/>
      <c r="I41" s="647"/>
    </row>
    <row r="42" spans="2:9" ht="15.75">
      <c r="B42" s="647"/>
      <c r="C42" s="647"/>
      <c r="D42" s="647"/>
      <c r="E42" s="647"/>
      <c r="F42" s="647"/>
      <c r="G42" s="647"/>
      <c r="H42" s="647"/>
      <c r="I42" s="647"/>
    </row>
    <row r="43" spans="2:9" ht="15.75">
      <c r="B43" s="989" t="s">
        <v>823</v>
      </c>
      <c r="C43" s="990"/>
      <c r="D43" s="990"/>
      <c r="E43" s="990"/>
      <c r="F43" s="990"/>
      <c r="G43" s="990"/>
      <c r="H43" s="990"/>
      <c r="I43" s="990"/>
    </row>
    <row r="44" spans="2:9" ht="15.75">
      <c r="B44" s="647"/>
      <c r="C44" s="647"/>
      <c r="D44" s="647"/>
      <c r="E44" s="647"/>
      <c r="F44" s="647"/>
      <c r="G44" s="647"/>
      <c r="H44" s="647"/>
      <c r="I44" s="647"/>
    </row>
    <row r="45" spans="2:9" ht="15.75">
      <c r="B45" s="664" t="s">
        <v>824</v>
      </c>
      <c r="C45" s="647"/>
      <c r="D45" s="647"/>
      <c r="E45" s="647"/>
      <c r="F45" s="647"/>
      <c r="G45" s="647"/>
      <c r="H45" s="647"/>
      <c r="I45" s="647"/>
    </row>
    <row r="46" spans="2:9" ht="15.75">
      <c r="B46" s="664" t="str">
        <f>CONCATENATE("sources in your ",G14," library fund is not equal to or greater than the amount from the same")</f>
        <v>sources in your 0 library fund is not equal to or greater than the amount from the same</v>
      </c>
      <c r="C46" s="647"/>
      <c r="D46" s="647"/>
      <c r="E46" s="647"/>
      <c r="F46" s="647"/>
      <c r="G46" s="647"/>
      <c r="H46" s="647"/>
      <c r="I46" s="647"/>
    </row>
    <row r="47" spans="2:9" ht="15.75">
      <c r="B47" s="664" t="str">
        <f>CONCATENATE("sources in ",E14,".")</f>
        <v>sources in -1.</v>
      </c>
      <c r="C47" s="645"/>
      <c r="D47" s="645"/>
      <c r="E47" s="645"/>
      <c r="F47" s="645"/>
      <c r="G47" s="645"/>
      <c r="H47" s="645"/>
      <c r="I47" s="645"/>
    </row>
    <row r="48" spans="2:9" ht="15.75">
      <c r="B48" s="645"/>
      <c r="C48" s="645"/>
      <c r="D48" s="645"/>
      <c r="E48" s="645"/>
      <c r="F48" s="645"/>
      <c r="G48" s="645"/>
      <c r="H48" s="645"/>
      <c r="I48" s="645"/>
    </row>
    <row r="49" spans="2:9" ht="15.75">
      <c r="B49" s="664" t="s">
        <v>825</v>
      </c>
      <c r="C49" s="664"/>
      <c r="D49" s="665"/>
      <c r="E49" s="665"/>
      <c r="F49" s="665"/>
      <c r="G49" s="665"/>
      <c r="H49" s="665"/>
      <c r="I49" s="665"/>
    </row>
    <row r="50" spans="2:9" ht="15.75">
      <c r="B50" s="664" t="s">
        <v>826</v>
      </c>
      <c r="C50" s="664"/>
      <c r="D50" s="665"/>
      <c r="E50" s="665"/>
      <c r="F50" s="665"/>
      <c r="G50" s="665"/>
      <c r="H50" s="665"/>
      <c r="I50" s="665"/>
    </row>
    <row r="51" spans="2:9" ht="15.75">
      <c r="B51" s="664" t="s">
        <v>827</v>
      </c>
      <c r="C51" s="664"/>
      <c r="D51" s="665"/>
      <c r="E51" s="665"/>
      <c r="F51" s="665"/>
      <c r="G51" s="665"/>
      <c r="H51" s="665"/>
      <c r="I51" s="665"/>
    </row>
    <row r="52" spans="2:9" ht="15">
      <c r="B52" s="665"/>
      <c r="C52" s="665"/>
      <c r="D52" s="665"/>
      <c r="E52" s="665"/>
      <c r="F52" s="665"/>
      <c r="G52" s="665"/>
      <c r="H52" s="665"/>
      <c r="I52" s="665"/>
    </row>
    <row r="53" spans="2:9" ht="15.75">
      <c r="B53" s="666" t="s">
        <v>828</v>
      </c>
      <c r="C53" s="665"/>
      <c r="D53" s="665"/>
      <c r="E53" s="665"/>
      <c r="F53" s="665"/>
      <c r="G53" s="665"/>
      <c r="H53" s="665"/>
      <c r="I53" s="665"/>
    </row>
    <row r="54" spans="2:9" ht="15">
      <c r="B54" s="665"/>
      <c r="C54" s="665"/>
      <c r="D54" s="665"/>
      <c r="E54" s="665"/>
      <c r="F54" s="665"/>
      <c r="G54" s="665"/>
      <c r="H54" s="665"/>
      <c r="I54" s="665"/>
    </row>
    <row r="55" spans="2:9" ht="15.75">
      <c r="B55" s="664" t="s">
        <v>829</v>
      </c>
      <c r="C55" s="665"/>
      <c r="D55" s="665"/>
      <c r="E55" s="665"/>
      <c r="F55" s="665"/>
      <c r="G55" s="665"/>
      <c r="H55" s="665"/>
      <c r="I55" s="665"/>
    </row>
    <row r="56" spans="2:9" ht="15.75">
      <c r="B56" s="664" t="s">
        <v>830</v>
      </c>
      <c r="C56" s="665"/>
      <c r="D56" s="665"/>
      <c r="E56" s="665"/>
      <c r="F56" s="665"/>
      <c r="G56" s="665"/>
      <c r="H56" s="665"/>
      <c r="I56" s="665"/>
    </row>
    <row r="57" spans="2:9" ht="15">
      <c r="B57" s="665"/>
      <c r="C57" s="665"/>
      <c r="D57" s="665"/>
      <c r="E57" s="665"/>
      <c r="F57" s="665"/>
      <c r="G57" s="665"/>
      <c r="H57" s="665"/>
      <c r="I57" s="665"/>
    </row>
    <row r="58" spans="2:9" ht="15.75">
      <c r="B58" s="666" t="s">
        <v>831</v>
      </c>
      <c r="C58" s="664"/>
      <c r="D58" s="664"/>
      <c r="E58" s="664"/>
      <c r="F58" s="664"/>
      <c r="G58" s="665"/>
      <c r="H58" s="665"/>
      <c r="I58" s="665"/>
    </row>
    <row r="59" spans="2:9" ht="15.75">
      <c r="B59" s="664"/>
      <c r="C59" s="664"/>
      <c r="D59" s="664"/>
      <c r="E59" s="664"/>
      <c r="F59" s="664"/>
      <c r="G59" s="665"/>
      <c r="H59" s="665"/>
      <c r="I59" s="665"/>
    </row>
    <row r="60" spans="2:9" ht="15.75">
      <c r="B60" s="664" t="s">
        <v>832</v>
      </c>
      <c r="C60" s="664"/>
      <c r="D60" s="664"/>
      <c r="E60" s="664"/>
      <c r="F60" s="664"/>
      <c r="G60" s="665"/>
      <c r="H60" s="665"/>
      <c r="I60" s="665"/>
    </row>
    <row r="61" spans="2:9" ht="15.75">
      <c r="B61" s="664" t="s">
        <v>833</v>
      </c>
      <c r="C61" s="664"/>
      <c r="D61" s="664"/>
      <c r="E61" s="664"/>
      <c r="F61" s="664"/>
      <c r="G61" s="665"/>
      <c r="H61" s="665"/>
      <c r="I61" s="665"/>
    </row>
    <row r="62" spans="2:9" ht="15.75">
      <c r="B62" s="664" t="s">
        <v>834</v>
      </c>
      <c r="C62" s="664"/>
      <c r="D62" s="664"/>
      <c r="E62" s="664"/>
      <c r="F62" s="664"/>
      <c r="G62" s="665"/>
      <c r="H62" s="665"/>
      <c r="I62" s="665"/>
    </row>
    <row r="63" spans="2:9" ht="15.75">
      <c r="B63" s="664" t="s">
        <v>835</v>
      </c>
      <c r="C63" s="664"/>
      <c r="D63" s="664"/>
      <c r="E63" s="664"/>
      <c r="F63" s="664"/>
      <c r="G63" s="665"/>
      <c r="H63" s="665"/>
      <c r="I63" s="665"/>
    </row>
    <row r="64" spans="2:9" ht="15">
      <c r="B64" s="667"/>
      <c r="C64" s="667"/>
      <c r="D64" s="667"/>
      <c r="E64" s="667"/>
      <c r="F64" s="667"/>
      <c r="G64" s="665"/>
      <c r="H64" s="665"/>
      <c r="I64" s="665"/>
    </row>
    <row r="65" spans="2:9" ht="15.75">
      <c r="B65" s="664" t="s">
        <v>836</v>
      </c>
      <c r="C65" s="667"/>
      <c r="D65" s="667"/>
      <c r="E65" s="667"/>
      <c r="F65" s="667"/>
      <c r="G65" s="665"/>
      <c r="H65" s="665"/>
      <c r="I65" s="665"/>
    </row>
    <row r="66" spans="2:9" ht="15.75">
      <c r="B66" s="664" t="s">
        <v>837</v>
      </c>
      <c r="C66" s="667"/>
      <c r="D66" s="667"/>
      <c r="E66" s="667"/>
      <c r="F66" s="667"/>
      <c r="G66" s="665"/>
      <c r="H66" s="665"/>
      <c r="I66" s="665"/>
    </row>
    <row r="67" spans="2:9" ht="15">
      <c r="B67" s="667"/>
      <c r="C67" s="667"/>
      <c r="D67" s="667"/>
      <c r="E67" s="667"/>
      <c r="F67" s="667"/>
      <c r="G67" s="665"/>
      <c r="H67" s="665"/>
      <c r="I67" s="665"/>
    </row>
    <row r="68" spans="2:9" ht="15.75">
      <c r="B68" s="664" t="s">
        <v>838</v>
      </c>
      <c r="C68" s="667"/>
      <c r="D68" s="667"/>
      <c r="E68" s="667"/>
      <c r="F68" s="667"/>
      <c r="G68" s="665"/>
      <c r="H68" s="665"/>
      <c r="I68" s="665"/>
    </row>
    <row r="69" spans="2:9" ht="15.75">
      <c r="B69" s="664" t="s">
        <v>839</v>
      </c>
      <c r="C69" s="667"/>
      <c r="D69" s="667"/>
      <c r="E69" s="667"/>
      <c r="F69" s="667"/>
      <c r="G69" s="665"/>
      <c r="H69" s="665"/>
      <c r="I69" s="665"/>
    </row>
    <row r="70" spans="2:9" ht="15">
      <c r="B70" s="667"/>
      <c r="C70" s="667"/>
      <c r="D70" s="667"/>
      <c r="E70" s="667"/>
      <c r="F70" s="667"/>
      <c r="G70" s="665"/>
      <c r="H70" s="665"/>
      <c r="I70" s="665"/>
    </row>
    <row r="71" spans="2:9" ht="15.75">
      <c r="B71" s="666" t="s">
        <v>840</v>
      </c>
      <c r="C71" s="667"/>
      <c r="D71" s="667"/>
      <c r="E71" s="667"/>
      <c r="F71" s="667"/>
      <c r="G71" s="665"/>
      <c r="H71" s="665"/>
      <c r="I71" s="665"/>
    </row>
    <row r="72" spans="2:9" ht="15">
      <c r="B72" s="667"/>
      <c r="C72" s="667"/>
      <c r="D72" s="667"/>
      <c r="E72" s="667"/>
      <c r="F72" s="667"/>
      <c r="G72" s="665"/>
      <c r="H72" s="665"/>
      <c r="I72" s="665"/>
    </row>
    <row r="73" spans="2:9" ht="15.75">
      <c r="B73" s="664" t="s">
        <v>841</v>
      </c>
      <c r="C73" s="667"/>
      <c r="D73" s="667"/>
      <c r="E73" s="667"/>
      <c r="F73" s="667"/>
      <c r="G73" s="665"/>
      <c r="H73" s="665"/>
      <c r="I73" s="665"/>
    </row>
    <row r="74" spans="2:9" ht="15.75">
      <c r="B74" s="664" t="s">
        <v>842</v>
      </c>
      <c r="C74" s="667"/>
      <c r="D74" s="667"/>
      <c r="E74" s="667"/>
      <c r="F74" s="667"/>
      <c r="G74" s="665"/>
      <c r="H74" s="665"/>
      <c r="I74" s="665"/>
    </row>
    <row r="75" spans="2:9" ht="15">
      <c r="B75" s="667"/>
      <c r="C75" s="667"/>
      <c r="D75" s="667"/>
      <c r="E75" s="667"/>
      <c r="F75" s="667"/>
      <c r="G75" s="665"/>
      <c r="H75" s="665"/>
      <c r="I75" s="665"/>
    </row>
    <row r="76" spans="2:9" ht="15.75">
      <c r="B76" s="666" t="s">
        <v>843</v>
      </c>
      <c r="C76" s="667"/>
      <c r="D76" s="667"/>
      <c r="E76" s="667"/>
      <c r="F76" s="667"/>
      <c r="G76" s="665"/>
      <c r="H76" s="665"/>
      <c r="I76" s="665"/>
    </row>
    <row r="77" spans="2:9" ht="15">
      <c r="B77" s="667"/>
      <c r="C77" s="667"/>
      <c r="D77" s="667"/>
      <c r="E77" s="667"/>
      <c r="F77" s="667"/>
      <c r="G77" s="665"/>
      <c r="H77" s="665"/>
      <c r="I77" s="665"/>
    </row>
    <row r="78" spans="2:9" ht="15.75">
      <c r="B78" s="664" t="str">
        <f>CONCATENATE("If the ",G14," municipal budget has not been published and has not been submitted to the County")</f>
        <v>If the 0 municipal budget has not been published and has not been submitted to the County</v>
      </c>
      <c r="C78" s="667"/>
      <c r="D78" s="667"/>
      <c r="E78" s="667"/>
      <c r="F78" s="667"/>
      <c r="G78" s="665"/>
      <c r="H78" s="665"/>
      <c r="I78" s="665"/>
    </row>
    <row r="79" spans="2:9" ht="15.75">
      <c r="B79" s="664" t="s">
        <v>844</v>
      </c>
      <c r="C79" s="667"/>
      <c r="D79" s="667"/>
      <c r="E79" s="667"/>
      <c r="F79" s="667"/>
      <c r="G79" s="665"/>
      <c r="H79" s="665"/>
      <c r="I79" s="665"/>
    </row>
    <row r="80" spans="2:9" ht="15">
      <c r="B80" s="667"/>
      <c r="C80" s="667"/>
      <c r="D80" s="667"/>
      <c r="E80" s="667"/>
      <c r="F80" s="667"/>
      <c r="G80" s="665"/>
      <c r="H80" s="665"/>
      <c r="I80" s="665"/>
    </row>
    <row r="81" spans="2:9" ht="15.75">
      <c r="B81" s="666" t="s">
        <v>436</v>
      </c>
      <c r="C81" s="667"/>
      <c r="D81" s="667"/>
      <c r="E81" s="667"/>
      <c r="F81" s="667"/>
      <c r="G81" s="665"/>
      <c r="H81" s="665"/>
      <c r="I81" s="665"/>
    </row>
    <row r="82" spans="2:9" ht="15">
      <c r="B82" s="667"/>
      <c r="C82" s="667"/>
      <c r="D82" s="667"/>
      <c r="E82" s="667"/>
      <c r="F82" s="667"/>
      <c r="G82" s="665"/>
      <c r="H82" s="665"/>
      <c r="I82" s="665"/>
    </row>
    <row r="83" spans="2:9" ht="15.75">
      <c r="B83" s="664" t="s">
        <v>845</v>
      </c>
      <c r="C83" s="667"/>
      <c r="D83" s="667"/>
      <c r="E83" s="667"/>
      <c r="F83" s="667"/>
      <c r="G83" s="665"/>
      <c r="H83" s="665"/>
      <c r="I83" s="665"/>
    </row>
    <row r="84" spans="2:9" ht="15.75">
      <c r="B84" s="664" t="str">
        <f>CONCATENATE("Budget Year ",G14," is equal to or greater than that for Current Year Estimate ",E14,".")</f>
        <v>Budget Year 0 is equal to or greater than that for Current Year Estimate -1.</v>
      </c>
      <c r="C84" s="667"/>
      <c r="D84" s="667"/>
      <c r="E84" s="667"/>
      <c r="F84" s="667"/>
      <c r="G84" s="665"/>
      <c r="H84" s="665"/>
      <c r="I84" s="665"/>
    </row>
    <row r="85" spans="2:9" ht="15">
      <c r="B85" s="667"/>
      <c r="C85" s="667"/>
      <c r="D85" s="667"/>
      <c r="E85" s="667"/>
      <c r="F85" s="667"/>
      <c r="G85" s="665"/>
      <c r="H85" s="665"/>
      <c r="I85" s="665"/>
    </row>
    <row r="86" spans="2:9" ht="15.75">
      <c r="B86" s="664" t="s">
        <v>846</v>
      </c>
      <c r="C86" s="667"/>
      <c r="D86" s="667"/>
      <c r="E86" s="667"/>
      <c r="F86" s="667"/>
      <c r="G86" s="665"/>
      <c r="H86" s="665"/>
      <c r="I86" s="665"/>
    </row>
    <row r="87" spans="2:9" ht="15.75">
      <c r="B87" s="664" t="s">
        <v>847</v>
      </c>
      <c r="C87" s="667"/>
      <c r="D87" s="667"/>
      <c r="E87" s="667"/>
      <c r="F87" s="667"/>
      <c r="G87" s="665"/>
      <c r="H87" s="665"/>
      <c r="I87" s="665"/>
    </row>
    <row r="88" spans="2:9" ht="15.75">
      <c r="B88" s="664" t="s">
        <v>848</v>
      </c>
      <c r="C88" s="667"/>
      <c r="D88" s="667"/>
      <c r="E88" s="667"/>
      <c r="F88" s="667"/>
      <c r="G88" s="665"/>
      <c r="H88" s="665"/>
      <c r="I88" s="665"/>
    </row>
    <row r="89" spans="2:9" ht="15.75">
      <c r="B89" s="664" t="str">
        <f>CONCATENATE("purpose for the previous (",E14,") year.")</f>
        <v>purpose for the previous (-1) year.</v>
      </c>
      <c r="C89" s="667"/>
      <c r="D89" s="667"/>
      <c r="E89" s="667"/>
      <c r="F89" s="667"/>
      <c r="G89" s="665"/>
      <c r="H89" s="665"/>
      <c r="I89" s="665"/>
    </row>
    <row r="90" spans="2:9" ht="15">
      <c r="B90" s="667"/>
      <c r="C90" s="667"/>
      <c r="D90" s="667"/>
      <c r="E90" s="667"/>
      <c r="F90" s="667"/>
      <c r="G90" s="665"/>
      <c r="H90" s="665"/>
      <c r="I90" s="665"/>
    </row>
    <row r="91" spans="2:9" ht="15.75">
      <c r="B91" s="664" t="str">
        <f>CONCATENATE("Next, look to see if delinquent tax for ",G14," is budgeted. Often this line is budgeted at $0 or left")</f>
        <v>Next, look to see if delinquent tax for 0 is budgeted. Often this line is budgeted at $0 or left</v>
      </c>
      <c r="C91" s="667"/>
      <c r="D91" s="667"/>
      <c r="E91" s="667"/>
      <c r="F91" s="667"/>
      <c r="G91" s="665"/>
      <c r="H91" s="665"/>
      <c r="I91" s="665"/>
    </row>
    <row r="92" spans="2:9" ht="15.75">
      <c r="B92" s="664" t="s">
        <v>849</v>
      </c>
      <c r="C92" s="667"/>
      <c r="D92" s="667"/>
      <c r="E92" s="667"/>
      <c r="F92" s="667"/>
      <c r="G92" s="665"/>
      <c r="H92" s="665"/>
      <c r="I92" s="665"/>
    </row>
    <row r="93" spans="2:9" ht="15.75">
      <c r="B93" s="664" t="s">
        <v>850</v>
      </c>
      <c r="C93" s="667"/>
      <c r="D93" s="667"/>
      <c r="E93" s="667"/>
      <c r="F93" s="667"/>
      <c r="G93" s="665"/>
      <c r="H93" s="665"/>
      <c r="I93" s="665"/>
    </row>
    <row r="94" spans="2:9" ht="15.75">
      <c r="B94" s="664" t="s">
        <v>851</v>
      </c>
      <c r="C94" s="667"/>
      <c r="D94" s="667"/>
      <c r="E94" s="667"/>
      <c r="F94" s="667"/>
      <c r="G94" s="665"/>
      <c r="H94" s="665"/>
      <c r="I94" s="665"/>
    </row>
    <row r="95" spans="2:9" ht="15">
      <c r="B95" s="667"/>
      <c r="C95" s="667"/>
      <c r="D95" s="667"/>
      <c r="E95" s="667"/>
      <c r="F95" s="667"/>
      <c r="G95" s="665"/>
      <c r="H95" s="665"/>
      <c r="I95" s="665"/>
    </row>
    <row r="96" spans="2:9" ht="15.75">
      <c r="B96" s="666" t="s">
        <v>852</v>
      </c>
      <c r="C96" s="667"/>
      <c r="D96" s="667"/>
      <c r="E96" s="667"/>
      <c r="F96" s="667"/>
      <c r="G96" s="665"/>
      <c r="H96" s="665"/>
      <c r="I96" s="665"/>
    </row>
    <row r="97" spans="2:9" ht="15">
      <c r="B97" s="667"/>
      <c r="C97" s="667"/>
      <c r="D97" s="667"/>
      <c r="E97" s="667"/>
      <c r="F97" s="667"/>
      <c r="G97" s="665"/>
      <c r="H97" s="665"/>
      <c r="I97" s="665"/>
    </row>
    <row r="98" spans="2:9" ht="15.75">
      <c r="B98" s="664" t="s">
        <v>853</v>
      </c>
      <c r="C98" s="667"/>
      <c r="D98" s="667"/>
      <c r="E98" s="667"/>
      <c r="F98" s="667"/>
      <c r="G98" s="665"/>
      <c r="H98" s="665"/>
      <c r="I98" s="665"/>
    </row>
    <row r="99" spans="2:9" ht="15.75">
      <c r="B99" s="664" t="s">
        <v>854</v>
      </c>
      <c r="C99" s="667"/>
      <c r="D99" s="667"/>
      <c r="E99" s="667"/>
      <c r="F99" s="667"/>
      <c r="G99" s="665"/>
      <c r="H99" s="665"/>
      <c r="I99" s="665"/>
    </row>
    <row r="100" spans="2:9" ht="15">
      <c r="B100" s="667"/>
      <c r="C100" s="667"/>
      <c r="D100" s="667"/>
      <c r="E100" s="667"/>
      <c r="F100" s="667"/>
      <c r="G100" s="665"/>
      <c r="H100" s="665"/>
      <c r="I100" s="665"/>
    </row>
    <row r="101" spans="2:9" ht="15.75">
      <c r="B101" s="664" t="s">
        <v>855</v>
      </c>
      <c r="C101" s="667"/>
      <c r="D101" s="667"/>
      <c r="E101" s="667"/>
      <c r="F101" s="667"/>
      <c r="G101" s="665"/>
      <c r="H101" s="665"/>
      <c r="I101" s="665"/>
    </row>
    <row r="102" spans="2:9" ht="15.75">
      <c r="B102" s="664" t="s">
        <v>856</v>
      </c>
      <c r="C102" s="667"/>
      <c r="D102" s="667"/>
      <c r="E102" s="667"/>
      <c r="F102" s="667"/>
      <c r="G102" s="665"/>
      <c r="H102" s="665"/>
      <c r="I102" s="665"/>
    </row>
    <row r="103" spans="2:9" ht="15.75">
      <c r="B103" s="664" t="s">
        <v>857</v>
      </c>
      <c r="C103" s="667"/>
      <c r="D103" s="667"/>
      <c r="E103" s="667"/>
      <c r="F103" s="667"/>
      <c r="G103" s="665"/>
      <c r="H103" s="665"/>
      <c r="I103" s="665"/>
    </row>
    <row r="104" spans="2:9" ht="15.75">
      <c r="B104" s="664" t="s">
        <v>858</v>
      </c>
      <c r="C104" s="667"/>
      <c r="D104" s="667"/>
      <c r="E104" s="667"/>
      <c r="F104" s="667"/>
      <c r="G104" s="665"/>
      <c r="H104" s="665"/>
      <c r="I104" s="665"/>
    </row>
    <row r="105" spans="2:9" ht="15.75">
      <c r="B105" s="716" t="s">
        <v>1026</v>
      </c>
      <c r="C105" s="717"/>
      <c r="D105" s="717"/>
      <c r="E105" s="717"/>
      <c r="F105" s="717"/>
      <c r="G105" s="665"/>
      <c r="H105" s="665"/>
      <c r="I105" s="665"/>
    </row>
    <row r="108" ht="15">
      <c r="G108" s="668"/>
    </row>
  </sheetData>
  <sheetProtection/>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P82"/>
  <sheetViews>
    <sheetView zoomScalePageLayoutView="0" workbookViewId="0" topLeftCell="A1">
      <selection activeCell="M39" sqref="M39"/>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69921875" style="75" customWidth="1"/>
    <col min="10" max="10" width="10" style="75" customWidth="1"/>
    <col min="11" max="16384" width="8.8984375" style="75" customWidth="1"/>
  </cols>
  <sheetData>
    <row r="1" spans="2:5" ht="15.75">
      <c r="B1" s="192">
        <f>(inputPrYr!D3)</f>
        <v>0</v>
      </c>
      <c r="C1" s="74"/>
      <c r="D1" s="74"/>
      <c r="E1" s="152">
        <f>inputPrYr!$C$6</f>
        <v>0</v>
      </c>
    </row>
    <row r="2" spans="2:5" ht="15.75">
      <c r="B2" s="74"/>
      <c r="C2" s="74"/>
      <c r="D2" s="74"/>
      <c r="E2" s="204"/>
    </row>
    <row r="3" spans="2:5" ht="15.75">
      <c r="B3" s="84"/>
      <c r="C3" s="209"/>
      <c r="D3" s="209"/>
      <c r="E3" s="154"/>
    </row>
    <row r="4" spans="2:5" ht="15.75">
      <c r="B4" s="84" t="s">
        <v>208</v>
      </c>
      <c r="C4" s="262"/>
      <c r="D4" s="262"/>
      <c r="E4" s="262"/>
    </row>
    <row r="5" spans="2:5" ht="15.75">
      <c r="B5" s="77" t="s">
        <v>147</v>
      </c>
      <c r="C5" s="613" t="s">
        <v>789</v>
      </c>
      <c r="D5" s="614" t="s">
        <v>790</v>
      </c>
      <c r="E5" s="165" t="s">
        <v>791</v>
      </c>
    </row>
    <row r="6" spans="2:5" ht="15.75">
      <c r="B6" s="434" t="str">
        <f>+(inputPrYr!B22)</f>
        <v>General</v>
      </c>
      <c r="C6" s="387" t="str">
        <f>CONCATENATE("Actual for ",E1-2,"")</f>
        <v>Actual for -2</v>
      </c>
      <c r="D6" s="387" t="str">
        <f>CONCATENATE("Estimate for ",E1-1,"")</f>
        <v>Estimate for -1</v>
      </c>
      <c r="E6" s="215" t="str">
        <f>CONCATENATE("Year for ",E1,"")</f>
        <v>Year for 0</v>
      </c>
    </row>
    <row r="7" spans="2:5" ht="15.75">
      <c r="B7" s="169" t="s">
        <v>254</v>
      </c>
      <c r="C7" s="399"/>
      <c r="D7" s="420">
        <f>C62</f>
        <v>0</v>
      </c>
      <c r="E7" s="263">
        <f>D62</f>
        <v>0</v>
      </c>
    </row>
    <row r="8" spans="2:5" ht="15.75">
      <c r="B8" s="264" t="s">
        <v>256</v>
      </c>
      <c r="C8" s="400"/>
      <c r="D8" s="420"/>
      <c r="E8" s="265"/>
    </row>
    <row r="9" spans="2:5" ht="15.75">
      <c r="B9" s="169" t="s">
        <v>148</v>
      </c>
      <c r="C9" s="399"/>
      <c r="D9" s="420">
        <f>IF(inputPrYr!H21&gt;0,inputPrYr!G22,inputPrYr!E22)</f>
        <v>0</v>
      </c>
      <c r="E9" s="266" t="s">
        <v>137</v>
      </c>
    </row>
    <row r="10" spans="2:5" ht="15.75">
      <c r="B10" s="169" t="s">
        <v>149</v>
      </c>
      <c r="C10" s="399"/>
      <c r="D10" s="401"/>
      <c r="E10" s="267"/>
    </row>
    <row r="11" spans="2:5" ht="15.75">
      <c r="B11" s="169" t="s">
        <v>150</v>
      </c>
      <c r="C11" s="399"/>
      <c r="D11" s="401"/>
      <c r="E11" s="268">
        <f>Mvalloc!D8</f>
        <v>0</v>
      </c>
    </row>
    <row r="12" spans="2:5" ht="15.75">
      <c r="B12" s="169" t="s">
        <v>151</v>
      </c>
      <c r="C12" s="399"/>
      <c r="D12" s="401"/>
      <c r="E12" s="268">
        <f>Mvalloc!E8</f>
        <v>0</v>
      </c>
    </row>
    <row r="13" spans="2:5" ht="15.75">
      <c r="B13" s="269" t="s">
        <v>204</v>
      </c>
      <c r="C13" s="399"/>
      <c r="D13" s="401"/>
      <c r="E13" s="268">
        <f>Mvalloc!F8</f>
        <v>0</v>
      </c>
    </row>
    <row r="14" spans="2:5" ht="15.75">
      <c r="B14" s="791" t="s">
        <v>1003</v>
      </c>
      <c r="C14" s="399"/>
      <c r="D14" s="401"/>
      <c r="E14" s="268">
        <f>Mvalloc!G8</f>
        <v>0</v>
      </c>
    </row>
    <row r="15" spans="2:5" ht="15.75">
      <c r="B15" s="791" t="s">
        <v>1004</v>
      </c>
      <c r="C15" s="399"/>
      <c r="D15" s="401"/>
      <c r="E15" s="268">
        <f>Mvalloc!H8</f>
        <v>0</v>
      </c>
    </row>
    <row r="16" spans="2:5" ht="15.75">
      <c r="B16" s="269" t="s">
        <v>247</v>
      </c>
      <c r="C16" s="399"/>
      <c r="D16" s="401"/>
      <c r="E16" s="268">
        <f>inputOth!E19</f>
        <v>0</v>
      </c>
    </row>
    <row r="17" spans="2:5" ht="15.75">
      <c r="B17" s="269" t="s">
        <v>108</v>
      </c>
      <c r="C17" s="399"/>
      <c r="D17" s="401"/>
      <c r="E17" s="268">
        <f>inputOth!E42</f>
        <v>0</v>
      </c>
    </row>
    <row r="18" spans="2:5" ht="15.75">
      <c r="B18" s="269" t="s">
        <v>110</v>
      </c>
      <c r="C18" s="399"/>
      <c r="D18" s="401"/>
      <c r="E18" s="268">
        <f>inputOth!E43</f>
        <v>0</v>
      </c>
    </row>
    <row r="19" spans="2:5" ht="15.75">
      <c r="B19" s="270"/>
      <c r="C19" s="399"/>
      <c r="D19" s="401"/>
      <c r="E19" s="267"/>
    </row>
    <row r="20" spans="2:5" ht="15.75">
      <c r="B20" s="270" t="s">
        <v>152</v>
      </c>
      <c r="C20" s="399"/>
      <c r="D20" s="401"/>
      <c r="E20" s="267"/>
    </row>
    <row r="21" spans="2:5" ht="15.75">
      <c r="B21" s="421" t="s">
        <v>620</v>
      </c>
      <c r="C21" s="399"/>
      <c r="D21" s="401"/>
      <c r="E21" s="267"/>
    </row>
    <row r="22" spans="2:5" ht="15.75">
      <c r="B22" s="270" t="s">
        <v>240</v>
      </c>
      <c r="C22" s="399"/>
      <c r="D22" s="401"/>
      <c r="E22" s="271"/>
    </row>
    <row r="23" spans="2:5" ht="15.75">
      <c r="B23" s="270" t="s">
        <v>241</v>
      </c>
      <c r="C23" s="399"/>
      <c r="D23" s="401"/>
      <c r="E23" s="267"/>
    </row>
    <row r="24" spans="2:5" ht="15.75">
      <c r="B24" s="270" t="s">
        <v>242</v>
      </c>
      <c r="C24" s="399"/>
      <c r="D24" s="401"/>
      <c r="E24" s="267"/>
    </row>
    <row r="25" spans="2:5" ht="15.75">
      <c r="B25" s="270" t="s">
        <v>243</v>
      </c>
      <c r="C25" s="399"/>
      <c r="D25" s="401"/>
      <c r="E25" s="267"/>
    </row>
    <row r="26" spans="2:5" ht="15.75">
      <c r="B26" s="47" t="s">
        <v>603</v>
      </c>
      <c r="C26" s="399"/>
      <c r="D26" s="401"/>
      <c r="E26" s="267"/>
    </row>
    <row r="27" spans="2:5" ht="15.75">
      <c r="B27" s="270"/>
      <c r="C27" s="399"/>
      <c r="D27" s="401"/>
      <c r="E27" s="267"/>
    </row>
    <row r="28" spans="2:5" ht="15.75">
      <c r="B28" s="270"/>
      <c r="C28" s="397"/>
      <c r="D28" s="401"/>
      <c r="E28" s="267"/>
    </row>
    <row r="29" spans="2:5" ht="15.75">
      <c r="B29" s="270"/>
      <c r="C29" s="397"/>
      <c r="D29" s="401"/>
      <c r="E29" s="267"/>
    </row>
    <row r="30" spans="2:5" ht="15.75">
      <c r="B30" s="270" t="s">
        <v>153</v>
      </c>
      <c r="C30" s="399"/>
      <c r="D30" s="401"/>
      <c r="E30" s="267"/>
    </row>
    <row r="31" spans="2:5" ht="15.75">
      <c r="B31" s="272" t="s">
        <v>154</v>
      </c>
      <c r="C31" s="399"/>
      <c r="D31" s="401"/>
      <c r="E31" s="267"/>
    </row>
    <row r="32" spans="2:5" ht="15.75">
      <c r="B32" s="182" t="s">
        <v>48</v>
      </c>
      <c r="C32" s="399"/>
      <c r="D32" s="401"/>
      <c r="E32" s="268">
        <f>Nhood!E7*-1</f>
        <v>0</v>
      </c>
    </row>
    <row r="33" spans="2:5" ht="15.75">
      <c r="B33" s="182" t="s">
        <v>244</v>
      </c>
      <c r="C33" s="397"/>
      <c r="D33" s="401"/>
      <c r="E33" s="273"/>
    </row>
    <row r="34" spans="2:5" ht="15.75">
      <c r="B34" s="182" t="s">
        <v>763</v>
      </c>
      <c r="C34" s="386">
        <f>IF(C35*0.1&lt;C33,"Exceed 10% Rule","")</f>
      </c>
      <c r="D34" s="402">
        <f>IF(D35*0.1&lt;D33,"Exceed 10% Rule","")</f>
      </c>
      <c r="E34" s="274">
        <f>IF((E35+E68)*0.1&lt;E33,"Exceed 10% Rule","")</f>
      </c>
    </row>
    <row r="35" spans="2:5" ht="15.75">
      <c r="B35" s="275" t="s">
        <v>155</v>
      </c>
      <c r="C35" s="396">
        <f>SUM(C9:C33)</f>
        <v>0</v>
      </c>
      <c r="D35" s="403">
        <f>SUM(D9:D33)</f>
        <v>0</v>
      </c>
      <c r="E35" s="276">
        <f>SUM(E9:E33)</f>
        <v>0</v>
      </c>
    </row>
    <row r="36" spans="2:5" ht="15.75">
      <c r="B36" s="275" t="s">
        <v>156</v>
      </c>
      <c r="C36" s="396">
        <f>C7+C35</f>
        <v>0</v>
      </c>
      <c r="D36" s="403">
        <f>D7+D35</f>
        <v>0</v>
      </c>
      <c r="E36" s="277">
        <f>E7+E35</f>
        <v>0</v>
      </c>
    </row>
    <row r="37" spans="2:5" ht="15.75">
      <c r="B37" s="264" t="s">
        <v>157</v>
      </c>
      <c r="C37" s="398"/>
      <c r="D37" s="404"/>
      <c r="E37" s="268"/>
    </row>
    <row r="38" spans="2:5" ht="15.75">
      <c r="B38" s="278" t="s">
        <v>266</v>
      </c>
      <c r="C38" s="397"/>
      <c r="D38" s="401"/>
      <c r="E38" s="417"/>
    </row>
    <row r="39" spans="2:5" ht="15.75">
      <c r="B39" s="278" t="s">
        <v>269</v>
      </c>
      <c r="C39" s="397"/>
      <c r="D39" s="401"/>
      <c r="E39" s="417"/>
    </row>
    <row r="40" spans="2:5" ht="15.75">
      <c r="B40" s="48" t="s">
        <v>604</v>
      </c>
      <c r="C40" s="397"/>
      <c r="D40" s="401"/>
      <c r="E40" s="417"/>
    </row>
    <row r="41" spans="2:5" ht="15.75">
      <c r="B41" s="48" t="s">
        <v>605</v>
      </c>
      <c r="C41" s="397"/>
      <c r="D41" s="401"/>
      <c r="E41" s="417"/>
    </row>
    <row r="42" spans="2:5" ht="15.75">
      <c r="B42" s="48" t="s">
        <v>606</v>
      </c>
      <c r="C42" s="397"/>
      <c r="D42" s="401"/>
      <c r="E42" s="417"/>
    </row>
    <row r="43" spans="2:5" ht="15.75">
      <c r="B43" s="48" t="s">
        <v>607</v>
      </c>
      <c r="C43" s="397"/>
      <c r="D43" s="401"/>
      <c r="E43" s="417"/>
    </row>
    <row r="44" spans="2:10" ht="15.75">
      <c r="B44" s="377" t="s">
        <v>608</v>
      </c>
      <c r="C44" s="397"/>
      <c r="D44" s="401"/>
      <c r="E44" s="267"/>
      <c r="G44" s="999" t="str">
        <f>CONCATENATE("Desired Carryover Into ",E1+1,"")</f>
        <v>Desired Carryover Into 1</v>
      </c>
      <c r="H44" s="1000"/>
      <c r="I44" s="1000"/>
      <c r="J44" s="1001"/>
    </row>
    <row r="45" spans="2:10" ht="15.75">
      <c r="B45" s="377"/>
      <c r="C45" s="397"/>
      <c r="D45" s="401"/>
      <c r="E45" s="267"/>
      <c r="G45" s="548"/>
      <c r="H45" s="445"/>
      <c r="I45" s="463"/>
      <c r="J45" s="549"/>
    </row>
    <row r="46" spans="2:10" ht="15.75">
      <c r="B46" s="377"/>
      <c r="C46" s="397"/>
      <c r="D46" s="401"/>
      <c r="E46" s="267"/>
      <c r="G46" s="469" t="s">
        <v>630</v>
      </c>
      <c r="H46" s="463"/>
      <c r="I46" s="463"/>
      <c r="J46" s="457">
        <v>0</v>
      </c>
    </row>
    <row r="47" spans="2:10" ht="15.75">
      <c r="B47" s="377"/>
      <c r="C47" s="397"/>
      <c r="D47" s="401"/>
      <c r="E47" s="267"/>
      <c r="G47" s="548" t="s">
        <v>629</v>
      </c>
      <c r="H47" s="445"/>
      <c r="I47" s="445"/>
      <c r="J47" s="677">
        <f>IF(J46=0,"",ROUND((J46+E68-G59)/inputOth!E9*1000,3)-G64)</f>
      </c>
    </row>
    <row r="48" spans="2:10" ht="15.75">
      <c r="B48" s="377"/>
      <c r="C48" s="397"/>
      <c r="D48" s="401"/>
      <c r="E48" s="267"/>
      <c r="G48" s="678" t="str">
        <f>CONCATENATE("",E1," Tot Exp/Non-Appr Must Be:")</f>
        <v>0 Tot Exp/Non-Appr Must Be:</v>
      </c>
      <c r="H48" s="670"/>
      <c r="I48" s="669"/>
      <c r="J48" s="679">
        <f>IF(J46&gt;0,IF(E65&lt;E36,IF(J46=G59,E65,((J46-G59)*(1-D67))+E36),E65+(J46-G59)),0)</f>
        <v>0</v>
      </c>
    </row>
    <row r="49" spans="2:10" ht="15.75">
      <c r="B49" s="377"/>
      <c r="C49" s="397"/>
      <c r="D49" s="401"/>
      <c r="E49" s="267"/>
      <c r="G49" s="680" t="s">
        <v>860</v>
      </c>
      <c r="H49" s="681"/>
      <c r="I49" s="681"/>
      <c r="J49" s="682">
        <f>IF(J46&gt;0,J48-E65,0)</f>
        <v>0</v>
      </c>
    </row>
    <row r="50" spans="2:5" ht="15.75">
      <c r="B50" s="377"/>
      <c r="C50" s="397"/>
      <c r="D50" s="401"/>
      <c r="E50" s="267"/>
    </row>
    <row r="51" spans="2:10" ht="15.75">
      <c r="B51" s="377"/>
      <c r="C51" s="397"/>
      <c r="D51" s="401"/>
      <c r="E51" s="267"/>
      <c r="G51" s="999" t="str">
        <f>CONCATENATE("Projected Carryover Into ",E1+1,"")</f>
        <v>Projected Carryover Into 1</v>
      </c>
      <c r="H51" s="1000"/>
      <c r="I51" s="1000"/>
      <c r="J51" s="1001"/>
    </row>
    <row r="52" spans="2:10" ht="15.75">
      <c r="B52" s="377"/>
      <c r="C52" s="397"/>
      <c r="D52" s="401"/>
      <c r="E52" s="267"/>
      <c r="G52" s="458"/>
      <c r="H52" s="445"/>
      <c r="I52" s="445"/>
      <c r="J52" s="459"/>
    </row>
    <row r="53" spans="2:10" ht="15.75">
      <c r="B53" s="278"/>
      <c r="C53" s="397"/>
      <c r="D53" s="401"/>
      <c r="E53" s="452"/>
      <c r="G53" s="460">
        <f>D62</f>
        <v>0</v>
      </c>
      <c r="H53" s="461" t="str">
        <f>CONCATENATE("",E1-1," Ending Cash Balance (est.)")</f>
        <v>-1 Ending Cash Balance (est.)</v>
      </c>
      <c r="I53" s="462"/>
      <c r="J53" s="459"/>
    </row>
    <row r="54" spans="2:10" ht="15.75">
      <c r="B54" s="278"/>
      <c r="C54" s="397"/>
      <c r="D54" s="401"/>
      <c r="E54" s="267"/>
      <c r="G54" s="460">
        <f>E35</f>
        <v>0</v>
      </c>
      <c r="H54" s="463" t="str">
        <f>CONCATENATE("",E1," Non-AV Receipts (est.)")</f>
        <v>0 Non-AV Receipts (est.)</v>
      </c>
      <c r="I54" s="462"/>
      <c r="J54" s="459"/>
    </row>
    <row r="55" spans="2:11" ht="15.75">
      <c r="B55" s="278"/>
      <c r="C55" s="397"/>
      <c r="D55" s="401"/>
      <c r="E55" s="267"/>
      <c r="G55" s="464">
        <f>IF(E67&gt;0,E66,E68)</f>
        <v>0</v>
      </c>
      <c r="H55" s="463" t="str">
        <f>CONCATENATE("",E1," Ad Valorem Tax (est.)")</f>
        <v>0 Ad Valorem Tax (est.)</v>
      </c>
      <c r="I55" s="462"/>
      <c r="J55" s="459"/>
      <c r="K55" s="683">
        <f>IF(G55=E68,"","Note: Does not include Delinquent Taxes")</f>
      </c>
    </row>
    <row r="56" spans="2:10" ht="15.75">
      <c r="B56" s="278"/>
      <c r="C56" s="397"/>
      <c r="D56" s="401"/>
      <c r="E56" s="267"/>
      <c r="G56" s="460">
        <f>SUM(G53:G55)</f>
        <v>0</v>
      </c>
      <c r="H56" s="463" t="str">
        <f>CONCATENATE("Total ",E1," Resources Available")</f>
        <v>Total 0 Resources Available</v>
      </c>
      <c r="I56" s="462"/>
      <c r="J56" s="459"/>
    </row>
    <row r="57" spans="2:10" ht="15.75">
      <c r="B57" s="278"/>
      <c r="C57" s="397"/>
      <c r="D57" s="401"/>
      <c r="E57" s="267"/>
      <c r="G57" s="465"/>
      <c r="H57" s="463"/>
      <c r="I57" s="463"/>
      <c r="J57" s="459"/>
    </row>
    <row r="58" spans="2:10" ht="15.75">
      <c r="B58" s="182" t="str">
        <f>CONCATENATE("Cash Forward (",E1," column)")</f>
        <v>Cash Forward (0 column)</v>
      </c>
      <c r="C58" s="397"/>
      <c r="D58" s="401"/>
      <c r="E58" s="267"/>
      <c r="G58" s="464">
        <f>ROUND(C61*0.05+C61,0)</f>
        <v>0</v>
      </c>
      <c r="H58" s="463" t="str">
        <f>CONCATENATE("Less ",E1-2," Expenditures + 5%")</f>
        <v>Less -2 Expenditures + 5%</v>
      </c>
      <c r="I58" s="462"/>
      <c r="J58" s="459"/>
    </row>
    <row r="59" spans="2:10" ht="15.75">
      <c r="B59" s="182" t="s">
        <v>244</v>
      </c>
      <c r="C59" s="397"/>
      <c r="D59" s="401"/>
      <c r="E59" s="267"/>
      <c r="G59" s="470">
        <f>G56-G58</f>
        <v>0</v>
      </c>
      <c r="H59" s="466" t="str">
        <f>CONCATENATE("Projected ",E1+1," Carryover (est.)")</f>
        <v>Projected 1 Carryover (est.)</v>
      </c>
      <c r="I59" s="467"/>
      <c r="J59" s="468"/>
    </row>
    <row r="60" spans="2:5" ht="15.75">
      <c r="B60" s="182" t="s">
        <v>762</v>
      </c>
      <c r="C60" s="386">
        <f>IF(C61*0.1&lt;C59,"Exceed 10% Rule","")</f>
      </c>
      <c r="D60" s="402">
        <f>IF(D61*0.1&lt;D59,"Exceed 10% Rule","")</f>
      </c>
      <c r="E60" s="274">
        <f>IF(E61*0.1&lt;E59,"Exceed 10% Rule","")</f>
      </c>
    </row>
    <row r="61" spans="2:10" ht="15.75">
      <c r="B61" s="275" t="s">
        <v>158</v>
      </c>
      <c r="C61" s="396">
        <f>SUM(C38:C59)</f>
        <v>0</v>
      </c>
      <c r="D61" s="403">
        <f>SUM(D38:D59)</f>
        <v>0</v>
      </c>
      <c r="E61" s="276">
        <f>SUM(E38:E59)</f>
        <v>0</v>
      </c>
      <c r="G61" s="1002" t="s">
        <v>861</v>
      </c>
      <c r="H61" s="1003"/>
      <c r="I61" s="1003"/>
      <c r="J61" s="1004"/>
    </row>
    <row r="62" spans="2:10" ht="15.75">
      <c r="B62" s="169" t="s">
        <v>255</v>
      </c>
      <c r="C62" s="385">
        <f>C36-C61</f>
        <v>0</v>
      </c>
      <c r="D62" s="221">
        <f>D36-D61</f>
        <v>0</v>
      </c>
      <c r="E62" s="266" t="s">
        <v>137</v>
      </c>
      <c r="G62" s="684"/>
      <c r="H62" s="461"/>
      <c r="I62" s="671"/>
      <c r="J62" s="685"/>
    </row>
    <row r="63" spans="2:10" ht="15.75">
      <c r="B63" s="333" t="str">
        <f>CONCATENATE("",E1-2,"/",E1-1,"/",E1," Budget Authority Amount:")</f>
        <v>-2/-1/0 Budget Authority Amount:</v>
      </c>
      <c r="C63" s="404">
        <f>inputOth!B61</f>
        <v>0</v>
      </c>
      <c r="D63" s="404">
        <f>inputPrYr!D22</f>
        <v>0</v>
      </c>
      <c r="E63" s="135">
        <f>E61</f>
        <v>0</v>
      </c>
      <c r="F63" s="279"/>
      <c r="G63" s="686" t="str">
        <f>summ!H16</f>
        <v>  </v>
      </c>
      <c r="H63" s="461" t="str">
        <f>CONCATENATE("",E1," Fund Mill Rate")</f>
        <v>0 Fund Mill Rate</v>
      </c>
      <c r="I63" s="671"/>
      <c r="J63" s="685"/>
    </row>
    <row r="64" spans="2:10" ht="15.75">
      <c r="B64" s="200"/>
      <c r="C64" s="995" t="s">
        <v>621</v>
      </c>
      <c r="D64" s="996"/>
      <c r="E64" s="90"/>
      <c r="F64" s="451">
        <f>IF(E61/0.95-E61&lt;E64,"Exceeds 5%","")</f>
      </c>
      <c r="G64" s="687" t="str">
        <f>summ!E16</f>
        <v>  </v>
      </c>
      <c r="H64" s="461" t="str">
        <f>CONCATENATE("",E1-1," Fund Mill Rate")</f>
        <v>-1 Fund Mill Rate</v>
      </c>
      <c r="I64" s="671"/>
      <c r="J64" s="685"/>
    </row>
    <row r="65" spans="2:10" ht="15.75">
      <c r="B65" s="405" t="str">
        <f>CONCATENATE(C81,"     ",D81)</f>
        <v>     </v>
      </c>
      <c r="C65" s="997" t="s">
        <v>622</v>
      </c>
      <c r="D65" s="998"/>
      <c r="E65" s="180">
        <f>E61+E64</f>
        <v>0</v>
      </c>
      <c r="G65" s="688">
        <f>summ!H31</f>
        <v>0</v>
      </c>
      <c r="H65" s="461" t="str">
        <f>CONCATENATE("Total ",E1," Mill Rate")</f>
        <v>Total 0 Mill Rate</v>
      </c>
      <c r="I65" s="671"/>
      <c r="J65" s="685"/>
    </row>
    <row r="66" spans="2:10" ht="15.75">
      <c r="B66" s="405" t="str">
        <f>CONCATENATE(C82,"     ",D82)</f>
        <v>     </v>
      </c>
      <c r="C66" s="280"/>
      <c r="D66" s="204" t="s">
        <v>159</v>
      </c>
      <c r="E66" s="97">
        <f>IF(E65-E36&gt;0,E65-E36,0)</f>
        <v>0</v>
      </c>
      <c r="G66" s="687">
        <f>summ!E31</f>
        <v>0</v>
      </c>
      <c r="H66" s="689" t="str">
        <f>CONCATENATE("Total ",E1-1," Mill Rate")</f>
        <v>Total -1 Mill Rate</v>
      </c>
      <c r="I66" s="690"/>
      <c r="J66" s="691"/>
    </row>
    <row r="67" spans="2:10" ht="15.75">
      <c r="B67" s="281"/>
      <c r="C67" s="422" t="s">
        <v>623</v>
      </c>
      <c r="D67" s="617">
        <f>inputOth!E47</f>
        <v>0</v>
      </c>
      <c r="E67" s="180">
        <f>ROUND(IF(inputOth!E47&gt;0,(E66*inputOth!E47),0),0)</f>
        <v>0</v>
      </c>
      <c r="G67" s="482"/>
      <c r="H67" s="480"/>
      <c r="I67" s="480"/>
      <c r="J67" s="672"/>
    </row>
    <row r="68" spans="2:10" ht="16.5" thickBot="1">
      <c r="B68" s="74"/>
      <c r="C68" s="993" t="str">
        <f>CONCATENATE("Amount of  ",E1-1," Ad Valorem Tax")</f>
        <v>Amount of  -1 Ad Valorem Tax</v>
      </c>
      <c r="D68" s="994"/>
      <c r="E68" s="618">
        <f>E66+E67</f>
        <v>0</v>
      </c>
      <c r="G68" s="801"/>
      <c r="H68" s="807"/>
      <c r="I68" s="800"/>
      <c r="J68" s="806"/>
    </row>
    <row r="69" spans="2:10" ht="16.5" thickTop="1">
      <c r="B69" s="74"/>
      <c r="C69" s="596"/>
      <c r="D69" s="596"/>
      <c r="E69" s="596"/>
      <c r="G69" s="799" t="str">
        <f>CONCATENATE("Computed ",E1," tax levy limit amount")</f>
        <v>Computed 0 tax levy limit amount</v>
      </c>
      <c r="H69" s="802"/>
      <c r="I69" s="802"/>
      <c r="J69" s="798">
        <f>Comp1!J47</f>
        <v>0</v>
      </c>
    </row>
    <row r="70" spans="2:16" ht="15.75">
      <c r="B70" s="815" t="s">
        <v>1025</v>
      </c>
      <c r="C70" s="816"/>
      <c r="D70" s="816"/>
      <c r="E70" s="817"/>
      <c r="G70" s="797" t="str">
        <f>CONCATENATE("Total ",E1," tax levy amount")</f>
        <v>Total 0 tax levy amount</v>
      </c>
      <c r="H70" s="796"/>
      <c r="I70" s="796"/>
      <c r="J70" s="795">
        <f>summ!G31</f>
        <v>0</v>
      </c>
      <c r="M70" s="991"/>
      <c r="N70" s="991"/>
      <c r="O70" s="991"/>
      <c r="P70" s="992"/>
    </row>
    <row r="71" spans="2:16" ht="15.75">
      <c r="B71" s="103"/>
      <c r="C71" s="596"/>
      <c r="D71" s="596"/>
      <c r="E71" s="818"/>
      <c r="G71" s="392"/>
      <c r="H71" s="392"/>
      <c r="I71" s="392"/>
      <c r="J71" s="392"/>
      <c r="M71" s="480"/>
      <c r="N71" s="480"/>
      <c r="O71" s="480"/>
      <c r="P71" s="480"/>
    </row>
    <row r="72" spans="2:16" ht="15.75">
      <c r="B72" s="183"/>
      <c r="C72" s="819"/>
      <c r="D72" s="819"/>
      <c r="E72" s="820"/>
      <c r="F72" s="441"/>
      <c r="L72" s="485"/>
      <c r="M72" s="481"/>
      <c r="N72" s="482"/>
      <c r="O72" s="482"/>
      <c r="P72" s="483"/>
    </row>
    <row r="73" spans="2:16" ht="15.75">
      <c r="B73" s="204"/>
      <c r="C73" s="74"/>
      <c r="D73" s="74"/>
      <c r="E73" s="74"/>
      <c r="F73" s="392"/>
      <c r="M73" s="454"/>
      <c r="N73" s="392"/>
      <c r="O73" s="454"/>
      <c r="P73" s="483"/>
    </row>
    <row r="74" spans="2:16" ht="15.75">
      <c r="B74" s="200" t="s">
        <v>161</v>
      </c>
      <c r="C74" s="620">
        <f>IF(inputPrYr!D24&gt;0,8,7)</f>
        <v>7</v>
      </c>
      <c r="D74" s="446"/>
      <c r="E74" s="74"/>
      <c r="F74" s="392"/>
      <c r="M74" s="454"/>
      <c r="N74" s="392"/>
      <c r="O74" s="454"/>
      <c r="P74" s="484"/>
    </row>
    <row r="75" ht="14.25" customHeight="1">
      <c r="F75" s="392"/>
    </row>
    <row r="76" spans="3:6" ht="15.75">
      <c r="C76" s="389"/>
      <c r="D76" s="389"/>
      <c r="E76" s="453"/>
      <c r="F76" s="392"/>
    </row>
    <row r="77" spans="3:6" ht="15.75" hidden="1">
      <c r="C77" s="454"/>
      <c r="D77" s="392"/>
      <c r="E77" s="453"/>
      <c r="F77" s="392"/>
    </row>
    <row r="78" spans="3:5" ht="15.75" hidden="1">
      <c r="C78" s="455"/>
      <c r="D78" s="456"/>
      <c r="E78" s="453"/>
    </row>
    <row r="79" spans="3:5" ht="15.75">
      <c r="C79" s="390"/>
      <c r="D79" s="392"/>
      <c r="E79" s="392"/>
    </row>
    <row r="80" spans="3:5" ht="15.75">
      <c r="C80" s="390"/>
      <c r="D80" s="392"/>
      <c r="E80" s="392"/>
    </row>
    <row r="81" spans="3:5" ht="15.75">
      <c r="C81" s="440">
        <f>IF(C61&gt;C63,"See Tab A","")</f>
      </c>
      <c r="D81" s="439">
        <f>IF(D61&gt;D63,"See Tab C","")</f>
      </c>
      <c r="E81" s="392"/>
    </row>
    <row r="82" spans="3:4" ht="15.75">
      <c r="C82" s="438">
        <f>IF(C62&lt;0,"See Tab B","")</f>
      </c>
      <c r="D82" s="438">
        <f>IF(D62&lt;0,"See Tab D","")</f>
      </c>
    </row>
  </sheetData>
  <sheetProtection sheet="1"/>
  <mergeCells count="7">
    <mergeCell ref="M70:P70"/>
    <mergeCell ref="C68:D68"/>
    <mergeCell ref="C64:D64"/>
    <mergeCell ref="C65:D65"/>
    <mergeCell ref="G44:J44"/>
    <mergeCell ref="G51:J51"/>
    <mergeCell ref="G61:J61"/>
  </mergeCells>
  <conditionalFormatting sqref="E59">
    <cfRule type="cellIs" priority="3" dxfId="148" operator="greaterThan" stopIfTrue="1">
      <formula>$E$61*0.1</formula>
    </cfRule>
  </conditionalFormatting>
  <conditionalFormatting sqref="E64">
    <cfRule type="cellIs" priority="4" dxfId="148" operator="greaterThan" stopIfTrue="1">
      <formula>$E$61/0.95-$E$61</formula>
    </cfRule>
  </conditionalFormatting>
  <conditionalFormatting sqref="C62">
    <cfRule type="cellIs" priority="5" dxfId="1" operator="lessThan" stopIfTrue="1">
      <formula>0</formula>
    </cfRule>
  </conditionalFormatting>
  <conditionalFormatting sqref="C61">
    <cfRule type="cellIs" priority="6" dxfId="1" operator="greaterThan" stopIfTrue="1">
      <formula>$C$63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3">
    <cfRule type="cellIs" priority="10" dxfId="1" operator="greaterThan" stopIfTrue="1">
      <formula>$C$35*0.1</formula>
    </cfRule>
  </conditionalFormatting>
  <conditionalFormatting sqref="D33">
    <cfRule type="cellIs" priority="11" dxfId="1" operator="greaterThan" stopIfTrue="1">
      <formula>$D$35*0.1</formula>
    </cfRule>
  </conditionalFormatting>
  <conditionalFormatting sqref="E33">
    <cfRule type="cellIs" priority="12" dxfId="148" operator="greaterThan" stopIfTrue="1">
      <formula>($E$35+E68)*0.1</formula>
    </cfRule>
  </conditionalFormatting>
  <conditionalFormatting sqref="D62">
    <cfRule type="cellIs" priority="2" dxfId="0" operator="lessThan" stopIfTrue="1">
      <formula>0</formula>
    </cfRule>
  </conditionalFormatting>
  <conditionalFormatting sqref="D61">
    <cfRule type="cellIs" priority="1" dxfId="0" operator="greaterThan" stopIfTrue="1">
      <formula>$D$63</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P119" sqref="P119"/>
    </sheetView>
  </sheetViews>
  <sheetFormatPr defaultColWidth="8.796875" defaultRowHeight="15"/>
  <cols>
    <col min="1" max="1" width="28.296875" style="61" customWidth="1"/>
    <col min="2" max="3" width="15.796875" style="61" customWidth="1"/>
    <col min="4" max="4" width="16.3984375" style="61" customWidth="1"/>
    <col min="5" max="16384" width="8.8984375" style="61" customWidth="1"/>
  </cols>
  <sheetData>
    <row r="1" spans="1:4" ht="15.75">
      <c r="A1" s="192">
        <f>inputPrYr!D3</f>
        <v>0</v>
      </c>
      <c r="B1" s="74"/>
      <c r="C1" s="333"/>
      <c r="D1" s="74">
        <f>inputPrYr!C6</f>
        <v>0</v>
      </c>
    </row>
    <row r="2" spans="1:4" ht="15.75">
      <c r="A2" s="74"/>
      <c r="B2" s="74"/>
      <c r="C2" s="74"/>
      <c r="D2" s="333"/>
    </row>
    <row r="3" spans="1:4" ht="15.75">
      <c r="A3" s="84" t="s">
        <v>59</v>
      </c>
      <c r="B3" s="334"/>
      <c r="C3" s="334"/>
      <c r="D3" s="334"/>
    </row>
    <row r="4" spans="1:4" ht="15.75">
      <c r="A4" s="333" t="s">
        <v>147</v>
      </c>
      <c r="B4" s="619" t="s">
        <v>789</v>
      </c>
      <c r="C4" s="165" t="s">
        <v>790</v>
      </c>
      <c r="D4" s="165" t="s">
        <v>791</v>
      </c>
    </row>
    <row r="5" spans="1:4" ht="15.75">
      <c r="A5" s="95" t="s">
        <v>752</v>
      </c>
      <c r="B5" s="387" t="str">
        <f>CONCATENATE("Actual for ",D1-2,"")</f>
        <v>Actual for -2</v>
      </c>
      <c r="C5" s="387" t="str">
        <f>CONCATENATE("Estimate for ",D1-1,"")</f>
        <v>Estimate for -1</v>
      </c>
      <c r="D5" s="215" t="str">
        <f>CONCATENATE("Year for ",D1,"")</f>
        <v>Year for 0</v>
      </c>
    </row>
    <row r="6" spans="1:4" ht="15.75">
      <c r="A6" s="231" t="s">
        <v>157</v>
      </c>
      <c r="B6" s="109"/>
      <c r="C6" s="109"/>
      <c r="D6" s="109"/>
    </row>
    <row r="7" spans="1:4" ht="15.75">
      <c r="A7" s="335"/>
      <c r="B7" s="109"/>
      <c r="C7" s="109"/>
      <c r="D7" s="109"/>
    </row>
    <row r="8" spans="1:4" ht="15.75">
      <c r="A8" s="336" t="s">
        <v>60</v>
      </c>
      <c r="B8" s="320"/>
      <c r="C8" s="320"/>
      <c r="D8" s="320"/>
    </row>
    <row r="9" spans="1:4" ht="15.75">
      <c r="A9" s="336" t="s">
        <v>61</v>
      </c>
      <c r="B9" s="320"/>
      <c r="C9" s="320"/>
      <c r="D9" s="320"/>
    </row>
    <row r="10" spans="1:4" ht="15.75">
      <c r="A10" s="336" t="s">
        <v>62</v>
      </c>
      <c r="B10" s="320"/>
      <c r="C10" s="320"/>
      <c r="D10" s="320"/>
    </row>
    <row r="11" spans="1:4" ht="15.75">
      <c r="A11" s="336" t="s">
        <v>63</v>
      </c>
      <c r="B11" s="320"/>
      <c r="C11" s="320"/>
      <c r="D11" s="320"/>
    </row>
    <row r="12" spans="1:4" ht="15.75">
      <c r="A12" s="336"/>
      <c r="B12" s="320"/>
      <c r="C12" s="320"/>
      <c r="D12" s="320"/>
    </row>
    <row r="13" spans="1:4" ht="15.75">
      <c r="A13" s="93"/>
      <c r="B13" s="320"/>
      <c r="C13" s="320"/>
      <c r="D13" s="320"/>
    </row>
    <row r="14" spans="1:4" ht="15.75">
      <c r="A14" s="93"/>
      <c r="B14" s="320"/>
      <c r="C14" s="320"/>
      <c r="D14" s="320"/>
    </row>
    <row r="15" spans="1:4" ht="15.75">
      <c r="A15" s="231" t="s">
        <v>120</v>
      </c>
      <c r="B15" s="324">
        <f>SUM(B8:B14)</f>
        <v>0</v>
      </c>
      <c r="C15" s="324">
        <f>SUM(C8:C14)</f>
        <v>0</v>
      </c>
      <c r="D15" s="324">
        <f>SUM(D8:D14)</f>
        <v>0</v>
      </c>
    </row>
    <row r="16" spans="1:4" ht="15.75">
      <c r="A16" s="282"/>
      <c r="B16" s="192"/>
      <c r="C16" s="192"/>
      <c r="D16" s="192"/>
    </row>
    <row r="17" spans="1:4" ht="15.75">
      <c r="A17" s="336" t="s">
        <v>60</v>
      </c>
      <c r="B17" s="320"/>
      <c r="C17" s="320"/>
      <c r="D17" s="320"/>
    </row>
    <row r="18" spans="1:4" ht="15.75">
      <c r="A18" s="336" t="s">
        <v>61</v>
      </c>
      <c r="B18" s="320"/>
      <c r="C18" s="320"/>
      <c r="D18" s="320"/>
    </row>
    <row r="19" spans="1:4" ht="15.75">
      <c r="A19" s="336" t="s">
        <v>62</v>
      </c>
      <c r="B19" s="320"/>
      <c r="C19" s="320"/>
      <c r="D19" s="320"/>
    </row>
    <row r="20" spans="1:4" ht="15.75">
      <c r="A20" s="336" t="s">
        <v>63</v>
      </c>
      <c r="B20" s="320"/>
      <c r="C20" s="320"/>
      <c r="D20" s="320"/>
    </row>
    <row r="21" spans="1:4" ht="15.75">
      <c r="A21" s="336"/>
      <c r="B21" s="320"/>
      <c r="C21" s="320"/>
      <c r="D21" s="320"/>
    </row>
    <row r="22" spans="1:4" ht="15.75">
      <c r="A22" s="231" t="s">
        <v>120</v>
      </c>
      <c r="B22" s="324">
        <f>SUM(B17:B21)</f>
        <v>0</v>
      </c>
      <c r="C22" s="324">
        <f>SUM(C17:C21)</f>
        <v>0</v>
      </c>
      <c r="D22" s="324">
        <f>SUM(D17:D21)</f>
        <v>0</v>
      </c>
    </row>
    <row r="23" spans="1:4" ht="15.75">
      <c r="A23" s="282"/>
      <c r="B23" s="192"/>
      <c r="C23" s="192"/>
      <c r="D23" s="192"/>
    </row>
    <row r="24" spans="1:4" ht="15.75">
      <c r="A24" s="336" t="s">
        <v>60</v>
      </c>
      <c r="B24" s="320"/>
      <c r="C24" s="320"/>
      <c r="D24" s="320"/>
    </row>
    <row r="25" spans="1:4" ht="15.75">
      <c r="A25" s="336" t="s">
        <v>61</v>
      </c>
      <c r="B25" s="320"/>
      <c r="C25" s="320"/>
      <c r="D25" s="320"/>
    </row>
    <row r="26" spans="1:4" ht="15.75">
      <c r="A26" s="336" t="s">
        <v>62</v>
      </c>
      <c r="B26" s="320"/>
      <c r="C26" s="320"/>
      <c r="D26" s="320"/>
    </row>
    <row r="27" spans="1:4" ht="15.75">
      <c r="A27" s="336" t="s">
        <v>63</v>
      </c>
      <c r="B27" s="320"/>
      <c r="C27" s="320"/>
      <c r="D27" s="320"/>
    </row>
    <row r="28" spans="1:4" ht="15.75">
      <c r="A28" s="336"/>
      <c r="B28" s="320"/>
      <c r="C28" s="320"/>
      <c r="D28" s="320"/>
    </row>
    <row r="29" spans="1:4" ht="15.75">
      <c r="A29" s="231" t="s">
        <v>120</v>
      </c>
      <c r="B29" s="324">
        <f>SUM(B24:B28)</f>
        <v>0</v>
      </c>
      <c r="C29" s="324">
        <f>SUM(C24:C28)</f>
        <v>0</v>
      </c>
      <c r="D29" s="324">
        <f>SUM(D24:D28)</f>
        <v>0</v>
      </c>
    </row>
    <row r="30" spans="1:4" ht="15.75">
      <c r="A30" s="282"/>
      <c r="B30" s="192"/>
      <c r="C30" s="192"/>
      <c r="D30" s="192"/>
    </row>
    <row r="31" spans="1:4" ht="15.75">
      <c r="A31" s="336" t="s">
        <v>60</v>
      </c>
      <c r="B31" s="320"/>
      <c r="C31" s="320"/>
      <c r="D31" s="320"/>
    </row>
    <row r="32" spans="1:4" ht="15.75">
      <c r="A32" s="336" t="s">
        <v>61</v>
      </c>
      <c r="B32" s="320"/>
      <c r="C32" s="320"/>
      <c r="D32" s="320"/>
    </row>
    <row r="33" spans="1:4" ht="15.75">
      <c r="A33" s="336" t="s">
        <v>62</v>
      </c>
      <c r="B33" s="320"/>
      <c r="C33" s="320"/>
      <c r="D33" s="320"/>
    </row>
    <row r="34" spans="1:4" ht="15.75">
      <c r="A34" s="336" t="s">
        <v>63</v>
      </c>
      <c r="B34" s="320"/>
      <c r="C34" s="320"/>
      <c r="D34" s="320"/>
    </row>
    <row r="35" spans="1:4" ht="15.75">
      <c r="A35" s="231" t="s">
        <v>120</v>
      </c>
      <c r="B35" s="324">
        <f>SUM(B31:B34)</f>
        <v>0</v>
      </c>
      <c r="C35" s="324">
        <f>SUM(C31:C34)</f>
        <v>0</v>
      </c>
      <c r="D35" s="324">
        <f>SUM(D31:D34)</f>
        <v>0</v>
      </c>
    </row>
    <row r="36" spans="1:4" ht="15.75">
      <c r="A36" s="282"/>
      <c r="B36" s="192"/>
      <c r="C36" s="192"/>
      <c r="D36" s="192"/>
    </row>
    <row r="37" spans="1:4" ht="15.75">
      <c r="A37" s="336" t="s">
        <v>60</v>
      </c>
      <c r="B37" s="320"/>
      <c r="C37" s="320"/>
      <c r="D37" s="320"/>
    </row>
    <row r="38" spans="1:4" ht="15.75">
      <c r="A38" s="336" t="s">
        <v>61</v>
      </c>
      <c r="B38" s="320"/>
      <c r="C38" s="320"/>
      <c r="D38" s="320"/>
    </row>
    <row r="39" spans="1:4" ht="15.75">
      <c r="A39" s="336" t="s">
        <v>62</v>
      </c>
      <c r="B39" s="320"/>
      <c r="C39" s="320"/>
      <c r="D39" s="320"/>
    </row>
    <row r="40" spans="1:4" ht="15.75">
      <c r="A40" s="336" t="s">
        <v>63</v>
      </c>
      <c r="B40" s="320"/>
      <c r="C40" s="320"/>
      <c r="D40" s="320"/>
    </row>
    <row r="41" spans="1:4" ht="15.75">
      <c r="A41" s="336"/>
      <c r="B41" s="320"/>
      <c r="C41" s="320"/>
      <c r="D41" s="320"/>
    </row>
    <row r="42" spans="1:4" ht="15.75">
      <c r="A42" s="231" t="s">
        <v>120</v>
      </c>
      <c r="B42" s="324">
        <f>SUM(B37:B41)</f>
        <v>0</v>
      </c>
      <c r="C42" s="324">
        <f>SUM(C37:C41)</f>
        <v>0</v>
      </c>
      <c r="D42" s="324">
        <f>SUM(D37:D41)</f>
        <v>0</v>
      </c>
    </row>
    <row r="43" spans="1:4" ht="15.75">
      <c r="A43" s="282"/>
      <c r="B43" s="192"/>
      <c r="C43" s="192"/>
      <c r="D43" s="192"/>
    </row>
    <row r="44" spans="1:4" ht="15.75">
      <c r="A44" s="336" t="s">
        <v>60</v>
      </c>
      <c r="B44" s="320"/>
      <c r="C44" s="320"/>
      <c r="D44" s="320"/>
    </row>
    <row r="45" spans="1:4" ht="15.75">
      <c r="A45" s="336" t="s">
        <v>61</v>
      </c>
      <c r="B45" s="320"/>
      <c r="C45" s="320"/>
      <c r="D45" s="320"/>
    </row>
    <row r="46" spans="1:4" ht="15.75">
      <c r="A46" s="336" t="s">
        <v>62</v>
      </c>
      <c r="B46" s="320"/>
      <c r="C46" s="320"/>
      <c r="D46" s="320"/>
    </row>
    <row r="47" spans="1:4" ht="15.75">
      <c r="A47" s="336" t="s">
        <v>63</v>
      </c>
      <c r="B47" s="320"/>
      <c r="C47" s="320"/>
      <c r="D47" s="320"/>
    </row>
    <row r="48" spans="1:4" ht="15.75">
      <c r="A48" s="336"/>
      <c r="B48" s="320"/>
      <c r="C48" s="320"/>
      <c r="D48" s="320"/>
    </row>
    <row r="49" spans="1:4" ht="15.75">
      <c r="A49" s="231" t="s">
        <v>120</v>
      </c>
      <c r="B49" s="324">
        <f>SUM(B44:B48)</f>
        <v>0</v>
      </c>
      <c r="C49" s="324">
        <f>SUM(C44:C48)</f>
        <v>0</v>
      </c>
      <c r="D49" s="324">
        <f>SUM(D44:D48)</f>
        <v>0</v>
      </c>
    </row>
    <row r="50" spans="1:4" ht="15.75">
      <c r="A50" s="282"/>
      <c r="B50" s="192"/>
      <c r="C50" s="192"/>
      <c r="D50" s="192"/>
    </row>
    <row r="51" spans="1:4" ht="15.75">
      <c r="A51" s="336" t="s">
        <v>60</v>
      </c>
      <c r="B51" s="320"/>
      <c r="C51" s="320"/>
      <c r="D51" s="320"/>
    </row>
    <row r="52" spans="1:4" ht="15.75">
      <c r="A52" s="336" t="s">
        <v>61</v>
      </c>
      <c r="B52" s="320"/>
      <c r="C52" s="320"/>
      <c r="D52" s="320"/>
    </row>
    <row r="53" spans="1:4" ht="15.75">
      <c r="A53" s="336" t="s">
        <v>62</v>
      </c>
      <c r="B53" s="320"/>
      <c r="C53" s="320"/>
      <c r="D53" s="320"/>
    </row>
    <row r="54" spans="1:4" ht="15.75">
      <c r="A54" s="336" t="s">
        <v>63</v>
      </c>
      <c r="B54" s="320"/>
      <c r="C54" s="320"/>
      <c r="D54" s="320"/>
    </row>
    <row r="55" spans="1:4" ht="15.75">
      <c r="A55" s="336"/>
      <c r="B55" s="320"/>
      <c r="C55" s="320"/>
      <c r="D55" s="320"/>
    </row>
    <row r="56" spans="1:4" ht="15.75">
      <c r="A56" s="231" t="s">
        <v>120</v>
      </c>
      <c r="B56" s="324">
        <f>SUM(B51:B55)</f>
        <v>0</v>
      </c>
      <c r="C56" s="324">
        <f>SUM(C51:C55)</f>
        <v>0</v>
      </c>
      <c r="D56" s="324">
        <f>SUM(D51:D55)</f>
        <v>0</v>
      </c>
    </row>
    <row r="57" spans="1:4" ht="15.75">
      <c r="A57" s="282"/>
      <c r="B57" s="192"/>
      <c r="C57" s="192"/>
      <c r="D57" s="192"/>
    </row>
    <row r="58" spans="1:4" ht="15.75">
      <c r="A58" s="336" t="s">
        <v>60</v>
      </c>
      <c r="B58" s="320"/>
      <c r="C58" s="320"/>
      <c r="D58" s="320"/>
    </row>
    <row r="59" spans="1:4" ht="15.75">
      <c r="A59" s="336" t="s">
        <v>61</v>
      </c>
      <c r="B59" s="320"/>
      <c r="C59" s="320"/>
      <c r="D59" s="320"/>
    </row>
    <row r="60" spans="1:4" ht="15.75">
      <c r="A60" s="336" t="s">
        <v>62</v>
      </c>
      <c r="B60" s="320"/>
      <c r="C60" s="320"/>
      <c r="D60" s="320"/>
    </row>
    <row r="61" spans="1:4" ht="15.75">
      <c r="A61" s="336" t="s">
        <v>63</v>
      </c>
      <c r="B61" s="320"/>
      <c r="C61" s="320"/>
      <c r="D61" s="320"/>
    </row>
    <row r="62" spans="1:4" ht="15.75">
      <c r="A62" s="336"/>
      <c r="B62" s="320"/>
      <c r="C62" s="320"/>
      <c r="D62" s="320"/>
    </row>
    <row r="63" spans="1:4" ht="15.75">
      <c r="A63" s="231" t="s">
        <v>120</v>
      </c>
      <c r="B63" s="324">
        <f>SUM(B58:B62)</f>
        <v>0</v>
      </c>
      <c r="C63" s="324">
        <f>SUM(C58:C62)</f>
        <v>0</v>
      </c>
      <c r="D63" s="324">
        <f>SUM(D58:D62)</f>
        <v>0</v>
      </c>
    </row>
    <row r="64" spans="1:4" ht="15.75">
      <c r="A64" s="74"/>
      <c r="B64" s="192"/>
      <c r="C64" s="192"/>
      <c r="D64" s="192"/>
    </row>
    <row r="65" spans="1:4" ht="16.5" thickBot="1">
      <c r="A65" s="231" t="s">
        <v>64</v>
      </c>
      <c r="B65" s="337">
        <f>B15+B22+B29+B35+B42+B49+B56+B63</f>
        <v>0</v>
      </c>
      <c r="C65" s="337">
        <f>C15+C22+C29+C35+C42+C49+C56+C63</f>
        <v>0</v>
      </c>
      <c r="D65" s="337">
        <f>D15+D22+D29+D35+D42+D49+D56+D63</f>
        <v>0</v>
      </c>
    </row>
    <row r="66" spans="1:4" ht="16.5" thickTop="1">
      <c r="A66" s="74"/>
      <c r="B66" s="192"/>
      <c r="C66" s="192"/>
      <c r="D66" s="192"/>
    </row>
    <row r="67" spans="1:4" ht="15.75">
      <c r="A67" s="200" t="s">
        <v>161</v>
      </c>
      <c r="B67" s="192" t="str">
        <f>CONCATENATE("",general!C74,"b")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P76"/>
  <sheetViews>
    <sheetView zoomScalePageLayoutView="0" workbookViewId="0" topLeftCell="A1">
      <selection activeCell="M45" sqref="M45"/>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796875" style="75" customWidth="1"/>
    <col min="10" max="10" width="10" style="75" customWidth="1"/>
    <col min="11" max="16384" width="8.8984375" style="75" customWidth="1"/>
  </cols>
  <sheetData>
    <row r="1" spans="2:5" ht="15.75">
      <c r="B1" s="192">
        <f>(inputPrYr!D3)</f>
        <v>0</v>
      </c>
      <c r="C1" s="74"/>
      <c r="D1" s="74"/>
      <c r="E1" s="152">
        <f>inputPrYr!$C$6</f>
        <v>0</v>
      </c>
    </row>
    <row r="2" spans="2:5" ht="15.75">
      <c r="B2" s="74"/>
      <c r="C2" s="74"/>
      <c r="D2" s="74"/>
      <c r="E2" s="204"/>
    </row>
    <row r="3" spans="2:5" ht="15.75">
      <c r="B3" s="84" t="s">
        <v>208</v>
      </c>
      <c r="C3" s="262"/>
      <c r="D3" s="262"/>
      <c r="E3" s="262"/>
    </row>
    <row r="4" spans="2:5" ht="15.75">
      <c r="B4" s="77" t="s">
        <v>147</v>
      </c>
      <c r="C4" s="613" t="s">
        <v>789</v>
      </c>
      <c r="D4" s="614" t="s">
        <v>790</v>
      </c>
      <c r="E4" s="165" t="s">
        <v>791</v>
      </c>
    </row>
    <row r="5" spans="2:5" ht="15.75">
      <c r="B5" s="434" t="str">
        <f>+(inputPrYr!B23)</f>
        <v>Debt Service</v>
      </c>
      <c r="C5" s="387" t="str">
        <f>CONCATENATE("Actual for ",E1-2,"")</f>
        <v>Actual for -2</v>
      </c>
      <c r="D5" s="387" t="str">
        <f>CONCATENATE("Estimate for ",E1-1,"")</f>
        <v>Estimate for -1</v>
      </c>
      <c r="E5" s="215" t="str">
        <f>CONCATENATE("Year for ",E1,"")</f>
        <v>Year for 0</v>
      </c>
    </row>
    <row r="6" spans="2:5" ht="15.75">
      <c r="B6" s="169" t="s">
        <v>254</v>
      </c>
      <c r="C6" s="399"/>
      <c r="D6" s="420">
        <f>C56</f>
        <v>0</v>
      </c>
      <c r="E6" s="263">
        <f>D56</f>
        <v>0</v>
      </c>
    </row>
    <row r="7" spans="2:5" ht="15.75">
      <c r="B7" s="264" t="s">
        <v>256</v>
      </c>
      <c r="C7" s="400"/>
      <c r="D7" s="420"/>
      <c r="E7" s="265"/>
    </row>
    <row r="8" spans="2:5" ht="15.75">
      <c r="B8" s="169" t="s">
        <v>148</v>
      </c>
      <c r="C8" s="399"/>
      <c r="D8" s="420">
        <f>IF(inputPrYr!H21&gt;0,inputPrYr!G23,inputPrYr!E23)</f>
        <v>0</v>
      </c>
      <c r="E8" s="266" t="s">
        <v>137</v>
      </c>
    </row>
    <row r="9" spans="2:5" ht="15.75">
      <c r="B9" s="169" t="s">
        <v>149</v>
      </c>
      <c r="C9" s="399"/>
      <c r="D9" s="401"/>
      <c r="E9" s="267"/>
    </row>
    <row r="10" spans="2:5" ht="15.75">
      <c r="B10" s="169" t="s">
        <v>150</v>
      </c>
      <c r="C10" s="399"/>
      <c r="D10" s="401"/>
      <c r="E10" s="268" t="str">
        <f>Mvalloc!D9</f>
        <v>  </v>
      </c>
    </row>
    <row r="11" spans="2:5" ht="15.75">
      <c r="B11" s="169" t="s">
        <v>151</v>
      </c>
      <c r="C11" s="399"/>
      <c r="D11" s="401"/>
      <c r="E11" s="268" t="str">
        <f>Mvalloc!E9</f>
        <v>  </v>
      </c>
    </row>
    <row r="12" spans="2:5" ht="15.75">
      <c r="B12" s="269" t="s">
        <v>204</v>
      </c>
      <c r="C12" s="399"/>
      <c r="D12" s="401"/>
      <c r="E12" s="268" t="str">
        <f>Mvalloc!F9</f>
        <v>  </v>
      </c>
    </row>
    <row r="13" spans="2:5" ht="15.75">
      <c r="B13" s="791" t="s">
        <v>1003</v>
      </c>
      <c r="C13" s="399"/>
      <c r="D13" s="401"/>
      <c r="E13" s="268" t="str">
        <f>Mvalloc!G9</f>
        <v>  </v>
      </c>
    </row>
    <row r="14" spans="2:5" ht="15.75">
      <c r="B14" s="791" t="s">
        <v>1004</v>
      </c>
      <c r="C14" s="399"/>
      <c r="D14" s="401"/>
      <c r="E14" s="268" t="str">
        <f>Mvalloc!H9</f>
        <v>  </v>
      </c>
    </row>
    <row r="15" spans="2:5" ht="15.75">
      <c r="B15" s="270"/>
      <c r="C15" s="399"/>
      <c r="D15" s="401"/>
      <c r="E15" s="267"/>
    </row>
    <row r="16" spans="2:5" ht="15.75">
      <c r="B16" s="421"/>
      <c r="C16" s="399"/>
      <c r="D16" s="401"/>
      <c r="E16" s="267"/>
    </row>
    <row r="17" spans="2:5" ht="15.75">
      <c r="B17" s="270"/>
      <c r="C17" s="399"/>
      <c r="D17" s="401"/>
      <c r="E17" s="271"/>
    </row>
    <row r="18" spans="2:5" ht="15.75">
      <c r="B18" s="270"/>
      <c r="C18" s="399"/>
      <c r="D18" s="401"/>
      <c r="E18" s="267"/>
    </row>
    <row r="19" spans="2:5" ht="15.75">
      <c r="B19" s="47"/>
      <c r="C19" s="399"/>
      <c r="D19" s="401"/>
      <c r="E19" s="267"/>
    </row>
    <row r="20" spans="2:5" ht="15.75">
      <c r="B20" s="270"/>
      <c r="C20" s="399"/>
      <c r="D20" s="401"/>
      <c r="E20" s="267"/>
    </row>
    <row r="21" spans="2:5" ht="15.75">
      <c r="B21" s="270"/>
      <c r="C21" s="397"/>
      <c r="D21" s="401"/>
      <c r="E21" s="267"/>
    </row>
    <row r="22" spans="2:5" ht="15.75">
      <c r="B22" s="270"/>
      <c r="C22" s="397"/>
      <c r="D22" s="401"/>
      <c r="E22" s="267"/>
    </row>
    <row r="23" spans="2:5" ht="15.75">
      <c r="B23" s="270"/>
      <c r="C23" s="399"/>
      <c r="D23" s="401"/>
      <c r="E23" s="267"/>
    </row>
    <row r="24" spans="2:5" ht="15.75">
      <c r="B24" s="270"/>
      <c r="C24" s="399"/>
      <c r="D24" s="401"/>
      <c r="E24" s="267"/>
    </row>
    <row r="25" spans="2:5" ht="15.75">
      <c r="B25" s="272" t="s">
        <v>154</v>
      </c>
      <c r="C25" s="399"/>
      <c r="D25" s="401"/>
      <c r="E25" s="267"/>
    </row>
    <row r="26" spans="2:5" ht="15.75">
      <c r="B26" s="182" t="s">
        <v>48</v>
      </c>
      <c r="C26" s="399"/>
      <c r="D26" s="401"/>
      <c r="E26" s="268">
        <f>Nhood!E8*-1</f>
        <v>0</v>
      </c>
    </row>
    <row r="27" spans="2:5" ht="15.75">
      <c r="B27" s="182" t="s">
        <v>244</v>
      </c>
      <c r="C27" s="397"/>
      <c r="D27" s="401"/>
      <c r="E27" s="273"/>
    </row>
    <row r="28" spans="2:5" ht="15.75">
      <c r="B28" s="182" t="s">
        <v>763</v>
      </c>
      <c r="C28" s="386">
        <f>IF(C29*0.1&lt;C27,"Exceed 10% Rule","")</f>
      </c>
      <c r="D28" s="402">
        <f>IF(D29*0.1&lt;D27,"Exceed 10% Rule","")</f>
      </c>
      <c r="E28" s="274">
        <f>IF((E29+E62)*0.1&lt;E27,"Exceed 10% Rule","")</f>
      </c>
    </row>
    <row r="29" spans="2:5" ht="15.75">
      <c r="B29" s="275" t="s">
        <v>155</v>
      </c>
      <c r="C29" s="396">
        <f>SUM(C8:C27)</f>
        <v>0</v>
      </c>
      <c r="D29" s="403">
        <f>SUM(D8:D27)</f>
        <v>0</v>
      </c>
      <c r="E29" s="276">
        <f>SUM(E8:E27)</f>
        <v>0</v>
      </c>
    </row>
    <row r="30" spans="2:5" ht="15.75">
      <c r="B30" s="275" t="s">
        <v>156</v>
      </c>
      <c r="C30" s="396">
        <f>C6+C29</f>
        <v>0</v>
      </c>
      <c r="D30" s="403">
        <f>D6+D29</f>
        <v>0</v>
      </c>
      <c r="E30" s="277">
        <f>E6+E29</f>
        <v>0</v>
      </c>
    </row>
    <row r="31" spans="2:5" ht="15.75">
      <c r="B31" s="264" t="s">
        <v>157</v>
      </c>
      <c r="C31" s="398"/>
      <c r="D31" s="404"/>
      <c r="E31" s="268"/>
    </row>
    <row r="32" spans="2:5" ht="15.75">
      <c r="B32" s="278"/>
      <c r="C32" s="397"/>
      <c r="D32" s="401"/>
      <c r="E32" s="417"/>
    </row>
    <row r="33" spans="2:5" ht="15.75">
      <c r="B33" s="278"/>
      <c r="C33" s="397"/>
      <c r="D33" s="401"/>
      <c r="E33" s="417"/>
    </row>
    <row r="34" spans="2:5" ht="15.75">
      <c r="B34" s="48"/>
      <c r="C34" s="397"/>
      <c r="D34" s="401"/>
      <c r="E34" s="417"/>
    </row>
    <row r="35" spans="2:5" ht="15.75">
      <c r="B35" s="48"/>
      <c r="C35" s="397"/>
      <c r="D35" s="401"/>
      <c r="E35" s="417"/>
    </row>
    <row r="36" spans="2:5" ht="15.75">
      <c r="B36" s="48"/>
      <c r="C36" s="397"/>
      <c r="D36" s="401"/>
      <c r="E36" s="417"/>
    </row>
    <row r="37" spans="2:5" ht="15.75">
      <c r="B37" s="48"/>
      <c r="C37" s="397"/>
      <c r="D37" s="401"/>
      <c r="E37" s="417"/>
    </row>
    <row r="38" spans="2:10" ht="15.75">
      <c r="B38" s="377"/>
      <c r="C38" s="397"/>
      <c r="D38" s="401"/>
      <c r="E38" s="267"/>
      <c r="G38" s="999" t="str">
        <f>CONCATENATE("Desired Carryover Into ",E1+1,"")</f>
        <v>Desired Carryover Into 1</v>
      </c>
      <c r="H38" s="1000"/>
      <c r="I38" s="1000"/>
      <c r="J38" s="1001"/>
    </row>
    <row r="39" spans="2:10" ht="15.75">
      <c r="B39" s="377"/>
      <c r="C39" s="397"/>
      <c r="D39" s="401"/>
      <c r="E39" s="267"/>
      <c r="G39" s="548"/>
      <c r="H39" s="445"/>
      <c r="I39" s="463"/>
      <c r="J39" s="549"/>
    </row>
    <row r="40" spans="2:10" ht="15.75">
      <c r="B40" s="377"/>
      <c r="C40" s="397"/>
      <c r="D40" s="401"/>
      <c r="E40" s="267"/>
      <c r="G40" s="469" t="s">
        <v>630</v>
      </c>
      <c r="H40" s="463"/>
      <c r="I40" s="463"/>
      <c r="J40" s="457">
        <v>0</v>
      </c>
    </row>
    <row r="41" spans="2:10" ht="15.75">
      <c r="B41" s="377"/>
      <c r="C41" s="397"/>
      <c r="D41" s="401"/>
      <c r="E41" s="267"/>
      <c r="G41" s="548" t="s">
        <v>629</v>
      </c>
      <c r="H41" s="445"/>
      <c r="I41" s="445"/>
      <c r="J41" s="677">
        <f>IF(J40=0,"",ROUND((J40+E62-G53)/inputOth!E9*1000,3)-G58)</f>
      </c>
    </row>
    <row r="42" spans="2:10" ht="15.75">
      <c r="B42" s="377"/>
      <c r="C42" s="397"/>
      <c r="D42" s="401"/>
      <c r="E42" s="267"/>
      <c r="G42" s="678" t="str">
        <f>CONCATENATE("",E1," Tot Exp/Non-Appr Must Be:")</f>
        <v>0 Tot Exp/Non-Appr Must Be:</v>
      </c>
      <c r="H42" s="670"/>
      <c r="I42" s="669"/>
      <c r="J42" s="679">
        <f>IF(J40&gt;0,IF(E59&lt;E30,IF(J40=G53,E59,((J40-G53)*(1-D61))+E30),E59+(J40-G53)),0)</f>
        <v>0</v>
      </c>
    </row>
    <row r="43" spans="2:10" ht="15.75">
      <c r="B43" s="377"/>
      <c r="C43" s="397"/>
      <c r="D43" s="401"/>
      <c r="E43" s="267"/>
      <c r="G43" s="680" t="s">
        <v>860</v>
      </c>
      <c r="H43" s="681"/>
      <c r="I43" s="681"/>
      <c r="J43" s="682">
        <f>IF(J40&gt;0,J42-E59,0)</f>
        <v>0</v>
      </c>
    </row>
    <row r="44" spans="2:5" ht="15.75">
      <c r="B44" s="377"/>
      <c r="C44" s="397"/>
      <c r="D44" s="401"/>
      <c r="E44" s="267"/>
    </row>
    <row r="45" spans="2:10" ht="15.75">
      <c r="B45" s="377"/>
      <c r="C45" s="397"/>
      <c r="D45" s="401"/>
      <c r="E45" s="267"/>
      <c r="G45" s="999" t="str">
        <f>CONCATENATE("Projected Carryover Into ",E1+1,"")</f>
        <v>Projected Carryover Into 1</v>
      </c>
      <c r="H45" s="1000"/>
      <c r="I45" s="1000"/>
      <c r="J45" s="1001"/>
    </row>
    <row r="46" spans="2:10" ht="15.75">
      <c r="B46" s="377"/>
      <c r="C46" s="397"/>
      <c r="D46" s="401"/>
      <c r="E46" s="267"/>
      <c r="G46" s="458"/>
      <c r="H46" s="445"/>
      <c r="I46" s="445"/>
      <c r="J46" s="459"/>
    </row>
    <row r="47" spans="2:10" ht="15.75">
      <c r="B47" s="278"/>
      <c r="C47" s="397"/>
      <c r="D47" s="401"/>
      <c r="E47" s="452"/>
      <c r="G47" s="460">
        <f>D56</f>
        <v>0</v>
      </c>
      <c r="H47" s="461" t="str">
        <f>CONCATENATE("",E1-1," Ending Cash Balance (est.)")</f>
        <v>-1 Ending Cash Balance (est.)</v>
      </c>
      <c r="I47" s="462"/>
      <c r="J47" s="459"/>
    </row>
    <row r="48" spans="2:10" ht="15.75">
      <c r="B48" s="278"/>
      <c r="C48" s="397"/>
      <c r="D48" s="401"/>
      <c r="E48" s="267"/>
      <c r="G48" s="460">
        <f>E29</f>
        <v>0</v>
      </c>
      <c r="H48" s="463" t="str">
        <f>CONCATENATE("",E1," Non-AV Receipts (est.)")</f>
        <v>0 Non-AV Receipts (est.)</v>
      </c>
      <c r="I48" s="462"/>
      <c r="J48" s="459"/>
    </row>
    <row r="49" spans="2:11" ht="15.75">
      <c r="B49" s="278"/>
      <c r="C49" s="397"/>
      <c r="D49" s="401"/>
      <c r="E49" s="267"/>
      <c r="G49" s="464">
        <f>IF(E61&gt;0,E60,E62)</f>
        <v>0</v>
      </c>
      <c r="H49" s="463" t="str">
        <f>CONCATENATE("",E1," Ad Valorem Tax (est.)")</f>
        <v>0 Ad Valorem Tax (est.)</v>
      </c>
      <c r="I49" s="462"/>
      <c r="J49" s="459"/>
      <c r="K49" s="683">
        <f>IF(G49=E62,"","Note: Does not include Delinquent Taxes")</f>
      </c>
    </row>
    <row r="50" spans="2:10" ht="15.75">
      <c r="B50" s="278"/>
      <c r="C50" s="397"/>
      <c r="D50" s="401"/>
      <c r="E50" s="267"/>
      <c r="G50" s="460">
        <f>SUM(G47:G49)</f>
        <v>0</v>
      </c>
      <c r="H50" s="463" t="str">
        <f>CONCATENATE("Total ",E1," Resources Available")</f>
        <v>Total 0 Resources Available</v>
      </c>
      <c r="I50" s="462"/>
      <c r="J50" s="459"/>
    </row>
    <row r="51" spans="2:10" ht="15.75">
      <c r="B51" s="278"/>
      <c r="C51" s="397"/>
      <c r="D51" s="401"/>
      <c r="E51" s="267"/>
      <c r="G51" s="465"/>
      <c r="H51" s="463"/>
      <c r="I51" s="463"/>
      <c r="J51" s="459"/>
    </row>
    <row r="52" spans="2:10" ht="15.75">
      <c r="B52" s="182" t="str">
        <f>CONCATENATE("Cash Basis Reserve (",E1," column)")</f>
        <v>Cash Basis Reserve (0 column)</v>
      </c>
      <c r="C52" s="397"/>
      <c r="D52" s="401"/>
      <c r="E52" s="267"/>
      <c r="G52" s="464">
        <f>ROUND(C55*0.05+C55,0)</f>
        <v>0</v>
      </c>
      <c r="H52" s="463" t="str">
        <f>CONCATENATE("Less ",E1-2," Expenditures + 5%")</f>
        <v>Less -2 Expenditures + 5%</v>
      </c>
      <c r="I52" s="462"/>
      <c r="J52" s="459"/>
    </row>
    <row r="53" spans="2:10" ht="15.75">
      <c r="B53" s="182" t="s">
        <v>244</v>
      </c>
      <c r="C53" s="397"/>
      <c r="D53" s="401"/>
      <c r="E53" s="267"/>
      <c r="G53" s="470">
        <f>G50-G52</f>
        <v>0</v>
      </c>
      <c r="H53" s="466" t="str">
        <f>CONCATENATE("Projected ",E1+1," Carryover (est.)")</f>
        <v>Projected 1 Carryover (est.)</v>
      </c>
      <c r="I53" s="467"/>
      <c r="J53" s="468"/>
    </row>
    <row r="54" spans="2:5" ht="15.75">
      <c r="B54" s="182" t="s">
        <v>762</v>
      </c>
      <c r="C54" s="386">
        <f>IF(C55*0.1&lt;C53,"Exceed 10% Rule","")</f>
      </c>
      <c r="D54" s="402">
        <f>IF(D55*0.1&lt;D53,"Exceed 10% Rule","")</f>
      </c>
      <c r="E54" s="274">
        <f>IF(E55*0.1&lt;E53,"Exceed 10% Rule","")</f>
      </c>
    </row>
    <row r="55" spans="2:10" ht="15.75">
      <c r="B55" s="275" t="s">
        <v>158</v>
      </c>
      <c r="C55" s="396">
        <f>SUM(C32:C53)</f>
        <v>0</v>
      </c>
      <c r="D55" s="403">
        <f>SUM(D32:D53)</f>
        <v>0</v>
      </c>
      <c r="E55" s="276">
        <f>SUM(E32:E53)</f>
        <v>0</v>
      </c>
      <c r="G55" s="1002" t="s">
        <v>861</v>
      </c>
      <c r="H55" s="1003"/>
      <c r="I55" s="1003"/>
      <c r="J55" s="1004"/>
    </row>
    <row r="56" spans="2:10" ht="15.75">
      <c r="B56" s="169" t="s">
        <v>255</v>
      </c>
      <c r="C56" s="385">
        <f>C30-C55</f>
        <v>0</v>
      </c>
      <c r="D56" s="221">
        <f>D30-D55</f>
        <v>0</v>
      </c>
      <c r="E56" s="266" t="s">
        <v>137</v>
      </c>
      <c r="G56" s="684"/>
      <c r="H56" s="461"/>
      <c r="I56" s="671"/>
      <c r="J56" s="685"/>
    </row>
    <row r="57" spans="2:10" ht="15.75">
      <c r="B57" s="333" t="str">
        <f>CONCATENATE("",E1-2,"/",E1-1,"/",E1," Budget Authority Amount:")</f>
        <v>-2/-1/0 Budget Authority Amount:</v>
      </c>
      <c r="C57" s="404">
        <f>inputOth!B61</f>
        <v>0</v>
      </c>
      <c r="D57" s="404">
        <f>inputPrYr!D22</f>
        <v>0</v>
      </c>
      <c r="E57" s="135">
        <f>E55</f>
        <v>0</v>
      </c>
      <c r="F57" s="279"/>
      <c r="G57" s="686" t="str">
        <f>summ!H17</f>
        <v>  </v>
      </c>
      <c r="H57" s="461" t="str">
        <f>CONCATENATE("",E1," Fund Mill Rate")</f>
        <v>0 Fund Mill Rate</v>
      </c>
      <c r="I57" s="671"/>
      <c r="J57" s="685"/>
    </row>
    <row r="58" spans="2:10" ht="15.75">
      <c r="B58" s="200"/>
      <c r="C58" s="995" t="s">
        <v>621</v>
      </c>
      <c r="D58" s="996"/>
      <c r="E58" s="90"/>
      <c r="F58" s="451">
        <f>IF(E55/0.95-E55&lt;E58,"Exceeds 5%","")</f>
      </c>
      <c r="G58" s="687" t="str">
        <f>summ!E17</f>
        <v>  </v>
      </c>
      <c r="H58" s="461" t="str">
        <f>CONCATENATE("",E1-1," Fund Mill Rate")</f>
        <v>-1 Fund Mill Rate</v>
      </c>
      <c r="I58" s="671"/>
      <c r="J58" s="685"/>
    </row>
    <row r="59" spans="2:10" ht="15.75">
      <c r="B59" s="436" t="str">
        <f>CONCATENATE(C75,"     ",D75)</f>
        <v>     </v>
      </c>
      <c r="C59" s="997" t="s">
        <v>622</v>
      </c>
      <c r="D59" s="998"/>
      <c r="E59" s="180">
        <f>E55+E58</f>
        <v>0</v>
      </c>
      <c r="G59" s="688">
        <f>summ!H31</f>
        <v>0</v>
      </c>
      <c r="H59" s="461" t="str">
        <f>CONCATENATE("Total ",E1," Mill Rate")</f>
        <v>Total 0 Mill Rate</v>
      </c>
      <c r="I59" s="671"/>
      <c r="J59" s="685"/>
    </row>
    <row r="60" spans="2:10" ht="15.75">
      <c r="B60" s="436" t="str">
        <f>CONCATENATE(C76,"     ",D76)</f>
        <v>     </v>
      </c>
      <c r="C60" s="280"/>
      <c r="D60" s="204" t="s">
        <v>159</v>
      </c>
      <c r="E60" s="97">
        <f>IF(E59-E30&gt;0,E59-E30,0)</f>
        <v>0</v>
      </c>
      <c r="G60" s="687">
        <f>summ!E31</f>
        <v>0</v>
      </c>
      <c r="H60" s="689" t="str">
        <f>CONCATENATE("Total ",E1-1," Mill Rate")</f>
        <v>Total -1 Mill Rate</v>
      </c>
      <c r="I60" s="690"/>
      <c r="J60" s="691"/>
    </row>
    <row r="61" spans="2:10" ht="15.75">
      <c r="B61" s="281"/>
      <c r="C61" s="422" t="s">
        <v>623</v>
      </c>
      <c r="D61" s="617">
        <f>inputOth!E47</f>
        <v>0</v>
      </c>
      <c r="E61" s="180">
        <f>ROUND(IF(inputOth!E47&gt;0,(E60*inputOth!E47),0),0)</f>
        <v>0</v>
      </c>
      <c r="G61" s="482"/>
      <c r="H61" s="480"/>
      <c r="I61" s="480"/>
      <c r="J61" s="672"/>
    </row>
    <row r="62" spans="2:10" ht="16.5" thickBot="1">
      <c r="B62" s="74"/>
      <c r="C62" s="993" t="str">
        <f>CONCATENATE("Amount of  ",E1-1," Ad Valorem Tax")</f>
        <v>Amount of  -1 Ad Valorem Tax</v>
      </c>
      <c r="D62" s="994"/>
      <c r="E62" s="618">
        <f>E60+E61</f>
        <v>0</v>
      </c>
      <c r="G62" s="801"/>
      <c r="H62" s="807"/>
      <c r="I62" s="800"/>
      <c r="J62" s="806"/>
    </row>
    <row r="63" spans="2:10" ht="16.5" thickTop="1">
      <c r="B63" s="74"/>
      <c r="C63" s="596"/>
      <c r="D63" s="596"/>
      <c r="E63" s="596"/>
      <c r="G63" s="821"/>
      <c r="H63" s="822"/>
      <c r="I63" s="823"/>
      <c r="J63" s="824"/>
    </row>
    <row r="64" spans="2:10" ht="15.75">
      <c r="B64" s="815" t="s">
        <v>1025</v>
      </c>
      <c r="C64" s="816"/>
      <c r="D64" s="816"/>
      <c r="E64" s="817"/>
      <c r="G64" s="821"/>
      <c r="H64" s="822"/>
      <c r="I64" s="823"/>
      <c r="J64" s="824"/>
    </row>
    <row r="65" spans="2:10" ht="15.75">
      <c r="B65" s="103"/>
      <c r="C65" s="596"/>
      <c r="D65" s="596"/>
      <c r="E65" s="818"/>
      <c r="G65" s="799" t="str">
        <f>CONCATENATE("Computed ",E1," tax levy limit amount")</f>
        <v>Computed 0 tax levy limit amount</v>
      </c>
      <c r="H65" s="802"/>
      <c r="I65" s="802"/>
      <c r="J65" s="798">
        <f>Comp1!J47</f>
        <v>0</v>
      </c>
    </row>
    <row r="66" spans="2:16" ht="15.75">
      <c r="B66" s="183"/>
      <c r="C66" s="819"/>
      <c r="D66" s="819"/>
      <c r="E66" s="820"/>
      <c r="G66" s="797" t="str">
        <f>CONCATENATE("Total ",E1," tax levy amount")</f>
        <v>Total 0 tax levy amount</v>
      </c>
      <c r="H66" s="796"/>
      <c r="I66" s="796"/>
      <c r="J66" s="795">
        <f>summ!G31</f>
        <v>0</v>
      </c>
      <c r="M66" s="705"/>
      <c r="N66" s="705"/>
      <c r="O66" s="705"/>
      <c r="P66" s="706"/>
    </row>
    <row r="67" spans="2:16" ht="15.75">
      <c r="B67" s="204"/>
      <c r="C67" s="74"/>
      <c r="D67" s="74"/>
      <c r="E67" s="74"/>
      <c r="M67" s="480"/>
      <c r="N67" s="480"/>
      <c r="O67" s="480"/>
      <c r="P67" s="480"/>
    </row>
    <row r="68" spans="2:16" ht="15.75">
      <c r="B68" s="200" t="s">
        <v>161</v>
      </c>
      <c r="C68" s="745"/>
      <c r="D68" s="446"/>
      <c r="E68" s="74"/>
      <c r="F68" s="441"/>
      <c r="L68" s="485"/>
      <c r="M68" s="481"/>
      <c r="N68" s="482"/>
      <c r="O68" s="482"/>
      <c r="P68" s="483"/>
    </row>
    <row r="69" spans="6:16" ht="15.75">
      <c r="F69" s="392"/>
      <c r="M69" s="454"/>
      <c r="N69" s="392"/>
      <c r="O69" s="454"/>
      <c r="P69" s="483"/>
    </row>
    <row r="70" spans="3:16" ht="15.75">
      <c r="C70" s="389"/>
      <c r="D70" s="389"/>
      <c r="E70" s="453"/>
      <c r="F70" s="392"/>
      <c r="M70" s="454"/>
      <c r="N70" s="392"/>
      <c r="O70" s="454"/>
      <c r="P70" s="484"/>
    </row>
    <row r="71" spans="3:6" ht="14.25" customHeight="1">
      <c r="C71" s="454"/>
      <c r="D71" s="392"/>
      <c r="E71" s="453"/>
      <c r="F71" s="392"/>
    </row>
    <row r="72" spans="3:6" ht="15.75">
      <c r="C72" s="455"/>
      <c r="D72" s="456"/>
      <c r="E72" s="453"/>
      <c r="F72" s="392"/>
    </row>
    <row r="73" spans="3:6" ht="15.75" hidden="1">
      <c r="C73" s="390"/>
      <c r="D73" s="392"/>
      <c r="E73" s="392"/>
      <c r="F73" s="392"/>
    </row>
    <row r="74" spans="3:5" ht="15.75" hidden="1">
      <c r="C74" s="390"/>
      <c r="D74" s="392"/>
      <c r="E74" s="392"/>
    </row>
    <row r="75" spans="3:5" ht="15.75">
      <c r="C75" s="440">
        <f>IF(C55&gt;C57,"See Tab A","")</f>
      </c>
      <c r="D75" s="439">
        <f>IF(D55&gt;D57,"See Tab C","")</f>
      </c>
      <c r="E75" s="392"/>
    </row>
    <row r="76" spans="3:4" ht="15.75">
      <c r="C76" s="438">
        <f>IF(C56&lt;0,"See Tab B","")</f>
      </c>
      <c r="D76" s="438">
        <f>IF(D56&lt;0,"See Tab D","")</f>
      </c>
    </row>
  </sheetData>
  <sheetProtection sheet="1"/>
  <mergeCells count="6">
    <mergeCell ref="G38:J38"/>
    <mergeCell ref="G45:J45"/>
    <mergeCell ref="G55:J55"/>
    <mergeCell ref="C58:D58"/>
    <mergeCell ref="C59:D59"/>
    <mergeCell ref="C62:D62"/>
  </mergeCells>
  <conditionalFormatting sqref="E53">
    <cfRule type="cellIs" priority="11" dxfId="148" operator="greaterThan" stopIfTrue="1">
      <formula>$E$55*0.1</formula>
    </cfRule>
  </conditionalFormatting>
  <conditionalFormatting sqref="E58">
    <cfRule type="cellIs" priority="10" dxfId="148" operator="greaterThan" stopIfTrue="1">
      <formula>$E$55/0.95-$E$55</formula>
    </cfRule>
  </conditionalFormatting>
  <conditionalFormatting sqref="C56">
    <cfRule type="cellIs" priority="9" dxfId="1" operator="lessThan" stopIfTrue="1">
      <formula>0</formula>
    </cfRule>
  </conditionalFormatting>
  <conditionalFormatting sqref="C55">
    <cfRule type="cellIs" priority="8" dxfId="1" operator="greaterThan" stopIfTrue="1">
      <formula>$C$57</formula>
    </cfRule>
  </conditionalFormatting>
  <conditionalFormatting sqref="C53">
    <cfRule type="cellIs" priority="7" dxfId="1" operator="greaterThan" stopIfTrue="1">
      <formula>$C$55*0.1</formula>
    </cfRule>
  </conditionalFormatting>
  <conditionalFormatting sqref="D53">
    <cfRule type="cellIs" priority="6" dxfId="1" operator="greaterThan" stopIfTrue="1">
      <formula>$D$55*0.1</formula>
    </cfRule>
  </conditionalFormatting>
  <conditionalFormatting sqref="C27">
    <cfRule type="cellIs" priority="5" dxfId="1" operator="greaterThan" stopIfTrue="1">
      <formula>$C$29*0.1</formula>
    </cfRule>
  </conditionalFormatting>
  <conditionalFormatting sqref="D27">
    <cfRule type="cellIs" priority="4" dxfId="1" operator="greaterThan" stopIfTrue="1">
      <formula>$D$29*0.1</formula>
    </cfRule>
  </conditionalFormatting>
  <conditionalFormatting sqref="E27">
    <cfRule type="cellIs" priority="3" dxfId="148" operator="greaterThan" stopIfTrue="1">
      <formula>($E$29+E62)*0.1</formula>
    </cfRule>
  </conditionalFormatting>
  <conditionalFormatting sqref="D56">
    <cfRule type="cellIs" priority="2" dxfId="0" operator="lessThan" stopIfTrue="1">
      <formula>0</formula>
    </cfRule>
  </conditionalFormatting>
  <conditionalFormatting sqref="D55">
    <cfRule type="cellIs" priority="1" dxfId="0" operator="greaterThan" stopIfTrue="1">
      <formula>$D$57</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D97" sqref="D9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69921875" style="2" customWidth="1"/>
    <col min="10" max="10" width="10" style="2" customWidth="1"/>
    <col min="11" max="16384" width="8.8984375" style="2" customWidth="1"/>
  </cols>
  <sheetData>
    <row r="1" spans="2:5" ht="15.75">
      <c r="B1" s="192">
        <f>inputPrYr!D3</f>
        <v>0</v>
      </c>
      <c r="C1" s="192"/>
      <c r="D1" s="74"/>
      <c r="E1" s="152">
        <f>inputPrYr!C6</f>
        <v>0</v>
      </c>
    </row>
    <row r="2" spans="2:5" ht="15.75">
      <c r="B2" s="74"/>
      <c r="C2" s="74"/>
      <c r="D2" s="74"/>
      <c r="E2" s="204"/>
    </row>
    <row r="3" spans="2:5" ht="15.75">
      <c r="B3" s="84" t="s">
        <v>208</v>
      </c>
      <c r="C3" s="84"/>
      <c r="D3" s="262"/>
      <c r="E3" s="154"/>
    </row>
    <row r="4" spans="2:5" ht="15.75">
      <c r="B4" s="77" t="s">
        <v>147</v>
      </c>
      <c r="C4" s="613" t="s">
        <v>789</v>
      </c>
      <c r="D4" s="614" t="s">
        <v>790</v>
      </c>
      <c r="E4" s="165" t="s">
        <v>791</v>
      </c>
    </row>
    <row r="5" spans="2:5" ht="15.75">
      <c r="B5" s="433" t="str">
        <f>inputPrYr!B24</f>
        <v>Library</v>
      </c>
      <c r="C5" s="387" t="str">
        <f>CONCATENATE("Actual for ",E1-2,"")</f>
        <v>Actual for -2</v>
      </c>
      <c r="D5" s="387" t="str">
        <f>CONCATENATE("Estimate for ",E1-1,"")</f>
        <v>Estimate for -1</v>
      </c>
      <c r="E5" s="215" t="str">
        <f>CONCATENATE("Year for ",E1,"")</f>
        <v>Year for 0</v>
      </c>
    </row>
    <row r="6" spans="2:5" ht="15.75">
      <c r="B6" s="169" t="s">
        <v>254</v>
      </c>
      <c r="C6" s="428"/>
      <c r="D6" s="427">
        <f>C36</f>
        <v>0</v>
      </c>
      <c r="E6" s="180">
        <f>D36</f>
        <v>0</v>
      </c>
    </row>
    <row r="7" spans="2:5" ht="15.75">
      <c r="B7" s="169" t="s">
        <v>256</v>
      </c>
      <c r="C7" s="181"/>
      <c r="D7" s="427"/>
      <c r="E7" s="180"/>
    </row>
    <row r="8" spans="2:5" ht="15.75">
      <c r="B8" s="169" t="s">
        <v>148</v>
      </c>
      <c r="C8" s="424"/>
      <c r="D8" s="427">
        <f>IF(inputPrYr!H21&gt;0,inputPrYr!G24,inputPrYr!E24)</f>
        <v>0</v>
      </c>
      <c r="E8" s="330" t="s">
        <v>137</v>
      </c>
    </row>
    <row r="9" spans="2:5" ht="15.75">
      <c r="B9" s="169" t="s">
        <v>149</v>
      </c>
      <c r="C9" s="424"/>
      <c r="D9" s="429"/>
      <c r="E9" s="90"/>
    </row>
    <row r="10" spans="2:5" ht="15.75">
      <c r="B10" s="169" t="s">
        <v>150</v>
      </c>
      <c r="C10" s="424"/>
      <c r="D10" s="429"/>
      <c r="E10" s="180" t="str">
        <f>Mvalloc!D10</f>
        <v>  </v>
      </c>
    </row>
    <row r="11" spans="2:5" ht="15.75">
      <c r="B11" s="169" t="s">
        <v>151</v>
      </c>
      <c r="C11" s="424"/>
      <c r="D11" s="429"/>
      <c r="E11" s="180" t="str">
        <f>Mvalloc!E10</f>
        <v>  </v>
      </c>
    </row>
    <row r="12" spans="2:5" ht="15.75">
      <c r="B12" s="182" t="s">
        <v>204</v>
      </c>
      <c r="C12" s="424"/>
      <c r="D12" s="429"/>
      <c r="E12" s="180" t="str">
        <f>Mvalloc!F10</f>
        <v>  </v>
      </c>
    </row>
    <row r="13" spans="2:5" ht="15.75">
      <c r="B13" s="791" t="s">
        <v>1003</v>
      </c>
      <c r="C13" s="424"/>
      <c r="D13" s="429"/>
      <c r="E13" s="180" t="str">
        <f>Mvalloc!G10</f>
        <v>  </v>
      </c>
    </row>
    <row r="14" spans="2:5" ht="15.75">
      <c r="B14" s="791" t="s">
        <v>1004</v>
      </c>
      <c r="C14" s="424"/>
      <c r="D14" s="429"/>
      <c r="E14" s="180" t="str">
        <f>Mvalloc!H10</f>
        <v>  </v>
      </c>
    </row>
    <row r="15" spans="2:5" ht="15.75">
      <c r="B15" s="331"/>
      <c r="C15" s="424"/>
      <c r="D15" s="429"/>
      <c r="E15" s="90"/>
    </row>
    <row r="16" spans="2:5" ht="15.75">
      <c r="B16" s="331"/>
      <c r="C16" s="424"/>
      <c r="D16" s="429"/>
      <c r="E16" s="90"/>
    </row>
    <row r="17" spans="2:5" ht="15.75">
      <c r="B17" s="331"/>
      <c r="C17" s="424"/>
      <c r="D17" s="429"/>
      <c r="E17" s="90"/>
    </row>
    <row r="18" spans="2:5" ht="15.75">
      <c r="B18" s="331"/>
      <c r="C18" s="424"/>
      <c r="D18" s="429"/>
      <c r="E18" s="90"/>
    </row>
    <row r="19" spans="2:10" ht="15.75">
      <c r="B19" s="322" t="s">
        <v>154</v>
      </c>
      <c r="C19" s="424"/>
      <c r="D19" s="429"/>
      <c r="E19" s="90"/>
      <c r="G19" s="999" t="str">
        <f>CONCATENATE("Desired Carryover Into ",E1+1,"")</f>
        <v>Desired Carryover Into 1</v>
      </c>
      <c r="H19" s="1000"/>
      <c r="I19" s="1000"/>
      <c r="J19" s="1001"/>
    </row>
    <row r="20" spans="2:10" ht="15.75">
      <c r="B20" s="328" t="s">
        <v>48</v>
      </c>
      <c r="C20" s="424"/>
      <c r="D20" s="429"/>
      <c r="E20" s="404">
        <f>Nhood!E9*-1</f>
        <v>0</v>
      </c>
      <c r="G20" s="548"/>
      <c r="H20" s="445"/>
      <c r="I20" s="463"/>
      <c r="J20" s="549"/>
    </row>
    <row r="21" spans="2:10" ht="15.75">
      <c r="B21" s="169" t="s">
        <v>244</v>
      </c>
      <c r="C21" s="479"/>
      <c r="D21" s="429"/>
      <c r="E21" s="90"/>
      <c r="G21" s="469" t="s">
        <v>630</v>
      </c>
      <c r="H21" s="463"/>
      <c r="I21" s="463"/>
      <c r="J21" s="457">
        <v>0</v>
      </c>
    </row>
    <row r="22" spans="2:10" ht="15.75">
      <c r="B22" s="169" t="s">
        <v>763</v>
      </c>
      <c r="C22" s="386">
        <f>IF(C23*0.1&lt;C21,"Exceed 10% Rule","")</f>
      </c>
      <c r="D22" s="386">
        <f>IF(D23*0.1&lt;D21,"Exceeds 10% Rule","")</f>
      </c>
      <c r="E22" s="402">
        <f>IF((E23+E42)*0.1&lt;E21,"Exceed 10% Rule","")</f>
      </c>
      <c r="G22" s="548" t="s">
        <v>629</v>
      </c>
      <c r="H22" s="445"/>
      <c r="I22" s="445"/>
      <c r="J22" s="692">
        <f>IF(J21=0,"",ROUND((J21+E42-G34)/inputOth!E9*1000,3)-G39)</f>
      </c>
    </row>
    <row r="23" spans="2:10" ht="15.75">
      <c r="B23" s="275" t="s">
        <v>155</v>
      </c>
      <c r="C23" s="430">
        <f>SUM(C6:C21)</f>
        <v>0</v>
      </c>
      <c r="D23" s="430">
        <f>SUM(D8:D21)</f>
        <v>0</v>
      </c>
      <c r="E23" s="332">
        <f>SUM(E9:E21)</f>
        <v>0</v>
      </c>
      <c r="G23" s="678" t="str">
        <f>CONCATENATE("",E1," Tot Exp/Non-Appr Must Be:")</f>
        <v>0 Tot Exp/Non-Appr Must Be:</v>
      </c>
      <c r="H23" s="670"/>
      <c r="I23" s="669"/>
      <c r="J23" s="679">
        <f>IF(J21&gt;0,IF(E39&lt;E24,IF(J21=G34,E39,((J21-G34)*(1-D41))+E24),E39+(J21-G34)),0)</f>
        <v>0</v>
      </c>
    </row>
    <row r="24" spans="2:10" ht="15.75">
      <c r="B24" s="275" t="s">
        <v>156</v>
      </c>
      <c r="C24" s="430">
        <f>C6+C23</f>
        <v>0</v>
      </c>
      <c r="D24" s="430">
        <f>D6+D23</f>
        <v>0</v>
      </c>
      <c r="E24" s="332">
        <f>E6+E23</f>
        <v>0</v>
      </c>
      <c r="G24" s="680" t="s">
        <v>860</v>
      </c>
      <c r="H24" s="681"/>
      <c r="I24" s="681"/>
      <c r="J24" s="682">
        <f>IF(J21&gt;0,J23-E39,0)</f>
        <v>0</v>
      </c>
    </row>
    <row r="25" spans="2:5" ht="15.75">
      <c r="B25" s="169" t="s">
        <v>157</v>
      </c>
      <c r="C25" s="169"/>
      <c r="D25" s="427"/>
      <c r="E25" s="180"/>
    </row>
    <row r="26" spans="2:10" ht="15.75">
      <c r="B26" s="331"/>
      <c r="C26" s="424"/>
      <c r="D26" s="429"/>
      <c r="E26" s="90"/>
      <c r="G26" s="999" t="str">
        <f>CONCATENATE("Projected Carryover Into ",E1+1,"")</f>
        <v>Projected Carryover Into 1</v>
      </c>
      <c r="H26" s="1005"/>
      <c r="I26" s="1005"/>
      <c r="J26" s="1006"/>
    </row>
    <row r="27" spans="2:10" ht="15.75">
      <c r="B27" s="331"/>
      <c r="C27" s="424"/>
      <c r="D27" s="429"/>
      <c r="E27" s="90"/>
      <c r="G27" s="548"/>
      <c r="H27" s="463"/>
      <c r="I27" s="463"/>
      <c r="J27" s="693"/>
    </row>
    <row r="28" spans="2:10" ht="15.75">
      <c r="B28" s="331"/>
      <c r="C28" s="424"/>
      <c r="D28" s="429"/>
      <c r="E28" s="90"/>
      <c r="G28" s="460">
        <f>D36</f>
        <v>0</v>
      </c>
      <c r="H28" s="461" t="str">
        <f>CONCATENATE("",E1-1," Ending Cash Balance (est.)")</f>
        <v>-1 Ending Cash Balance (est.)</v>
      </c>
      <c r="I28" s="462"/>
      <c r="J28" s="693"/>
    </row>
    <row r="29" spans="2:10" ht="15.75">
      <c r="B29" s="331"/>
      <c r="C29" s="424"/>
      <c r="D29" s="429"/>
      <c r="E29" s="90"/>
      <c r="G29" s="460">
        <f>E23</f>
        <v>0</v>
      </c>
      <c r="H29" s="463" t="str">
        <f>CONCATENATE("",E1," Non-AV Receipts (est.)")</f>
        <v>0 Non-AV Receipts (est.)</v>
      </c>
      <c r="I29" s="462"/>
      <c r="J29" s="693"/>
    </row>
    <row r="30" spans="2:11" ht="15.75">
      <c r="B30" s="331"/>
      <c r="C30" s="424"/>
      <c r="D30" s="429"/>
      <c r="E30" s="90"/>
      <c r="G30" s="464">
        <f>IF(E41&gt;0,E40,E42)</f>
        <v>0</v>
      </c>
      <c r="H30" s="463" t="str">
        <f>CONCATENATE("",E1," Ad Valorem Tax (est.)")</f>
        <v>0 Ad Valorem Tax (est.)</v>
      </c>
      <c r="I30" s="462"/>
      <c r="J30" s="693"/>
      <c r="K30" s="683">
        <f>IF(G30=E42,"","Note: Does not include Delinquent Taxes")</f>
      </c>
    </row>
    <row r="31" spans="2:10" ht="15.75">
      <c r="B31" s="331"/>
      <c r="C31" s="424"/>
      <c r="D31" s="429"/>
      <c r="E31" s="90"/>
      <c r="G31" s="460">
        <f>SUM(G28:G30)</f>
        <v>0</v>
      </c>
      <c r="H31" s="463" t="str">
        <f>CONCATENATE("Total ",E1," Resources Available")</f>
        <v>Total 0 Resources Available</v>
      </c>
      <c r="I31" s="462"/>
      <c r="J31" s="693"/>
    </row>
    <row r="32" spans="2:10" ht="15.75">
      <c r="B32" s="331"/>
      <c r="C32" s="424"/>
      <c r="D32" s="429"/>
      <c r="E32" s="90"/>
      <c r="G32" s="465"/>
      <c r="H32" s="463"/>
      <c r="I32" s="463"/>
      <c r="J32" s="693"/>
    </row>
    <row r="33" spans="2:10" ht="15.75">
      <c r="B33" s="328" t="s">
        <v>244</v>
      </c>
      <c r="C33" s="479"/>
      <c r="D33" s="429"/>
      <c r="E33" s="90"/>
      <c r="G33" s="464">
        <f>C35</f>
        <v>0</v>
      </c>
      <c r="H33" s="463" t="str">
        <f>CONCATENATE("Less ",E1-2," Expenditures")</f>
        <v>Less -2 Expenditures</v>
      </c>
      <c r="I33" s="463"/>
      <c r="J33" s="693"/>
    </row>
    <row r="34" spans="2:10" ht="15.75">
      <c r="B34" s="328" t="s">
        <v>764</v>
      </c>
      <c r="C34" s="386">
        <f>IF(C35*0.1&lt;C33,"Exceed 10% Rule","")</f>
      </c>
      <c r="D34" s="386">
        <f>IF(D35*0.1&lt;D33,"Exceed 10% Rule","")</f>
      </c>
      <c r="E34" s="402">
        <f>IF(E35*0.1&lt;E33,"Exceed 10% Rule","")</f>
      </c>
      <c r="G34" s="694">
        <f>G31-G33</f>
        <v>0</v>
      </c>
      <c r="H34" s="550" t="str">
        <f>CONCATENATE("Projected ",E1+1," carryover (est.)")</f>
        <v>Projected 1 carryover (est.)</v>
      </c>
      <c r="I34" s="467"/>
      <c r="J34" s="695"/>
    </row>
    <row r="35" spans="2:5" ht="15.75">
      <c r="B35" s="275" t="s">
        <v>158</v>
      </c>
      <c r="C35" s="426">
        <f>SUM(C26:C33)</f>
        <v>0</v>
      </c>
      <c r="D35" s="426">
        <f>SUM(D26:D33)</f>
        <v>0</v>
      </c>
      <c r="E35" s="325">
        <f>SUM(E26:E33)</f>
        <v>0</v>
      </c>
    </row>
    <row r="36" spans="2:10" ht="15.75">
      <c r="B36" s="169" t="s">
        <v>255</v>
      </c>
      <c r="C36" s="431">
        <f>C24-C35</f>
        <v>0</v>
      </c>
      <c r="D36" s="431">
        <f>D24-D35</f>
        <v>0</v>
      </c>
      <c r="E36" s="330" t="s">
        <v>137</v>
      </c>
      <c r="F36"/>
      <c r="G36" s="1002" t="s">
        <v>861</v>
      </c>
      <c r="H36" s="1003"/>
      <c r="I36" s="1003"/>
      <c r="J36" s="1004"/>
    </row>
    <row r="37" spans="2:10" ht="15.75">
      <c r="B37" s="333" t="str">
        <f>CONCATENATE("",E1-2,"/",E1-1,"/",E1," Budget Authority Amount:")</f>
        <v>-2/-1/0 Budget Authority Amount:</v>
      </c>
      <c r="C37" s="404">
        <f>inputOth!B63</f>
        <v>0</v>
      </c>
      <c r="D37" s="721">
        <f>inputPrYr!D24</f>
        <v>0</v>
      </c>
      <c r="E37" s="180">
        <f>E35</f>
        <v>0</v>
      </c>
      <c r="F37" s="279"/>
      <c r="G37" s="684"/>
      <c r="H37" s="461"/>
      <c r="I37" s="671"/>
      <c r="J37" s="685"/>
    </row>
    <row r="38" spans="2:10" ht="15.75">
      <c r="B38" s="200"/>
      <c r="C38" s="995" t="s">
        <v>621</v>
      </c>
      <c r="D38" s="996"/>
      <c r="E38" s="90"/>
      <c r="F38" s="715">
        <f>IF(E35/0.95-E35&lt;E38,"Exceeds 5%","")</f>
      </c>
      <c r="G38" s="686" t="str">
        <f>summ!H18</f>
        <v>  </v>
      </c>
      <c r="H38" s="461" t="str">
        <f>CONCATENATE("",E1," Fund Mill Rate")</f>
        <v>0 Fund Mill Rate</v>
      </c>
      <c r="I38" s="671"/>
      <c r="J38" s="685"/>
    </row>
    <row r="39" spans="2:10" ht="15.75">
      <c r="B39" s="436" t="str">
        <f>CONCATENATE(C98,"     ",D98)</f>
        <v>     </v>
      </c>
      <c r="C39" s="997" t="s">
        <v>622</v>
      </c>
      <c r="D39" s="998"/>
      <c r="E39" s="180">
        <f>E35+E38</f>
        <v>0</v>
      </c>
      <c r="F39"/>
      <c r="G39" s="687" t="str">
        <f>summ!E18</f>
        <v>  </v>
      </c>
      <c r="H39" s="461" t="str">
        <f>CONCATENATE("",E1-1," Fund Mill Rate")</f>
        <v>-1 Fund Mill Rate</v>
      </c>
      <c r="I39" s="671"/>
      <c r="J39" s="685"/>
    </row>
    <row r="40" spans="2:10" ht="15.75">
      <c r="B40" s="436" t="str">
        <f>CONCATENATE(C99,"     ",D99)</f>
        <v>     </v>
      </c>
      <c r="C40" s="280"/>
      <c r="D40" s="204" t="s">
        <v>159</v>
      </c>
      <c r="E40" s="97">
        <f>IF(E39-E24&gt;0,E39-E24,0)</f>
        <v>0</v>
      </c>
      <c r="F40"/>
      <c r="G40" s="688">
        <f>summ!H31</f>
        <v>0</v>
      </c>
      <c r="H40" s="461" t="str">
        <f>CONCATENATE("Total ",E1," Mill Rate")</f>
        <v>Total 0 Mill Rate</v>
      </c>
      <c r="I40" s="671"/>
      <c r="J40" s="685"/>
    </row>
    <row r="41" spans="2:10" ht="15.75">
      <c r="B41" s="204"/>
      <c r="C41" s="422" t="s">
        <v>623</v>
      </c>
      <c r="D41" s="616">
        <f>inputOth!$E$47</f>
        <v>0</v>
      </c>
      <c r="E41" s="180">
        <f>ROUND(IF(D41&gt;0,(E40*D41),0),0)</f>
        <v>0</v>
      </c>
      <c r="F41"/>
      <c r="G41" s="687">
        <f>summ!E31</f>
        <v>0</v>
      </c>
      <c r="H41" s="689" t="str">
        <f>CONCATENATE("Total ",E1-1," Mill Rate")</f>
        <v>Total -1 Mill Rate</v>
      </c>
      <c r="I41" s="690"/>
      <c r="J41" s="691"/>
    </row>
    <row r="42" spans="2:6" ht="16.5" thickBot="1">
      <c r="B42" s="74"/>
      <c r="C42" s="993" t="str">
        <f>CONCATENATE("Amount of  ",E1-1," Ad Valorem Tax")</f>
        <v>Amount of  -1 Ad Valorem Tax</v>
      </c>
      <c r="D42" s="994"/>
      <c r="E42" s="615">
        <f>SUM(E40:E41)</f>
        <v>0</v>
      </c>
      <c r="F42" s="699" t="str">
        <f>IF('Library Grant'!F33="","",IF('Library Grant'!F33="Qualify","Qualifies for State Library Grant","See 'Library Grant' tab"))</f>
        <v>Qualifies for State Library Grant</v>
      </c>
    </row>
    <row r="43" spans="2:10" ht="16.5" thickTop="1">
      <c r="B43" s="77"/>
      <c r="C43" s="77"/>
      <c r="D43" s="262"/>
      <c r="E43" s="262"/>
      <c r="F43"/>
      <c r="G43" s="801"/>
      <c r="H43" s="807"/>
      <c r="I43" s="792"/>
      <c r="J43" s="806"/>
    </row>
    <row r="44" spans="2:10" ht="15.75">
      <c r="B44" s="77"/>
      <c r="C44" s="77"/>
      <c r="D44" s="262"/>
      <c r="E44" s="262"/>
      <c r="F44"/>
      <c r="G44" s="799" t="str">
        <f>CONCATENATE("Computed ",E1," tax levy limit amount")</f>
        <v>Computed 0 tax levy limit amount</v>
      </c>
      <c r="H44" s="802"/>
      <c r="I44" s="802"/>
      <c r="J44" s="793">
        <f>Comp1!J47</f>
        <v>0</v>
      </c>
    </row>
    <row r="45" spans="2:10" ht="15.75">
      <c r="B45" s="77"/>
      <c r="C45" s="77"/>
      <c r="D45" s="262"/>
      <c r="E45" s="262"/>
      <c r="F45"/>
      <c r="G45" s="797" t="str">
        <f>CONCATENATE("Total ",E1," tax levy amount")</f>
        <v>Total 0 tax levy amount</v>
      </c>
      <c r="H45" s="796"/>
      <c r="I45" s="796"/>
      <c r="J45" s="794">
        <f>summ!G31</f>
        <v>0</v>
      </c>
    </row>
    <row r="46" spans="2:6" ht="15.75">
      <c r="B46" s="77" t="s">
        <v>147</v>
      </c>
      <c r="C46" s="613" t="s">
        <v>789</v>
      </c>
      <c r="D46" s="614" t="s">
        <v>790</v>
      </c>
      <c r="E46" s="165" t="s">
        <v>791</v>
      </c>
      <c r="F46"/>
    </row>
    <row r="47" spans="2:6" ht="15.75">
      <c r="B47" s="434" t="s">
        <v>609</v>
      </c>
      <c r="C47" s="423" t="str">
        <f>C5</f>
        <v>Actual for -2</v>
      </c>
      <c r="D47" s="423" t="str">
        <f>D5</f>
        <v>Estimate for -1</v>
      </c>
      <c r="E47" s="215" t="str">
        <f>E5</f>
        <v>Year for 0</v>
      </c>
      <c r="F47"/>
    </row>
    <row r="48" spans="2:6" ht="15.75">
      <c r="B48" s="169" t="s">
        <v>254</v>
      </c>
      <c r="C48" s="424"/>
      <c r="D48" s="427">
        <f>C75</f>
        <v>0</v>
      </c>
      <c r="E48" s="180">
        <f>D75</f>
        <v>0</v>
      </c>
      <c r="F48"/>
    </row>
    <row r="49" spans="2:6" ht="15.75">
      <c r="B49" s="264" t="s">
        <v>256</v>
      </c>
      <c r="C49" s="169"/>
      <c r="D49" s="427"/>
      <c r="E49" s="180"/>
      <c r="F49"/>
    </row>
    <row r="50" spans="2:6" ht="15.75">
      <c r="B50" s="169" t="s">
        <v>148</v>
      </c>
      <c r="C50" s="424"/>
      <c r="D50" s="427">
        <f>IF(inputPrYr!H21&gt;0,inputPrYr!G32,inputPrYr!E32)</f>
        <v>0</v>
      </c>
      <c r="E50" s="330" t="s">
        <v>137</v>
      </c>
      <c r="F50"/>
    </row>
    <row r="51" spans="2:6" ht="15.75">
      <c r="B51" s="169" t="s">
        <v>149</v>
      </c>
      <c r="C51" s="424"/>
      <c r="D51" s="429"/>
      <c r="E51" s="90"/>
      <c r="F51"/>
    </row>
    <row r="52" spans="2:6" ht="15.75">
      <c r="B52" s="169" t="s">
        <v>150</v>
      </c>
      <c r="C52" s="424"/>
      <c r="D52" s="429"/>
      <c r="E52" s="180" t="str">
        <f>Mvalloc!D15</f>
        <v>  </v>
      </c>
      <c r="F52"/>
    </row>
    <row r="53" spans="2:6" ht="15.75">
      <c r="B53" s="169" t="s">
        <v>151</v>
      </c>
      <c r="C53" s="424"/>
      <c r="D53" s="429"/>
      <c r="E53" s="180" t="str">
        <f>Mvalloc!E15</f>
        <v>  </v>
      </c>
      <c r="F53"/>
    </row>
    <row r="54" spans="2:5" ht="15.75">
      <c r="B54" s="182" t="s">
        <v>204</v>
      </c>
      <c r="C54" s="424"/>
      <c r="D54" s="429"/>
      <c r="E54" s="180" t="str">
        <f>Mvalloc!F15</f>
        <v>  </v>
      </c>
    </row>
    <row r="55" spans="2:5" ht="15.75">
      <c r="B55" s="791" t="s">
        <v>1003</v>
      </c>
      <c r="C55" s="424"/>
      <c r="D55" s="429"/>
      <c r="E55" s="180" t="str">
        <f>Mvalloc!G15</f>
        <v>  </v>
      </c>
    </row>
    <row r="56" spans="2:5" ht="15.75">
      <c r="B56" s="791" t="s">
        <v>1004</v>
      </c>
      <c r="C56" s="424"/>
      <c r="D56" s="429"/>
      <c r="E56" s="180" t="str">
        <f>Mvalloc!H15</f>
        <v>  </v>
      </c>
    </row>
    <row r="57" spans="2:5" ht="15.75">
      <c r="B57" s="331"/>
      <c r="C57" s="424"/>
      <c r="D57" s="429"/>
      <c r="E57" s="90"/>
    </row>
    <row r="58" spans="2:5" ht="15.75">
      <c r="B58" s="322" t="s">
        <v>154</v>
      </c>
      <c r="C58" s="424"/>
      <c r="D58" s="429"/>
      <c r="E58" s="90"/>
    </row>
    <row r="59" spans="2:5" ht="15.75">
      <c r="B59" s="182" t="s">
        <v>48</v>
      </c>
      <c r="C59" s="424"/>
      <c r="D59" s="429"/>
      <c r="E59" s="404">
        <f>Nhood!E14*-1</f>
        <v>0</v>
      </c>
    </row>
    <row r="60" spans="2:5" ht="15.75">
      <c r="B60" s="169" t="s">
        <v>244</v>
      </c>
      <c r="C60" s="479"/>
      <c r="D60" s="479"/>
      <c r="E60" s="566"/>
    </row>
    <row r="61" spans="2:10" ht="15.75">
      <c r="B61" s="169" t="s">
        <v>763</v>
      </c>
      <c r="C61" s="386">
        <f>IF(C62*0.1&lt;C60,"Exceed 10% Rule","")</f>
      </c>
      <c r="D61" s="386">
        <f>IF(D62*0.1&lt;D60,"Exceeds 10% Rule","")</f>
      </c>
      <c r="E61" s="402">
        <f>IF((E62+E81)*0.1&lt;E60,"Exceed 10% Rule","")</f>
      </c>
      <c r="G61" s="999" t="str">
        <f>CONCATENATE("Desired Carryover Into ",E1+1,"")</f>
        <v>Desired Carryover Into 1</v>
      </c>
      <c r="H61" s="1000"/>
      <c r="I61" s="1000"/>
      <c r="J61" s="1001"/>
    </row>
    <row r="62" spans="2:10" ht="15.75">
      <c r="B62" s="275" t="s">
        <v>155</v>
      </c>
      <c r="C62" s="426">
        <f>SUM(C50:C60)</f>
        <v>0</v>
      </c>
      <c r="D62" s="426">
        <f>SUM(D50:D60)</f>
        <v>0</v>
      </c>
      <c r="E62" s="325">
        <f>SUM(E51:E60)</f>
        <v>0</v>
      </c>
      <c r="G62" s="548"/>
      <c r="H62" s="445"/>
      <c r="I62" s="463"/>
      <c r="J62" s="549"/>
    </row>
    <row r="63" spans="2:10" ht="15.75">
      <c r="B63" s="275" t="s">
        <v>156</v>
      </c>
      <c r="C63" s="426">
        <f>C48+C62</f>
        <v>0</v>
      </c>
      <c r="D63" s="426">
        <f>D48+D62</f>
        <v>0</v>
      </c>
      <c r="E63" s="325">
        <f>E48+E62</f>
        <v>0</v>
      </c>
      <c r="G63" s="469" t="s">
        <v>630</v>
      </c>
      <c r="H63" s="463"/>
      <c r="I63" s="463"/>
      <c r="J63" s="457">
        <v>0</v>
      </c>
    </row>
    <row r="64" spans="2:10" ht="15.75">
      <c r="B64" s="169" t="s">
        <v>157</v>
      </c>
      <c r="C64" s="169"/>
      <c r="D64" s="427"/>
      <c r="E64" s="180"/>
      <c r="G64" s="548" t="s">
        <v>629</v>
      </c>
      <c r="H64" s="445"/>
      <c r="I64" s="445"/>
      <c r="J64" s="692">
        <f>IF(J63=0,"",ROUND((J63+E81-G76)/inputOth!E9*1000,3)-G81)</f>
      </c>
    </row>
    <row r="65" spans="2:10" ht="15.75">
      <c r="B65" s="331"/>
      <c r="C65" s="424"/>
      <c r="D65" s="429"/>
      <c r="E65" s="90"/>
      <c r="G65" s="678" t="str">
        <f>CONCATENATE("",E1," Tot Exp/Non-Appr Must Be:")</f>
        <v>0 Tot Exp/Non-Appr Must Be:</v>
      </c>
      <c r="H65" s="670"/>
      <c r="I65" s="669"/>
      <c r="J65" s="679">
        <f>IF(J63&gt;0,IF(E78&lt;E63,IF(J63=G76,E78,((J63-G76)*(1-D80))+E63),E78+(J63-G76)),0)</f>
        <v>0</v>
      </c>
    </row>
    <row r="66" spans="2:10" ht="15.75">
      <c r="B66" s="331"/>
      <c r="C66" s="424"/>
      <c r="D66" s="429"/>
      <c r="E66" s="90"/>
      <c r="G66" s="680" t="s">
        <v>860</v>
      </c>
      <c r="H66" s="681"/>
      <c r="I66" s="681"/>
      <c r="J66" s="682">
        <f>IF(J63&gt;0,J65-E78,0)</f>
        <v>0</v>
      </c>
    </row>
    <row r="67" spans="2:5" ht="15.75">
      <c r="B67" s="331"/>
      <c r="C67" s="424"/>
      <c r="D67" s="429"/>
      <c r="E67" s="90"/>
    </row>
    <row r="68" spans="2:10" ht="15.75">
      <c r="B68" s="331"/>
      <c r="C68" s="424"/>
      <c r="D68" s="429"/>
      <c r="E68" s="90"/>
      <c r="G68" s="999" t="str">
        <f>CONCATENATE("Projected Carryover Into ",E1+1,"")</f>
        <v>Projected Carryover Into 1</v>
      </c>
      <c r="H68" s="1007"/>
      <c r="I68" s="1007"/>
      <c r="J68" s="1006"/>
    </row>
    <row r="69" spans="2:10" ht="15.75">
      <c r="B69" s="331"/>
      <c r="C69" s="424"/>
      <c r="D69" s="429"/>
      <c r="E69" s="90"/>
      <c r="G69" s="458"/>
      <c r="H69" s="445"/>
      <c r="I69" s="445"/>
      <c r="J69" s="696"/>
    </row>
    <row r="70" spans="2:10" ht="15.75">
      <c r="B70" s="331"/>
      <c r="C70" s="424"/>
      <c r="D70" s="429"/>
      <c r="E70" s="90"/>
      <c r="G70" s="460">
        <f>D75</f>
        <v>0</v>
      </c>
      <c r="H70" s="461" t="str">
        <f>CONCATENATE("",E1-1," Ending Cash Balance (est.)")</f>
        <v>-1 Ending Cash Balance (est.)</v>
      </c>
      <c r="I70" s="462"/>
      <c r="J70" s="696"/>
    </row>
    <row r="71" spans="2:10" ht="15.75">
      <c r="B71" s="331"/>
      <c r="C71" s="424"/>
      <c r="D71" s="429"/>
      <c r="E71" s="90"/>
      <c r="G71" s="460">
        <f>E62</f>
        <v>0</v>
      </c>
      <c r="H71" s="463" t="str">
        <f>CONCATENATE("",E1," Non-AV Receipts (est.)")</f>
        <v>0 Non-AV Receipts (est.)</v>
      </c>
      <c r="I71" s="462"/>
      <c r="J71" s="696"/>
    </row>
    <row r="72" spans="2:11" ht="15.75">
      <c r="B72" s="182" t="s">
        <v>244</v>
      </c>
      <c r="C72" s="479"/>
      <c r="D72" s="429"/>
      <c r="E72" s="90"/>
      <c r="G72" s="464">
        <f>IF(E80&gt;0,E79,E81)</f>
        <v>0</v>
      </c>
      <c r="H72" s="463" t="str">
        <f>CONCATENATE("",E1," Ad Valorem Tax (est.)")</f>
        <v>0 Ad Valorem Tax (est.)</v>
      </c>
      <c r="I72" s="462"/>
      <c r="J72" s="696"/>
      <c r="K72" s="683">
        <f>IF(G72=E81,"","Note: Does not include Delinquent Taxes")</f>
      </c>
    </row>
    <row r="73" spans="2:10" ht="15.75">
      <c r="B73" s="182" t="s">
        <v>762</v>
      </c>
      <c r="C73" s="386">
        <f>IF(C74*0.1&lt;C72,"Exceed 10% Rule","")</f>
      </c>
      <c r="D73" s="386">
        <f>IF(D74*0.1&lt;D72,"Exceed 10% Rule","")</f>
      </c>
      <c r="E73" s="402">
        <f>IF(E74*0.1&lt;E72,"Exceed 10% Rule","")</f>
      </c>
      <c r="G73" s="551">
        <f>SUM(G70:G72)</f>
        <v>0</v>
      </c>
      <c r="H73" s="463" t="str">
        <f>CONCATENATE("Total ",E1," Resources Available")</f>
        <v>Total 0 Resources Available</v>
      </c>
      <c r="I73" s="459"/>
      <c r="J73" s="696"/>
    </row>
    <row r="74" spans="2:10" ht="15.75">
      <c r="B74" s="275" t="s">
        <v>158</v>
      </c>
      <c r="C74" s="426">
        <f>SUM(C65:C72)</f>
        <v>0</v>
      </c>
      <c r="D74" s="426">
        <f>SUM(D65:D72)</f>
        <v>0</v>
      </c>
      <c r="E74" s="325">
        <f>SUM(E65:E72)</f>
        <v>0</v>
      </c>
      <c r="F74"/>
      <c r="G74" s="554"/>
      <c r="H74" s="552"/>
      <c r="I74" s="445"/>
      <c r="J74" s="696"/>
    </row>
    <row r="75" spans="2:10" ht="15.75">
      <c r="B75" s="169" t="s">
        <v>255</v>
      </c>
      <c r="C75" s="431">
        <f>C63-C74</f>
        <v>0</v>
      </c>
      <c r="D75" s="431">
        <f>D63-D74</f>
        <v>0</v>
      </c>
      <c r="E75" s="330" t="s">
        <v>137</v>
      </c>
      <c r="F75"/>
      <c r="G75" s="553">
        <f>ROUND(C74*0.05+C74,0)</f>
        <v>0</v>
      </c>
      <c r="H75" s="463" t="str">
        <f>CONCATENATE("Less ",E1-2," Expenditures + 5%")</f>
        <v>Less -2 Expenditures + 5%</v>
      </c>
      <c r="I75" s="459"/>
      <c r="J75" s="696"/>
    </row>
    <row r="76" spans="2:10" ht="15.75">
      <c r="B76" s="333" t="str">
        <f>CONCATENATE("",E1-2,"/",E1-1,"/",E1," Budget Authority Amount:")</f>
        <v>-2/-1/0 Budget Authority Amount:</v>
      </c>
      <c r="C76" s="404">
        <f>inputOth!B68</f>
        <v>0</v>
      </c>
      <c r="D76" s="404">
        <f>inputPrYr!D32</f>
        <v>0</v>
      </c>
      <c r="E76" s="180">
        <f>E74</f>
        <v>0</v>
      </c>
      <c r="F76"/>
      <c r="G76" s="564">
        <f>G73-G75</f>
        <v>0</v>
      </c>
      <c r="H76" s="550" t="str">
        <f>CONCATENATE("Projected ",E1+1," carryover (est.)")</f>
        <v>Projected 1 carryover (est.)</v>
      </c>
      <c r="I76" s="468"/>
      <c r="J76" s="698"/>
    </row>
    <row r="77" spans="2:6" ht="15.75">
      <c r="B77" s="200"/>
      <c r="C77" s="995" t="s">
        <v>621</v>
      </c>
      <c r="D77" s="996"/>
      <c r="E77" s="90"/>
      <c r="F77"/>
    </row>
    <row r="78" spans="2:10" ht="15.75">
      <c r="B78" s="436" t="str">
        <f>CONCATENATE(C100,"     ",D100)</f>
        <v>     </v>
      </c>
      <c r="C78" s="997" t="s">
        <v>622</v>
      </c>
      <c r="D78" s="998"/>
      <c r="E78" s="180">
        <f>E74+E77</f>
        <v>0</v>
      </c>
      <c r="F78"/>
      <c r="G78" s="1002" t="s">
        <v>861</v>
      </c>
      <c r="H78" s="1003"/>
      <c r="I78" s="1003"/>
      <c r="J78" s="1004"/>
    </row>
    <row r="79" spans="2:10" ht="15.75">
      <c r="B79" s="436" t="str">
        <f>CONCATENATE(C101,"     ",D101)</f>
        <v>     </v>
      </c>
      <c r="C79" s="280"/>
      <c r="D79" s="204" t="s">
        <v>159</v>
      </c>
      <c r="E79" s="97">
        <f>IF(E78-E63&gt;0,E78-E63,0)</f>
        <v>0</v>
      </c>
      <c r="F79" s="279"/>
      <c r="G79" s="684"/>
      <c r="H79" s="461"/>
      <c r="I79" s="671"/>
      <c r="J79" s="685"/>
    </row>
    <row r="80" spans="2:10" ht="15.75">
      <c r="B80" s="204"/>
      <c r="C80" s="422" t="s">
        <v>623</v>
      </c>
      <c r="D80" s="616">
        <f>inputOth!$E$47</f>
        <v>0</v>
      </c>
      <c r="E80" s="180">
        <f>ROUND(IF(E79&gt;0,(E79*D80),0),0)</f>
        <v>0</v>
      </c>
      <c r="F80" s="697">
        <f>IF(E74/0.95-E74&lt;E77,"Exceeds 5%","")</f>
      </c>
      <c r="G80" s="686">
        <f>summ!H32</f>
        <v>0</v>
      </c>
      <c r="H80" s="461" t="str">
        <f>CONCATENATE("",E1," Fund Mill Rate")</f>
        <v>0 Fund Mill Rate</v>
      </c>
      <c r="I80" s="671"/>
      <c r="J80" s="711">
        <f>IF(G80&gt;inputOth!E6,"Exceed Mill Rate","")</f>
      </c>
    </row>
    <row r="81" spans="2:10" ht="15.75">
      <c r="B81" s="74"/>
      <c r="C81" s="993" t="str">
        <f>CONCATENATE("Amount of  ",E1-1," Ad Valorem Tax")</f>
        <v>Amount of  -1 Ad Valorem Tax</v>
      </c>
      <c r="D81" s="994"/>
      <c r="E81" s="825">
        <f>E79+E80</f>
        <v>0</v>
      </c>
      <c r="F81"/>
      <c r="G81" s="687">
        <f>summ!E32</f>
      </c>
      <c r="H81" s="689" t="str">
        <f>CONCATENATE("",E1-1," Fund Mill Rate")</f>
        <v>-1 Fund Mill Rate</v>
      </c>
      <c r="I81" s="690"/>
      <c r="J81" s="691"/>
    </row>
    <row r="82" spans="2:10" ht="15.75">
      <c r="B82" s="74"/>
      <c r="C82" s="596"/>
      <c r="D82" s="826"/>
      <c r="E82" s="826"/>
      <c r="F82"/>
      <c r="G82" s="714"/>
      <c r="H82" s="481"/>
      <c r="I82" s="705"/>
      <c r="J82" s="706"/>
    </row>
    <row r="83" spans="2:10" ht="15.75">
      <c r="B83" s="815" t="s">
        <v>1027</v>
      </c>
      <c r="C83" s="816"/>
      <c r="D83" s="826"/>
      <c r="E83" s="827"/>
      <c r="F83" s="713">
        <f>IF(F84&lt;0,"Reduce","")</f>
      </c>
      <c r="G83" s="809"/>
      <c r="H83" s="805"/>
      <c r="I83" s="808"/>
      <c r="J83" s="804"/>
    </row>
    <row r="84" spans="2:6" ht="15.75">
      <c r="B84" s="103"/>
      <c r="C84" s="596"/>
      <c r="D84" s="107"/>
      <c r="E84" s="693"/>
      <c r="F84" s="712">
        <f>IF(G80&gt;inputOth!E6,ROUND(inputOth!E6*inputOth!E9/1000,0)-'Library-Rec'!E81,"")</f>
      </c>
    </row>
    <row r="85" spans="2:6" ht="15.75">
      <c r="B85" s="183"/>
      <c r="C85" s="819"/>
      <c r="D85" s="828"/>
      <c r="E85" s="829"/>
      <c r="F85"/>
    </row>
    <row r="86" spans="2:5" ht="15.75">
      <c r="B86" s="200" t="s">
        <v>161</v>
      </c>
      <c r="C86" s="746"/>
      <c r="D86" s="116"/>
      <c r="E86" s="74"/>
    </row>
    <row r="87" ht="15.75">
      <c r="F87"/>
    </row>
    <row r="88" spans="2:5" ht="15.75">
      <c r="B88" s="122"/>
      <c r="C88" s="122"/>
      <c r="D88"/>
      <c r="E88"/>
    </row>
    <row r="93" spans="3:4" ht="15.75">
      <c r="C93" s="75" t="s">
        <v>624</v>
      </c>
      <c r="D93" s="75" t="s">
        <v>624</v>
      </c>
    </row>
    <row r="94" spans="3:4" ht="15.75">
      <c r="C94" s="75" t="s">
        <v>624</v>
      </c>
      <c r="D94" s="75" t="s">
        <v>624</v>
      </c>
    </row>
    <row r="96" spans="3:4" ht="15.75">
      <c r="C96" s="75" t="s">
        <v>624</v>
      </c>
      <c r="D96" s="75" t="s">
        <v>624</v>
      </c>
    </row>
    <row r="97" spans="3:4" ht="15.75">
      <c r="C97" s="75" t="s">
        <v>624</v>
      </c>
      <c r="D97" s="75" t="s">
        <v>624</v>
      </c>
    </row>
    <row r="98" spans="3:4" ht="15.75" hidden="1">
      <c r="C98" s="442">
        <f>IF(C35&gt;C37,"See Tab A","")</f>
      </c>
      <c r="D98" s="442">
        <f>IF(D35&gt;D37,"See Tab C","")</f>
      </c>
    </row>
    <row r="99" spans="3:4" ht="15.75" hidden="1">
      <c r="C99" s="442">
        <f>IF(C36&lt;0,"See Tab B","")</f>
      </c>
      <c r="D99" s="442">
        <f>IF(D36&lt;0,"See Tab D","")</f>
      </c>
    </row>
    <row r="100" spans="3:4" ht="15.75" hidden="1">
      <c r="C100" s="437">
        <f>IF(C74&gt;C76,"See Tab A","")</f>
      </c>
      <c r="D100" s="437">
        <f>IF(D74&gt;D76,"See Tab C","")</f>
      </c>
    </row>
    <row r="101" spans="3:4" ht="15.75" hidden="1">
      <c r="C101" s="437">
        <f>IF(C75&lt;0,"See Tab B","")</f>
      </c>
      <c r="D101" s="437">
        <f>IF(D75&lt;0,"See Tab D","")</f>
      </c>
    </row>
  </sheetData>
  <sheetProtection sheet="1"/>
  <mergeCells count="12">
    <mergeCell ref="C81:D81"/>
    <mergeCell ref="C77:D77"/>
    <mergeCell ref="C78:D78"/>
    <mergeCell ref="C38:D38"/>
    <mergeCell ref="C39:D39"/>
    <mergeCell ref="C42:D42"/>
    <mergeCell ref="G19:J19"/>
    <mergeCell ref="G26:J26"/>
    <mergeCell ref="G36:J36"/>
    <mergeCell ref="G61:J61"/>
    <mergeCell ref="G68:J68"/>
    <mergeCell ref="G78:J78"/>
  </mergeCells>
  <conditionalFormatting sqref="C74">
    <cfRule type="cellIs" priority="18" dxfId="0" operator="greaterThan" stopIfTrue="1">
      <formula>$C$76</formula>
    </cfRule>
  </conditionalFormatting>
  <conditionalFormatting sqref="C75:D75 C36:D36">
    <cfRule type="cellIs" priority="17" dxfId="0" operator="lessThan" stopIfTrue="1">
      <formula>0</formula>
    </cfRule>
  </conditionalFormatting>
  <conditionalFormatting sqref="D74">
    <cfRule type="cellIs" priority="16" dxfId="0" operator="greaterThan" stopIfTrue="1">
      <formula>$D$76</formula>
    </cfRule>
  </conditionalFormatting>
  <conditionalFormatting sqref="C35">
    <cfRule type="cellIs" priority="12" dxfId="0" operator="greaterThan" stopIfTrue="1">
      <formula>$C$37</formula>
    </cfRule>
  </conditionalFormatting>
  <conditionalFormatting sqref="D35">
    <cfRule type="cellIs" priority="11" dxfId="0" operator="greaterThan" stopIfTrue="1">
      <formula>$D$37</formula>
    </cfRule>
  </conditionalFormatting>
  <conditionalFormatting sqref="C33">
    <cfRule type="cellIs" priority="10" dxfId="0" operator="greaterThan" stopIfTrue="1">
      <formula>$C$35*0.1</formula>
    </cfRule>
  </conditionalFormatting>
  <conditionalFormatting sqref="D33">
    <cfRule type="cellIs" priority="9" dxfId="0" operator="greaterThan" stopIfTrue="1">
      <formula>$D$35*0.1</formula>
    </cfRule>
  </conditionalFormatting>
  <conditionalFormatting sqref="E33">
    <cfRule type="cellIs" priority="8" dxfId="0" operator="greaterThan" stopIfTrue="1">
      <formula>$E$35*0.1</formula>
    </cfRule>
  </conditionalFormatting>
  <conditionalFormatting sqref="E60">
    <cfRule type="cellIs" priority="7" dxfId="0" operator="greaterThan" stopIfTrue="1">
      <formula>(G107+G126)*0.01</formula>
    </cfRule>
  </conditionalFormatting>
  <conditionalFormatting sqref="D21">
    <cfRule type="cellIs" priority="6" dxfId="0" operator="greaterThan" stopIfTrue="1">
      <formula>$D$23*0.1</formula>
    </cfRule>
  </conditionalFormatting>
  <conditionalFormatting sqref="C72">
    <cfRule type="cellIs" priority="3" dxfId="0" operator="greaterThan" stopIfTrue="1">
      <formula>$C$74*0.1</formula>
    </cfRule>
  </conditionalFormatting>
  <conditionalFormatting sqref="D72">
    <cfRule type="cellIs" priority="2" dxfId="0" operator="greaterThan" stopIfTrue="1">
      <formula>$D$74*0.1</formula>
    </cfRule>
  </conditionalFormatting>
  <conditionalFormatting sqref="E72">
    <cfRule type="cellIs" priority="1" dxfId="0" operator="greaterThan" stopIfTrue="1">
      <formula>$E$74*0.1</formula>
    </cfRule>
  </conditionalFormatting>
  <conditionalFormatting sqref="E21">
    <cfRule type="cellIs" priority="24" dxfId="0" operator="greaterThan" stopIfTrue="1">
      <formula>($E$23+E42)*0.1</formula>
    </cfRule>
  </conditionalFormatting>
  <printOptions/>
  <pageMargins left="0.75" right="0.75" top="1" bottom="1" header="0.5" footer="0.5"/>
  <pageSetup blackAndWhite="1" fitToHeight="1" fitToWidth="1" horizontalDpi="600" verticalDpi="600" orientation="portrait" scale="48"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C10" sqref="C10"/>
    </sheetView>
  </sheetViews>
  <sheetFormatPr defaultColWidth="8.796875" defaultRowHeight="15"/>
  <cols>
    <col min="1" max="1" width="15.796875" style="75" customWidth="1"/>
    <col min="2" max="2" width="20.796875" style="75" customWidth="1"/>
    <col min="3" max="3" width="9.796875" style="75" customWidth="1"/>
    <col min="4" max="4" width="15.09765625" style="75" customWidth="1"/>
    <col min="5" max="5" width="15.796875" style="75" customWidth="1"/>
    <col min="6" max="6" width="1.8984375" style="75" customWidth="1"/>
    <col min="7" max="7" width="18.69921875" style="75" customWidth="1"/>
    <col min="8" max="16384" width="8.8984375" style="75" customWidth="1"/>
  </cols>
  <sheetData>
    <row r="1" spans="1:5" ht="15.75">
      <c r="A1" s="943" t="s">
        <v>981</v>
      </c>
      <c r="B1" s="944"/>
      <c r="C1" s="944"/>
      <c r="D1" s="944"/>
      <c r="E1" s="944"/>
    </row>
    <row r="2" spans="1:5" ht="15.75">
      <c r="A2" s="73"/>
      <c r="B2" s="74"/>
      <c r="C2" s="74"/>
      <c r="D2" s="74"/>
      <c r="E2" s="74"/>
    </row>
    <row r="3" spans="1:5" ht="15.75">
      <c r="A3" s="780" t="s">
        <v>982</v>
      </c>
      <c r="B3" s="74"/>
      <c r="C3" s="74"/>
      <c r="D3" s="719"/>
      <c r="E3" s="720"/>
    </row>
    <row r="4" spans="1:5" ht="15.75">
      <c r="A4" s="780" t="s">
        <v>983</v>
      </c>
      <c r="B4" s="74"/>
      <c r="C4" s="74"/>
      <c r="D4" s="719"/>
      <c r="E4" s="720"/>
    </row>
    <row r="5" spans="1:5" ht="15.75">
      <c r="A5" s="781"/>
      <c r="B5" s="74"/>
      <c r="C5" s="74"/>
      <c r="D5" s="78"/>
      <c r="E5" s="74"/>
    </row>
    <row r="6" spans="1:5" ht="15.75">
      <c r="A6" s="780" t="s">
        <v>984</v>
      </c>
      <c r="B6" s="74"/>
      <c r="C6" s="79"/>
      <c r="D6" s="78"/>
      <c r="E6" s="74"/>
    </row>
    <row r="7" spans="1:5" ht="15.75">
      <c r="A7" s="780"/>
      <c r="B7" s="74"/>
      <c r="C7" s="78"/>
      <c r="D7" s="78"/>
      <c r="E7" s="74"/>
    </row>
    <row r="8" spans="1:5" ht="15.75">
      <c r="A8" s="780" t="s">
        <v>1072</v>
      </c>
      <c r="B8" s="74"/>
      <c r="C8" s="922"/>
      <c r="D8" s="78"/>
      <c r="E8" s="74"/>
    </row>
    <row r="9" spans="1:5" ht="15.75">
      <c r="A9" s="780"/>
      <c r="B9" s="74"/>
      <c r="C9" s="78"/>
      <c r="D9" s="78"/>
      <c r="E9" s="74"/>
    </row>
    <row r="10" spans="1:5" ht="15.75">
      <c r="A10" s="780" t="s">
        <v>1073</v>
      </c>
      <c r="B10" s="74"/>
      <c r="C10" s="922"/>
      <c r="D10" s="78"/>
      <c r="E10" s="74"/>
    </row>
    <row r="11" spans="1:5" ht="15.75">
      <c r="A11" s="74"/>
      <c r="B11" s="74"/>
      <c r="C11" s="74"/>
      <c r="D11" s="74"/>
      <c r="E11" s="74"/>
    </row>
    <row r="12" spans="1:5" ht="15.75">
      <c r="A12" s="945" t="s">
        <v>985</v>
      </c>
      <c r="B12" s="945"/>
      <c r="C12" s="945"/>
      <c r="D12" s="945"/>
      <c r="E12" s="945"/>
    </row>
    <row r="13" spans="1:8" ht="15.75" customHeight="1">
      <c r="A13" s="945"/>
      <c r="B13" s="945"/>
      <c r="C13" s="945"/>
      <c r="D13" s="945"/>
      <c r="E13" s="945"/>
      <c r="F13" s="74"/>
      <c r="G13" s="946" t="s">
        <v>987</v>
      </c>
      <c r="H13" s="947"/>
    </row>
    <row r="14" spans="1:8" ht="15.75">
      <c r="A14" s="945"/>
      <c r="B14" s="945"/>
      <c r="C14" s="945"/>
      <c r="D14" s="945"/>
      <c r="E14" s="945"/>
      <c r="F14" s="74"/>
      <c r="G14" s="948"/>
      <c r="H14" s="949"/>
    </row>
    <row r="15" spans="1:8" ht="15.75">
      <c r="A15" s="941" t="s">
        <v>986</v>
      </c>
      <c r="B15" s="942"/>
      <c r="C15" s="942"/>
      <c r="D15" s="942"/>
      <c r="E15" s="942"/>
      <c r="F15" s="74"/>
      <c r="G15" s="948"/>
      <c r="H15" s="949"/>
    </row>
    <row r="16" spans="1:8" ht="15.75">
      <c r="A16" s="81"/>
      <c r="B16" s="80"/>
      <c r="C16" s="80"/>
      <c r="D16" s="80"/>
      <c r="E16" s="80"/>
      <c r="F16" s="74"/>
      <c r="G16" s="948"/>
      <c r="H16" s="949"/>
    </row>
    <row r="17" spans="1:8" ht="15.75">
      <c r="A17" s="751" t="s">
        <v>20</v>
      </c>
      <c r="B17" s="752"/>
      <c r="C17" s="74"/>
      <c r="D17" s="74"/>
      <c r="E17" s="74"/>
      <c r="F17" s="74"/>
      <c r="G17" s="948"/>
      <c r="H17" s="949"/>
    </row>
    <row r="18" spans="1:8" ht="15.75">
      <c r="A18" s="753" t="str">
        <f>CONCATENATE("the ",C6-1," Budget, Certificate Page:")</f>
        <v>the -1 Budget, Certificate Page:</v>
      </c>
      <c r="B18" s="754"/>
      <c r="C18" s="83"/>
      <c r="D18" s="74"/>
      <c r="E18" s="74"/>
      <c r="F18" s="74"/>
      <c r="G18" s="948"/>
      <c r="H18" s="949"/>
    </row>
    <row r="19" spans="1:8" ht="15.75">
      <c r="A19" s="755" t="s">
        <v>308</v>
      </c>
      <c r="B19" s="756"/>
      <c r="C19" s="83"/>
      <c r="D19" s="74"/>
      <c r="E19" s="74"/>
      <c r="F19" s="74"/>
      <c r="G19" s="950"/>
      <c r="H19" s="951"/>
    </row>
    <row r="20" spans="1:8" ht="15.75">
      <c r="A20" s="84"/>
      <c r="B20" s="74"/>
      <c r="C20" s="74"/>
      <c r="D20" s="85">
        <f>$C$6-1</f>
        <v>-1</v>
      </c>
      <c r="E20" s="85">
        <f>$C$6-2</f>
        <v>-2</v>
      </c>
      <c r="F20" s="782"/>
      <c r="G20" s="205" t="s">
        <v>769</v>
      </c>
      <c r="H20" s="178" t="s">
        <v>160</v>
      </c>
    </row>
    <row r="21" spans="1:8" ht="15.75">
      <c r="A21" s="77" t="s">
        <v>114</v>
      </c>
      <c r="B21" s="74"/>
      <c r="C21" s="86" t="s">
        <v>115</v>
      </c>
      <c r="D21" s="87" t="s">
        <v>307</v>
      </c>
      <c r="E21" s="87" t="s">
        <v>103</v>
      </c>
      <c r="F21" s="782"/>
      <c r="G21" s="232" t="str">
        <f>CONCATENATE("",E20," Ad Valorem Tax")</f>
        <v>-2 Ad Valorem Tax</v>
      </c>
      <c r="H21" s="608">
        <v>0</v>
      </c>
    </row>
    <row r="22" spans="1:7" ht="15.75">
      <c r="A22" s="74"/>
      <c r="B22" s="88" t="s">
        <v>116</v>
      </c>
      <c r="C22" s="178" t="s">
        <v>259</v>
      </c>
      <c r="D22" s="90"/>
      <c r="E22" s="90"/>
      <c r="F22" s="782"/>
      <c r="G22" s="180">
        <f>IF(H21&gt;0,ROUND(E22-(E22*H21),0),0)</f>
        <v>0</v>
      </c>
    </row>
    <row r="23" spans="1:7" ht="15.75">
      <c r="A23" s="74"/>
      <c r="B23" s="88" t="s">
        <v>98</v>
      </c>
      <c r="C23" s="178" t="s">
        <v>275</v>
      </c>
      <c r="D23" s="90"/>
      <c r="E23" s="90"/>
      <c r="F23" s="782"/>
      <c r="G23" s="180">
        <f>IF(H21&gt;0,ROUND(E23-(E23*H21),0),0)</f>
        <v>0</v>
      </c>
    </row>
    <row r="24" spans="1:7" ht="15.75">
      <c r="A24" s="74"/>
      <c r="B24" s="88" t="s">
        <v>770</v>
      </c>
      <c r="C24" s="178" t="s">
        <v>771</v>
      </c>
      <c r="D24" s="90"/>
      <c r="E24" s="90"/>
      <c r="F24" s="782"/>
      <c r="G24" s="180">
        <f>IF(H21&gt;0,ROUND(E24-(E24*H21),0),0)</f>
        <v>0</v>
      </c>
    </row>
    <row r="25" spans="1:7" ht="15.75">
      <c r="A25" s="77" t="s">
        <v>117</v>
      </c>
      <c r="B25" s="74"/>
      <c r="C25" s="74"/>
      <c r="D25" s="91"/>
      <c r="E25" s="784"/>
      <c r="F25" s="782"/>
      <c r="G25" s="91"/>
    </row>
    <row r="26" spans="1:7" ht="15.75">
      <c r="A26" s="74"/>
      <c r="B26" s="92"/>
      <c r="C26" s="593"/>
      <c r="D26" s="90"/>
      <c r="E26" s="90"/>
      <c r="F26" s="782"/>
      <c r="G26" s="180">
        <f>IF(H21&gt;0,ROUND(E26-(E26*H21),0),0)</f>
        <v>0</v>
      </c>
    </row>
    <row r="27" spans="1:7" ht="15.75">
      <c r="A27" s="74"/>
      <c r="B27" s="93"/>
      <c r="C27" s="594"/>
      <c r="D27" s="90"/>
      <c r="E27" s="90"/>
      <c r="F27" s="782"/>
      <c r="G27" s="180">
        <f>IF(H21&gt;0,ROUND(E27-(E27*H21),0),0)</f>
        <v>0</v>
      </c>
    </row>
    <row r="28" spans="1:7" ht="15.75">
      <c r="A28" s="74"/>
      <c r="B28" s="93"/>
      <c r="C28" s="593"/>
      <c r="D28" s="90"/>
      <c r="E28" s="90"/>
      <c r="F28" s="782"/>
      <c r="G28" s="180">
        <f>IF(H21&gt;0,ROUND(E28-(E28*H21),0),0)</f>
        <v>0</v>
      </c>
    </row>
    <row r="29" spans="1:7" ht="15.75">
      <c r="A29" s="74"/>
      <c r="B29" s="93"/>
      <c r="C29" s="593"/>
      <c r="D29" s="90"/>
      <c r="E29" s="90"/>
      <c r="F29" s="782"/>
      <c r="G29" s="180">
        <f>IF(H21&gt;0,ROUND(E29-(E29*H21),0),0)</f>
        <v>0</v>
      </c>
    </row>
    <row r="30" spans="1:7" ht="15.75">
      <c r="A30" s="94" t="str">
        <f>CONCATENATE("Total Ad Valorem Tax Levy Funds for ",C6-1," Budgeted Year")</f>
        <v>Total Ad Valorem Tax Levy Funds for -1 Budgeted Year</v>
      </c>
      <c r="B30" s="95"/>
      <c r="C30" s="95"/>
      <c r="D30" s="96"/>
      <c r="E30" s="97">
        <f>SUM(E22:E29)</f>
        <v>0</v>
      </c>
      <c r="F30" s="782"/>
      <c r="G30" s="74"/>
    </row>
    <row r="31" spans="1:7" ht="15.75">
      <c r="A31" s="391" t="str">
        <f>CONCATENATE("Fund Not Considered Part of the Max Levy Computation for ",C6," Budgeted Year:")</f>
        <v>Fund Not Considered Part of the Max Levy Computation for  Budgeted Year:</v>
      </c>
      <c r="B31" s="99"/>
      <c r="C31" s="99"/>
      <c r="D31" s="198"/>
      <c r="E31" s="74"/>
      <c r="F31" s="782"/>
      <c r="G31" s="74"/>
    </row>
    <row r="32" spans="1:7" ht="15.75">
      <c r="A32" s="102"/>
      <c r="B32" s="393" t="s">
        <v>609</v>
      </c>
      <c r="C32" s="395" t="s">
        <v>610</v>
      </c>
      <c r="D32" s="394"/>
      <c r="E32" s="394"/>
      <c r="F32" s="782"/>
      <c r="G32" s="180">
        <f>IF(H21&gt;0,ROUND(E32-(E32*H21),0),0)</f>
        <v>0</v>
      </c>
    </row>
    <row r="33" spans="1:5" ht="15.75">
      <c r="A33" s="102"/>
      <c r="B33" s="99"/>
      <c r="C33" s="99"/>
      <c r="D33" s="198"/>
      <c r="E33" s="99"/>
    </row>
    <row r="34" spans="1:5" ht="15.75">
      <c r="A34" s="77" t="s">
        <v>118</v>
      </c>
      <c r="B34" s="74"/>
      <c r="C34" s="74"/>
      <c r="D34" s="74"/>
      <c r="E34" s="74"/>
    </row>
    <row r="35" spans="1:5" ht="15.75">
      <c r="A35" s="74"/>
      <c r="B35" s="98" t="s">
        <v>119</v>
      </c>
      <c r="C35" s="99"/>
      <c r="D35" s="90"/>
      <c r="E35" s="99"/>
    </row>
    <row r="36" spans="1:5" ht="15.75">
      <c r="A36" s="74"/>
      <c r="B36" s="384"/>
      <c r="C36" s="99"/>
      <c r="D36" s="90"/>
      <c r="E36" s="99"/>
    </row>
    <row r="37" spans="1:5" ht="15.75">
      <c r="A37" s="74"/>
      <c r="B37" s="384"/>
      <c r="C37" s="99"/>
      <c r="D37" s="90"/>
      <c r="E37" s="99"/>
    </row>
    <row r="38" spans="1:5" ht="15.75">
      <c r="A38" s="74"/>
      <c r="B38" s="384"/>
      <c r="C38" s="99"/>
      <c r="D38" s="90"/>
      <c r="E38" s="99"/>
    </row>
    <row r="39" spans="1:5" ht="15.75">
      <c r="A39" s="74"/>
      <c r="B39" s="100"/>
      <c r="C39" s="99"/>
      <c r="D39" s="90"/>
      <c r="E39" s="99"/>
    </row>
    <row r="40" spans="1:5" ht="15.75">
      <c r="A40" s="74"/>
      <c r="B40" s="100"/>
      <c r="C40" s="99"/>
      <c r="D40" s="90"/>
      <c r="E40" s="99"/>
    </row>
    <row r="41" spans="1:5" ht="15.75">
      <c r="A41" s="74" t="s">
        <v>94</v>
      </c>
      <c r="B41" s="101"/>
      <c r="C41" s="99"/>
      <c r="D41" s="99"/>
      <c r="E41" s="99"/>
    </row>
    <row r="42" spans="1:5" ht="15.75">
      <c r="A42" s="102"/>
      <c r="B42" s="92"/>
      <c r="C42" s="103"/>
      <c r="D42" s="90"/>
      <c r="E42" s="104"/>
    </row>
    <row r="43" spans="1:5" ht="15.75">
      <c r="A43" s="94" t="str">
        <f>CONCATENATE("Total Expenditures for ",C6-1," Budgeted Year")</f>
        <v>Total Expenditures for -1 Budgeted Year</v>
      </c>
      <c r="B43" s="105"/>
      <c r="C43" s="106"/>
      <c r="D43" s="97">
        <f>SUM(D22:D24,D26:D29,D35:D40,D42)</f>
        <v>0</v>
      </c>
      <c r="E43" s="104"/>
    </row>
    <row r="44" spans="1:5" ht="15.75">
      <c r="A44" s="102" t="s">
        <v>32</v>
      </c>
      <c r="B44" s="99"/>
      <c r="C44" s="99"/>
      <c r="D44" s="99"/>
      <c r="E44" s="74"/>
    </row>
    <row r="45" spans="1:5" ht="15.75">
      <c r="A45" s="107">
        <v>1</v>
      </c>
      <c r="B45" s="92"/>
      <c r="C45" s="99"/>
      <c r="D45" s="99"/>
      <c r="E45" s="74"/>
    </row>
    <row r="46" spans="1:5" ht="15.75">
      <c r="A46" s="107">
        <v>2</v>
      </c>
      <c r="B46" s="92"/>
      <c r="C46" s="99"/>
      <c r="D46" s="99"/>
      <c r="E46" s="74"/>
    </row>
    <row r="47" spans="1:5" ht="15.75">
      <c r="A47" s="107">
        <v>3</v>
      </c>
      <c r="B47" s="92"/>
      <c r="C47" s="99"/>
      <c r="D47" s="99"/>
      <c r="E47" s="74"/>
    </row>
    <row r="48" spans="1:5" ht="15.75">
      <c r="A48" s="107">
        <v>4</v>
      </c>
      <c r="B48" s="92"/>
      <c r="C48" s="99"/>
      <c r="D48" s="99"/>
      <c r="E48" s="74"/>
    </row>
    <row r="49" spans="1:5" ht="15.75">
      <c r="A49" s="107">
        <v>5</v>
      </c>
      <c r="B49" s="92"/>
      <c r="C49" s="99"/>
      <c r="D49" s="99"/>
      <c r="E49" s="74"/>
    </row>
    <row r="50" spans="1:5" ht="15.75">
      <c r="A50" s="108"/>
      <c r="B50" s="99"/>
      <c r="C50" s="99"/>
      <c r="D50" s="99"/>
      <c r="E50" s="74"/>
    </row>
    <row r="51" spans="1:5" ht="18" customHeight="1">
      <c r="A51" s="74"/>
      <c r="B51" s="74"/>
      <c r="C51" s="74"/>
      <c r="D51" s="74"/>
      <c r="E51" s="74"/>
    </row>
    <row r="52" spans="1:5" ht="15.75">
      <c r="A52" s="751" t="s">
        <v>20</v>
      </c>
      <c r="B52" s="752"/>
      <c r="C52" s="74"/>
      <c r="D52" s="758" t="str">
        <f>CONCATENATE("",C6-3," Tax Rate")</f>
        <v>-3 Tax Rate</v>
      </c>
      <c r="E52" s="74"/>
    </row>
    <row r="53" spans="1:5" ht="15.75">
      <c r="A53" s="755" t="str">
        <f>CONCATENATE("the ",C6-1," Budget, Budget Summary Page")</f>
        <v>the -1 Budget, Budget Summary Page</v>
      </c>
      <c r="B53" s="756"/>
      <c r="C53" s="74"/>
      <c r="D53" s="759" t="str">
        <f>CONCATENATE("(",C6-2," Column)")</f>
        <v>(-2 Column)</v>
      </c>
      <c r="E53" s="74"/>
    </row>
    <row r="54" spans="1:5" ht="15.75">
      <c r="A54" s="74"/>
      <c r="B54" s="757" t="str">
        <f>B22</f>
        <v>General</v>
      </c>
      <c r="C54" s="110"/>
      <c r="D54" s="111"/>
      <c r="E54" s="74"/>
    </row>
    <row r="55" spans="1:5" ht="15.75">
      <c r="A55" s="74"/>
      <c r="B55" s="109" t="str">
        <f>B23</f>
        <v>Debt Service</v>
      </c>
      <c r="C55" s="110"/>
      <c r="D55" s="111"/>
      <c r="E55" s="74"/>
    </row>
    <row r="56" spans="1:5" ht="15.75">
      <c r="A56" s="74"/>
      <c r="B56" s="109" t="str">
        <f>B24</f>
        <v>Library</v>
      </c>
      <c r="C56" s="110"/>
      <c r="D56" s="111"/>
      <c r="E56" s="74"/>
    </row>
    <row r="57" spans="1:5" ht="15.75">
      <c r="A57" s="74"/>
      <c r="B57" s="109">
        <f>B26</f>
        <v>0</v>
      </c>
      <c r="C57" s="89"/>
      <c r="D57" s="111"/>
      <c r="E57" s="74"/>
    </row>
    <row r="58" spans="1:5" ht="15.75">
      <c r="A58" s="74"/>
      <c r="B58" s="109">
        <f>B27</f>
        <v>0</v>
      </c>
      <c r="C58" s="89"/>
      <c r="D58" s="111"/>
      <c r="E58" s="74"/>
    </row>
    <row r="59" spans="1:5" ht="15.75">
      <c r="A59" s="74"/>
      <c r="B59" s="109">
        <f>B28</f>
        <v>0</v>
      </c>
      <c r="C59" s="89"/>
      <c r="D59" s="111"/>
      <c r="E59" s="74"/>
    </row>
    <row r="60" spans="1:5" ht="15.75">
      <c r="A60" s="74"/>
      <c r="B60" s="109">
        <f>B29</f>
        <v>0</v>
      </c>
      <c r="C60" s="89"/>
      <c r="D60" s="111"/>
      <c r="E60" s="74"/>
    </row>
    <row r="61" spans="1:5" ht="15.75">
      <c r="A61" s="74"/>
      <c r="B61" s="109" t="str">
        <f>B32</f>
        <v>Recreation</v>
      </c>
      <c r="C61" s="106"/>
      <c r="D61" s="111"/>
      <c r="E61" s="74"/>
    </row>
    <row r="62" spans="1:5" ht="15.75">
      <c r="A62" s="94" t="s">
        <v>120</v>
      </c>
      <c r="B62" s="95"/>
      <c r="C62" s="106"/>
      <c r="D62" s="112">
        <f>SUM(D54:D61)</f>
        <v>0</v>
      </c>
      <c r="E62" s="74"/>
    </row>
    <row r="63" spans="1:5" ht="15.75">
      <c r="A63" s="74"/>
      <c r="B63" s="74"/>
      <c r="C63" s="74"/>
      <c r="D63" s="74"/>
      <c r="E63" s="74"/>
    </row>
    <row r="64" spans="1:5" ht="15.75">
      <c r="A64" s="760" t="str">
        <f>CONCATENATE("Total Tax Levied (",C6-2," budget column)")</f>
        <v>Total Tax Levied (-2 budget column)</v>
      </c>
      <c r="B64" s="761"/>
      <c r="C64" s="95"/>
      <c r="D64" s="106"/>
      <c r="E64" s="90"/>
    </row>
    <row r="65" spans="1:5" ht="15.75">
      <c r="A65" s="762" t="str">
        <f>CONCATENATE("Assessed Valuation  (",C6-2," budget column)")</f>
        <v>Assessed Valuation  (-2 budget column)</v>
      </c>
      <c r="B65" s="761"/>
      <c r="C65" s="114"/>
      <c r="D65" s="115"/>
      <c r="E65" s="90"/>
    </row>
    <row r="66" spans="1:5" ht="15.75">
      <c r="A66" s="74"/>
      <c r="B66" s="74"/>
      <c r="C66" s="74"/>
      <c r="D66" s="83"/>
      <c r="E66" s="91"/>
    </row>
    <row r="67" spans="1:5" ht="15.75">
      <c r="A67" s="763" t="s">
        <v>41</v>
      </c>
      <c r="B67" s="764"/>
      <c r="C67" s="116"/>
      <c r="D67" s="117">
        <f>C6-3</f>
        <v>-3</v>
      </c>
      <c r="E67" s="118">
        <f>C6-2</f>
        <v>-2</v>
      </c>
    </row>
    <row r="68" spans="1:5" ht="15.75">
      <c r="A68" s="765" t="s">
        <v>287</v>
      </c>
      <c r="B68" s="766"/>
      <c r="C68" s="119"/>
      <c r="D68" s="120"/>
      <c r="E68" s="120"/>
    </row>
    <row r="69" spans="1:5" ht="15.75">
      <c r="A69" s="767" t="s">
        <v>288</v>
      </c>
      <c r="B69" s="768"/>
      <c r="C69" s="121"/>
      <c r="D69" s="120"/>
      <c r="E69" s="120"/>
    </row>
    <row r="70" spans="1:5" ht="15.75">
      <c r="A70" s="767" t="s">
        <v>289</v>
      </c>
      <c r="B70" s="768"/>
      <c r="C70" s="121"/>
      <c r="D70" s="120"/>
      <c r="E70" s="120"/>
    </row>
    <row r="71" spans="1:5" ht="15.75">
      <c r="A71" s="767" t="s">
        <v>290</v>
      </c>
      <c r="B71" s="768"/>
      <c r="C71" s="121"/>
      <c r="D71" s="120"/>
      <c r="E71" s="120"/>
    </row>
    <row r="78" spans="1:5" s="122" customFormat="1" ht="15.75">
      <c r="A78" s="75"/>
      <c r="B78" s="75"/>
      <c r="C78" s="75"/>
      <c r="D78" s="75"/>
      <c r="E78" s="75"/>
    </row>
  </sheetData>
  <sheetProtection/>
  <mergeCells count="4">
    <mergeCell ref="A15:E15"/>
    <mergeCell ref="A1:E1"/>
    <mergeCell ref="A12:E14"/>
    <mergeCell ref="G13:H19"/>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93" sqref="D93"/>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59765625" style="75" customWidth="1"/>
    <col min="10" max="10" width="10" style="75" customWidth="1"/>
    <col min="11" max="16384" width="8.8984375" style="75" customWidth="1"/>
  </cols>
  <sheetData>
    <row r="1" spans="2:5" ht="15.75">
      <c r="B1" s="192">
        <f>(inputPrYr!D3)</f>
        <v>0</v>
      </c>
      <c r="C1" s="192"/>
      <c r="D1" s="74"/>
      <c r="E1" s="152">
        <f>inputPrYr!$C$6</f>
        <v>0</v>
      </c>
    </row>
    <row r="2" spans="2:5" ht="15.75">
      <c r="B2" s="74"/>
      <c r="C2" s="74"/>
      <c r="D2" s="74"/>
      <c r="E2" s="204"/>
    </row>
    <row r="3" spans="2:5" ht="15.75">
      <c r="B3" s="84" t="s">
        <v>208</v>
      </c>
      <c r="C3" s="84"/>
      <c r="D3" s="262"/>
      <c r="E3" s="154"/>
    </row>
    <row r="4" spans="2:5" ht="15.75">
      <c r="B4" s="77" t="s">
        <v>147</v>
      </c>
      <c r="C4" s="613" t="s">
        <v>789</v>
      </c>
      <c r="D4" s="614" t="s">
        <v>790</v>
      </c>
      <c r="E4" s="165" t="s">
        <v>791</v>
      </c>
    </row>
    <row r="5" spans="2:5" ht="15.75">
      <c r="B5" s="433">
        <f>(inputPrYr!B26)</f>
        <v>0</v>
      </c>
      <c r="C5" s="387" t="str">
        <f>CONCATENATE("Actual for ",E1-2,"")</f>
        <v>Actual for -2</v>
      </c>
      <c r="D5" s="387" t="str">
        <f>CONCATENATE("Estimate for ",E1-1,"")</f>
        <v>Estimate for -1</v>
      </c>
      <c r="E5" s="215" t="str">
        <f>CONCATENATE("Year for ",E1,"")</f>
        <v>Year for 0</v>
      </c>
    </row>
    <row r="6" spans="2:5" ht="15.75">
      <c r="B6" s="169" t="s">
        <v>254</v>
      </c>
      <c r="C6" s="428"/>
      <c r="D6" s="427">
        <f>C36</f>
        <v>0</v>
      </c>
      <c r="E6" s="180">
        <f>D36</f>
        <v>0</v>
      </c>
    </row>
    <row r="7" spans="2:5" ht="15.75">
      <c r="B7" s="169" t="s">
        <v>256</v>
      </c>
      <c r="C7" s="181"/>
      <c r="D7" s="427"/>
      <c r="E7" s="180"/>
    </row>
    <row r="8" spans="2:5" ht="15.75">
      <c r="B8" s="169" t="s">
        <v>148</v>
      </c>
      <c r="C8" s="424"/>
      <c r="D8" s="427">
        <f>IF(inputPrYr!H21&gt;0,inputPrYr!G26,inputPrYr!E26)</f>
        <v>0</v>
      </c>
      <c r="E8" s="330" t="s">
        <v>137</v>
      </c>
    </row>
    <row r="9" spans="2:5" ht="15.75">
      <c r="B9" s="169" t="s">
        <v>149</v>
      </c>
      <c r="C9" s="424"/>
      <c r="D9" s="429"/>
      <c r="E9" s="90"/>
    </row>
    <row r="10" spans="2:5" ht="15.75">
      <c r="B10" s="169" t="s">
        <v>150</v>
      </c>
      <c r="C10" s="424"/>
      <c r="D10" s="429"/>
      <c r="E10" s="180" t="str">
        <f>Mvalloc!D11</f>
        <v>  </v>
      </c>
    </row>
    <row r="11" spans="2:5" ht="15.75">
      <c r="B11" s="169" t="s">
        <v>151</v>
      </c>
      <c r="C11" s="424"/>
      <c r="D11" s="429"/>
      <c r="E11" s="180" t="str">
        <f>Mvalloc!E11</f>
        <v>  </v>
      </c>
    </row>
    <row r="12" spans="2:5" ht="15.75">
      <c r="B12" s="182" t="s">
        <v>204</v>
      </c>
      <c r="C12" s="424"/>
      <c r="D12" s="429"/>
      <c r="E12" s="180" t="str">
        <f>Mvalloc!F11</f>
        <v>  </v>
      </c>
    </row>
    <row r="13" spans="2:5" ht="15.75">
      <c r="B13" s="791" t="s">
        <v>1003</v>
      </c>
      <c r="C13" s="424"/>
      <c r="D13" s="429"/>
      <c r="E13" s="180" t="str">
        <f>Mvalloc!G11</f>
        <v>  </v>
      </c>
    </row>
    <row r="14" spans="2:5" ht="15.75">
      <c r="B14" s="791" t="s">
        <v>1004</v>
      </c>
      <c r="C14" s="424"/>
      <c r="D14" s="429"/>
      <c r="E14" s="180" t="str">
        <f>Mvalloc!H11</f>
        <v>  </v>
      </c>
    </row>
    <row r="15" spans="2:5" ht="15.75">
      <c r="B15" s="331"/>
      <c r="C15" s="424"/>
      <c r="D15" s="429"/>
      <c r="E15" s="90"/>
    </row>
    <row r="16" spans="2:5" ht="15.75">
      <c r="B16" s="331"/>
      <c r="C16" s="424"/>
      <c r="D16" s="429"/>
      <c r="E16" s="90"/>
    </row>
    <row r="17" spans="2:5" ht="15.75">
      <c r="B17" s="331"/>
      <c r="C17" s="424"/>
      <c r="D17" s="429"/>
      <c r="E17" s="90"/>
    </row>
    <row r="18" spans="2:10" ht="15.75">
      <c r="B18" s="331"/>
      <c r="C18" s="424"/>
      <c r="D18" s="429"/>
      <c r="E18" s="90"/>
      <c r="G18" s="999" t="str">
        <f>CONCATENATE("Desired Carryover Into ",E1+1,"")</f>
        <v>Desired Carryover Into 1</v>
      </c>
      <c r="H18" s="1000"/>
      <c r="I18" s="1000"/>
      <c r="J18" s="1001"/>
    </row>
    <row r="19" spans="2:10" ht="15.75">
      <c r="B19" s="322" t="s">
        <v>154</v>
      </c>
      <c r="C19" s="424"/>
      <c r="D19" s="429"/>
      <c r="E19" s="90"/>
      <c r="G19" s="548"/>
      <c r="H19" s="445"/>
      <c r="I19" s="463"/>
      <c r="J19" s="549"/>
    </row>
    <row r="20" spans="2:10" ht="15.75">
      <c r="B20" s="328" t="s">
        <v>48</v>
      </c>
      <c r="C20" s="424"/>
      <c r="D20" s="429"/>
      <c r="E20" s="404">
        <f>Nhood!E10*-1</f>
        <v>0</v>
      </c>
      <c r="G20" s="469" t="s">
        <v>630</v>
      </c>
      <c r="H20" s="463"/>
      <c r="I20" s="463"/>
      <c r="J20" s="457">
        <v>0</v>
      </c>
    </row>
    <row r="21" spans="2:10" ht="15.75">
      <c r="B21" s="169" t="s">
        <v>244</v>
      </c>
      <c r="C21" s="424"/>
      <c r="D21" s="429"/>
      <c r="E21" s="90"/>
      <c r="G21" s="548" t="s">
        <v>629</v>
      </c>
      <c r="H21" s="445"/>
      <c r="I21" s="445"/>
      <c r="J21" s="692">
        <f>IF(J20=0,"",ROUND((J20+E42-G33)/inputOth!E9*1000,3)-G38)</f>
      </c>
    </row>
    <row r="22" spans="2:10" ht="15.75">
      <c r="B22" s="169" t="s">
        <v>763</v>
      </c>
      <c r="C22" s="425">
        <f>IF(C23*0.1&lt;C21,"Exceed 10% Rule","")</f>
      </c>
      <c r="D22" s="435">
        <f>IF(D23*0.1&lt;D21,"Exceed 10% Rule","")</f>
      </c>
      <c r="E22" s="323">
        <f>IF(E23*0.1+E42&lt;E21,"Exceed 10% Rule","")</f>
      </c>
      <c r="G22" s="678" t="str">
        <f>CONCATENATE("",E1," Tot Exp/Non-Appr Must Be:")</f>
        <v>0 Tot Exp/Non-Appr Must Be:</v>
      </c>
      <c r="H22" s="670"/>
      <c r="I22" s="669"/>
      <c r="J22" s="679">
        <f>IF(J20&gt;0,IF(E39&lt;E24,IF(J20=G33,E39,((J20-G33)*(1-D41))+E24),E39+(J20-G33)),0)</f>
        <v>0</v>
      </c>
    </row>
    <row r="23" spans="2:10" ht="15.75">
      <c r="B23" s="275" t="s">
        <v>155</v>
      </c>
      <c r="C23" s="430">
        <f>SUM(C8:C21)</f>
        <v>0</v>
      </c>
      <c r="D23" s="430">
        <f>SUM(D8:D21)</f>
        <v>0</v>
      </c>
      <c r="E23" s="332">
        <f>SUM(E8:E21)</f>
        <v>0</v>
      </c>
      <c r="G23" s="680" t="s">
        <v>860</v>
      </c>
      <c r="H23" s="681"/>
      <c r="I23" s="681"/>
      <c r="J23" s="682">
        <f>IF(J20&gt;0,J22-E39,0)</f>
        <v>0</v>
      </c>
    </row>
    <row r="24" spans="2:10" ht="15.75">
      <c r="B24" s="275" t="s">
        <v>156</v>
      </c>
      <c r="C24" s="430">
        <f>C6+C23</f>
        <v>0</v>
      </c>
      <c r="D24" s="430">
        <f>D6+D23</f>
        <v>0</v>
      </c>
      <c r="E24" s="332">
        <f>E6+E23</f>
        <v>0</v>
      </c>
      <c r="J24" s="2"/>
    </row>
    <row r="25" spans="2:10" ht="15.75">
      <c r="B25" s="169" t="s">
        <v>157</v>
      </c>
      <c r="C25" s="169"/>
      <c r="D25" s="427"/>
      <c r="E25" s="180"/>
      <c r="G25" s="999" t="str">
        <f>CONCATENATE("Projected Carryover Into ",E1+1,"")</f>
        <v>Projected Carryover Into 1</v>
      </c>
      <c r="H25" s="1005"/>
      <c r="I25" s="1005"/>
      <c r="J25" s="1006"/>
    </row>
    <row r="26" spans="2:10" ht="15.75">
      <c r="B26" s="331"/>
      <c r="C26" s="424"/>
      <c r="D26" s="429"/>
      <c r="E26" s="90"/>
      <c r="G26" s="548"/>
      <c r="H26" s="463"/>
      <c r="I26" s="463"/>
      <c r="J26" s="696"/>
    </row>
    <row r="27" spans="2:10" ht="15.75">
      <c r="B27" s="331"/>
      <c r="C27" s="424"/>
      <c r="D27" s="429"/>
      <c r="E27" s="90"/>
      <c r="G27" s="460">
        <f>D36</f>
        <v>0</v>
      </c>
      <c r="H27" s="461" t="str">
        <f>CONCATENATE("",E1-1," Ending Cash Balance (est.)")</f>
        <v>-1 Ending Cash Balance (est.)</v>
      </c>
      <c r="I27" s="462"/>
      <c r="J27" s="696"/>
    </row>
    <row r="28" spans="2:10" ht="15.75">
      <c r="B28" s="331"/>
      <c r="C28" s="424"/>
      <c r="D28" s="429"/>
      <c r="E28" s="90"/>
      <c r="G28" s="460">
        <f>E23</f>
        <v>0</v>
      </c>
      <c r="H28" s="463" t="str">
        <f>CONCATENATE("",E1," Non-AV Receipts (est.)")</f>
        <v>0 Non-AV Receipts (est.)</v>
      </c>
      <c r="I28" s="462"/>
      <c r="J28" s="696"/>
    </row>
    <row r="29" spans="2:11" ht="15.75">
      <c r="B29" s="331"/>
      <c r="C29" s="424"/>
      <c r="D29" s="429"/>
      <c r="E29" s="90"/>
      <c r="G29" s="464">
        <f>IF(E41&gt;0,E40,E42)</f>
        <v>0</v>
      </c>
      <c r="H29" s="463" t="str">
        <f>CONCATENATE("",E1," Ad Valorem Tax (est.)")</f>
        <v>0 Ad Valorem Tax (est.)</v>
      </c>
      <c r="I29" s="462"/>
      <c r="J29" s="700"/>
      <c r="K29" s="683">
        <f>IF(G29=E42,"","Note: Does not include Delinquent Taxes")</f>
      </c>
    </row>
    <row r="30" spans="2:10" ht="15.75">
      <c r="B30" s="331"/>
      <c r="C30" s="424"/>
      <c r="D30" s="429"/>
      <c r="E30" s="90"/>
      <c r="G30" s="460">
        <f>SUM(G27:G29)</f>
        <v>0</v>
      </c>
      <c r="H30" s="463" t="str">
        <f>CONCATENATE("Total ",E1," Resources Available")</f>
        <v>Total 0 Resources Available</v>
      </c>
      <c r="I30" s="462"/>
      <c r="J30" s="696"/>
    </row>
    <row r="31" spans="2:10" ht="15.75">
      <c r="B31" s="331"/>
      <c r="C31" s="424"/>
      <c r="D31" s="429"/>
      <c r="E31" s="90"/>
      <c r="G31" s="465"/>
      <c r="H31" s="463"/>
      <c r="I31" s="463"/>
      <c r="J31" s="696"/>
    </row>
    <row r="32" spans="2:10" ht="15.75">
      <c r="B32" s="328" t="str">
        <f>CONCATENATE("Cash Forward (",E1," column)")</f>
        <v>Cash Forward (0 column)</v>
      </c>
      <c r="C32" s="424"/>
      <c r="D32" s="429"/>
      <c r="E32" s="90"/>
      <c r="G32" s="464">
        <f>ROUND(C35*0.05+C35,0)</f>
        <v>0</v>
      </c>
      <c r="H32" s="463" t="str">
        <f>CONCATENATE("Less ",E1-2," Expenditures + 5%")</f>
        <v>Less -2 Expenditures + 5%</v>
      </c>
      <c r="I32" s="462"/>
      <c r="J32" s="696"/>
    </row>
    <row r="33" spans="2:10" ht="15.75">
      <c r="B33" s="328" t="s">
        <v>244</v>
      </c>
      <c r="C33" s="424"/>
      <c r="D33" s="429"/>
      <c r="E33" s="90"/>
      <c r="G33" s="694">
        <f>G30-G32</f>
        <v>0</v>
      </c>
      <c r="H33" s="550" t="str">
        <f>CONCATENATE("Projected ",E1+1," carryover (est.)")</f>
        <v>Projected 1 carryover (est.)</v>
      </c>
      <c r="I33" s="467"/>
      <c r="J33" s="698"/>
    </row>
    <row r="34" spans="2:10" ht="15.75">
      <c r="B34" s="328" t="s">
        <v>764</v>
      </c>
      <c r="C34" s="386">
        <f>IF(C35*0.1&lt;C33,"Exceed 10% Rule","")</f>
      </c>
      <c r="D34" s="402">
        <f>IF(D35*0.1&lt;D33,"Exceed 10% Rule","")</f>
      </c>
      <c r="E34" s="274">
        <f>IF(E35*0.1&lt;E33,"Exceed 10% Rule","")</f>
      </c>
      <c r="G34" s="2"/>
      <c r="H34" s="2"/>
      <c r="I34" s="2"/>
      <c r="J34" s="2"/>
    </row>
    <row r="35" spans="2:10" ht="15.75">
      <c r="B35" s="275" t="s">
        <v>158</v>
      </c>
      <c r="C35" s="426">
        <f>SUM(C26:C33)</f>
        <v>0</v>
      </c>
      <c r="D35" s="426">
        <f>SUM(D26:D33)</f>
        <v>0</v>
      </c>
      <c r="E35" s="325">
        <f>SUM(E26:E33)</f>
        <v>0</v>
      </c>
      <c r="G35" s="1002" t="s">
        <v>861</v>
      </c>
      <c r="H35" s="1003"/>
      <c r="I35" s="1003"/>
      <c r="J35" s="1004"/>
    </row>
    <row r="36" spans="2:10" ht="15.75">
      <c r="B36" s="169" t="s">
        <v>255</v>
      </c>
      <c r="C36" s="431">
        <f>C24-C35</f>
        <v>0</v>
      </c>
      <c r="D36" s="431">
        <f>D24-D35</f>
        <v>0</v>
      </c>
      <c r="E36" s="330" t="s">
        <v>137</v>
      </c>
      <c r="G36" s="684"/>
      <c r="H36" s="461"/>
      <c r="I36" s="671"/>
      <c r="J36" s="685"/>
    </row>
    <row r="37" spans="2:10" ht="15.75">
      <c r="B37" s="333" t="str">
        <f>CONCATENATE("",E1-2,"/",E1-1,"/",E1," Budget Authority Amount:")</f>
        <v>-2/-1/0 Budget Authority Amount:</v>
      </c>
      <c r="C37" s="398">
        <f>inputOth!B64</f>
        <v>0</v>
      </c>
      <c r="D37" s="404">
        <f>inputPrYr!D26</f>
        <v>0</v>
      </c>
      <c r="E37" s="180">
        <f>E35</f>
        <v>0</v>
      </c>
      <c r="F37" s="279"/>
      <c r="G37" s="686" t="str">
        <f>summ!H19</f>
        <v>  </v>
      </c>
      <c r="H37" s="461" t="str">
        <f>CONCATENATE("",E1," Fund Mill Rate")</f>
        <v>0 Fund Mill Rate</v>
      </c>
      <c r="I37" s="671"/>
      <c r="J37" s="685"/>
    </row>
    <row r="38" spans="2:10" ht="15.75">
      <c r="B38" s="200"/>
      <c r="C38" s="995" t="s">
        <v>621</v>
      </c>
      <c r="D38" s="996"/>
      <c r="E38" s="90"/>
      <c r="F38" s="715">
        <f>IF(E35/0.95-E35&lt;E38,"Exceeds 5%","")</f>
      </c>
      <c r="G38" s="687" t="str">
        <f>summ!E19</f>
        <v>  </v>
      </c>
      <c r="H38" s="461" t="str">
        <f>CONCATENATE("",E1-1," Fund Mill Rate")</f>
        <v>-1 Fund Mill Rate</v>
      </c>
      <c r="I38" s="671"/>
      <c r="J38" s="685"/>
    </row>
    <row r="39" spans="2:10" ht="15.75">
      <c r="B39" s="436" t="str">
        <f>CONCATENATE(C94,"     ",D94)</f>
        <v>     </v>
      </c>
      <c r="C39" s="997" t="s">
        <v>622</v>
      </c>
      <c r="D39" s="998"/>
      <c r="E39" s="180">
        <f>E35+E38</f>
        <v>0</v>
      </c>
      <c r="G39" s="688">
        <f>summ!H31</f>
        <v>0</v>
      </c>
      <c r="H39" s="461" t="str">
        <f>CONCATENATE("Total ",E1," Mill Rate")</f>
        <v>Total 0 Mill Rate</v>
      </c>
      <c r="I39" s="671"/>
      <c r="J39" s="685"/>
    </row>
    <row r="40" spans="2:10" ht="15.75">
      <c r="B40" s="436" t="str">
        <f>CONCATENATE(C95,"     ",D95)</f>
        <v>     </v>
      </c>
      <c r="C40" s="280"/>
      <c r="D40" s="204" t="s">
        <v>159</v>
      </c>
      <c r="E40" s="97">
        <f>IF(E39-E24&gt;0,E39-E24,0)</f>
        <v>0</v>
      </c>
      <c r="G40" s="687">
        <f>summ!E31</f>
        <v>0</v>
      </c>
      <c r="H40" s="689" t="str">
        <f>CONCATENATE("Total ",E1-1," Mill Rate")</f>
        <v>Total -1 Mill Rate</v>
      </c>
      <c r="I40" s="690"/>
      <c r="J40" s="691"/>
    </row>
    <row r="41" spans="2:5" ht="15.75">
      <c r="B41" s="204"/>
      <c r="C41" s="422" t="s">
        <v>623</v>
      </c>
      <c r="D41" s="616">
        <f>inputOth!$E$47</f>
        <v>0</v>
      </c>
      <c r="E41" s="180">
        <f>ROUND(IF(D41&gt;0,(E40*D41),0),0)</f>
        <v>0</v>
      </c>
    </row>
    <row r="42" spans="2:10" ht="16.5" thickBot="1">
      <c r="B42" s="74"/>
      <c r="C42" s="993" t="str">
        <f>CONCATENATE("Amount of  ",E1-1," Ad Valorem Tax")</f>
        <v>Amount of  -1 Ad Valorem Tax</v>
      </c>
      <c r="D42" s="994"/>
      <c r="E42" s="615">
        <f>E40+E41</f>
        <v>0</v>
      </c>
      <c r="G42" s="801"/>
      <c r="H42" s="807"/>
      <c r="I42" s="800"/>
      <c r="J42" s="806"/>
    </row>
    <row r="43" spans="2:10" ht="16.5" thickTop="1">
      <c r="B43" s="74"/>
      <c r="C43" s="596"/>
      <c r="D43" s="204"/>
      <c r="E43" s="204"/>
      <c r="G43" s="799" t="str">
        <f>CONCATENATE("Computed ",E1," tax levy limit amount")</f>
        <v>Computed 0 tax levy limit amount</v>
      </c>
      <c r="H43" s="802"/>
      <c r="I43" s="802"/>
      <c r="J43" s="798">
        <f>Comp1!J47</f>
        <v>0</v>
      </c>
    </row>
    <row r="44" spans="2:10" ht="15.75">
      <c r="B44" s="74"/>
      <c r="C44" s="596"/>
      <c r="D44" s="204"/>
      <c r="E44" s="204"/>
      <c r="G44" s="797" t="str">
        <f>CONCATENATE("Total ",E1," tax levy amount")</f>
        <v>Total 0 tax levy amount</v>
      </c>
      <c r="H44" s="796"/>
      <c r="I44" s="796"/>
      <c r="J44" s="795">
        <f>summ!G31</f>
        <v>0</v>
      </c>
    </row>
    <row r="45" spans="2:5" ht="15.75">
      <c r="B45" s="77"/>
      <c r="C45" s="77"/>
      <c r="D45" s="262"/>
      <c r="E45" s="262"/>
    </row>
    <row r="46" spans="2:5" ht="15.75">
      <c r="B46" s="77" t="s">
        <v>147</v>
      </c>
      <c r="C46" s="613" t="s">
        <v>789</v>
      </c>
      <c r="D46" s="614" t="s">
        <v>790</v>
      </c>
      <c r="E46" s="165" t="s">
        <v>791</v>
      </c>
    </row>
    <row r="47" spans="2:5" ht="15.75">
      <c r="B47" s="434">
        <f>(inputPrYr!B27)</f>
        <v>0</v>
      </c>
      <c r="C47" s="387" t="str">
        <f>C5</f>
        <v>Actual for -2</v>
      </c>
      <c r="D47" s="387" t="str">
        <f>D5</f>
        <v>Estimate for -1</v>
      </c>
      <c r="E47" s="215" t="str">
        <f>E5</f>
        <v>Year for 0</v>
      </c>
    </row>
    <row r="48" spans="2:5" ht="15.75">
      <c r="B48" s="169" t="s">
        <v>254</v>
      </c>
      <c r="C48" s="424"/>
      <c r="D48" s="427">
        <f>C72</f>
        <v>0</v>
      </c>
      <c r="E48" s="180">
        <f>D72</f>
        <v>0</v>
      </c>
    </row>
    <row r="49" spans="2:5" ht="15.75">
      <c r="B49" s="264" t="s">
        <v>256</v>
      </c>
      <c r="C49" s="169"/>
      <c r="D49" s="427"/>
      <c r="E49" s="180"/>
    </row>
    <row r="50" spans="2:5" ht="15.75">
      <c r="B50" s="169" t="s">
        <v>148</v>
      </c>
      <c r="C50" s="424"/>
      <c r="D50" s="427">
        <f>IF(inputPrYr!H21&gt;0,inputPrYr!G27,inputPrYr!E27)</f>
        <v>0</v>
      </c>
      <c r="E50" s="330" t="s">
        <v>137</v>
      </c>
    </row>
    <row r="51" spans="2:5" ht="15.75">
      <c r="B51" s="169" t="s">
        <v>149</v>
      </c>
      <c r="C51" s="424"/>
      <c r="D51" s="429"/>
      <c r="E51" s="90"/>
    </row>
    <row r="52" spans="2:5" ht="15.75">
      <c r="B52" s="169" t="s">
        <v>150</v>
      </c>
      <c r="C52" s="424"/>
      <c r="D52" s="429"/>
      <c r="E52" s="180" t="str">
        <f>Mvalloc!D12</f>
        <v>  </v>
      </c>
    </row>
    <row r="53" spans="2:5" ht="15.75">
      <c r="B53" s="169" t="s">
        <v>151</v>
      </c>
      <c r="C53" s="424"/>
      <c r="D53" s="429"/>
      <c r="E53" s="180" t="str">
        <f>Mvalloc!E12</f>
        <v>  </v>
      </c>
    </row>
    <row r="54" spans="2:5" ht="15.75">
      <c r="B54" s="182" t="s">
        <v>204</v>
      </c>
      <c r="C54" s="424"/>
      <c r="D54" s="429"/>
      <c r="E54" s="180" t="str">
        <f>Mvalloc!F12</f>
        <v>  </v>
      </c>
    </row>
    <row r="55" spans="2:5" ht="15.75">
      <c r="B55" s="791" t="s">
        <v>1003</v>
      </c>
      <c r="C55" s="424"/>
      <c r="D55" s="429"/>
      <c r="E55" s="180" t="str">
        <f>Mvalloc!G12</f>
        <v>  </v>
      </c>
    </row>
    <row r="56" spans="2:5" ht="15.75">
      <c r="B56" s="791" t="s">
        <v>1004</v>
      </c>
      <c r="C56" s="424"/>
      <c r="D56" s="429"/>
      <c r="E56" s="180" t="str">
        <f>Mvalloc!H12</f>
        <v>  </v>
      </c>
    </row>
    <row r="57" spans="2:10" ht="15.75">
      <c r="B57" s="331"/>
      <c r="C57" s="424"/>
      <c r="D57" s="429"/>
      <c r="E57" s="90"/>
      <c r="G57" s="999" t="str">
        <f>CONCATENATE("Desired Carryover Into ",E1+1,"")</f>
        <v>Desired Carryover Into 1</v>
      </c>
      <c r="H57" s="1000"/>
      <c r="I57" s="1000"/>
      <c r="J57" s="1001"/>
    </row>
    <row r="58" spans="2:10" ht="15.75">
      <c r="B58" s="322" t="s">
        <v>154</v>
      </c>
      <c r="C58" s="424"/>
      <c r="D58" s="429"/>
      <c r="E58" s="90"/>
      <c r="G58" s="548"/>
      <c r="H58" s="445"/>
      <c r="I58" s="463"/>
      <c r="J58" s="549"/>
    </row>
    <row r="59" spans="2:10" ht="15.75">
      <c r="B59" s="182" t="s">
        <v>48</v>
      </c>
      <c r="C59" s="424"/>
      <c r="D59" s="429"/>
      <c r="E59" s="180">
        <f>Nhood!E11*-1</f>
        <v>0</v>
      </c>
      <c r="G59" s="469" t="s">
        <v>630</v>
      </c>
      <c r="H59" s="463"/>
      <c r="I59" s="463"/>
      <c r="J59" s="457">
        <v>0</v>
      </c>
    </row>
    <row r="60" spans="2:10" ht="15.75">
      <c r="B60" s="169" t="s">
        <v>244</v>
      </c>
      <c r="C60" s="424"/>
      <c r="D60" s="429"/>
      <c r="E60" s="90"/>
      <c r="G60" s="548" t="s">
        <v>629</v>
      </c>
      <c r="H60" s="445"/>
      <c r="I60" s="445"/>
      <c r="J60" s="692">
        <f>IF(J59=0,"",ROUND((J59+E78-G72)/inputOth!E9*1000,3)-G77)</f>
      </c>
    </row>
    <row r="61" spans="2:10" ht="15.75">
      <c r="B61" s="169" t="s">
        <v>763</v>
      </c>
      <c r="C61" s="425">
        <f>IF(C62*0.1&lt;C60,"Exceed 10% Rule","")</f>
      </c>
      <c r="D61" s="435">
        <f>IF(D62*0.1&lt;D60,"Exceed 10% Rule","")</f>
      </c>
      <c r="E61" s="323">
        <f>IF((E62+E78)*0.1&lt;E60,"Exceed 10% Rule","")</f>
      </c>
      <c r="G61" s="678" t="str">
        <f>CONCATENATE("",E1," Tot Exp/Non-Appr Must Be:")</f>
        <v>0 Tot Exp/Non-Appr Must Be:</v>
      </c>
      <c r="H61" s="670"/>
      <c r="I61" s="669"/>
      <c r="J61" s="679">
        <f>IF(J59&gt;0,IF(E75&lt;E63,IF(J59=G72,E75,((J59-G72)*(1-D77))+E63),E75+(J59-G72)),0)</f>
        <v>0</v>
      </c>
    </row>
    <row r="62" spans="2:10" ht="15.75">
      <c r="B62" s="275" t="s">
        <v>155</v>
      </c>
      <c r="C62" s="426">
        <f>SUM(C50:C60)</f>
        <v>0</v>
      </c>
      <c r="D62" s="426">
        <f>SUM(D50:D60)</f>
        <v>0</v>
      </c>
      <c r="E62" s="325">
        <f>SUM(E50:E60)</f>
        <v>0</v>
      </c>
      <c r="G62" s="680" t="s">
        <v>860</v>
      </c>
      <c r="H62" s="681"/>
      <c r="I62" s="681"/>
      <c r="J62" s="682">
        <f>IF(J59&gt;0,J61-E75,0)</f>
        <v>0</v>
      </c>
    </row>
    <row r="63" spans="2:10" ht="15.75">
      <c r="B63" s="275" t="s">
        <v>156</v>
      </c>
      <c r="C63" s="426">
        <f>C48+C62</f>
        <v>0</v>
      </c>
      <c r="D63" s="426">
        <f>D48+D62</f>
        <v>0</v>
      </c>
      <c r="E63" s="325">
        <f>E48+E62</f>
        <v>0</v>
      </c>
      <c r="J63" s="2"/>
    </row>
    <row r="64" spans="2:10" ht="15.75">
      <c r="B64" s="169" t="s">
        <v>157</v>
      </c>
      <c r="C64" s="169"/>
      <c r="D64" s="427"/>
      <c r="E64" s="180"/>
      <c r="G64" s="999" t="str">
        <f>CONCATENATE("Projected Carryover Into ",E1+1,"")</f>
        <v>Projected Carryover Into 1</v>
      </c>
      <c r="H64" s="1007"/>
      <c r="I64" s="1007"/>
      <c r="J64" s="1006"/>
    </row>
    <row r="65" spans="2:10" ht="15.75">
      <c r="B65" s="331"/>
      <c r="C65" s="424"/>
      <c r="D65" s="429"/>
      <c r="E65" s="90"/>
      <c r="G65" s="458"/>
      <c r="H65" s="445"/>
      <c r="I65" s="445"/>
      <c r="J65" s="159"/>
    </row>
    <row r="66" spans="2:10" ht="15.75">
      <c r="B66" s="331"/>
      <c r="C66" s="424"/>
      <c r="D66" s="429"/>
      <c r="E66" s="90"/>
      <c r="G66" s="460">
        <f>D72</f>
        <v>0</v>
      </c>
      <c r="H66" s="461" t="str">
        <f>CONCATENATE("",E1-1," Ending Cash Balance (est.)")</f>
        <v>-1 Ending Cash Balance (est.)</v>
      </c>
      <c r="I66" s="462"/>
      <c r="J66" s="159"/>
    </row>
    <row r="67" spans="2:10" ht="15.75">
      <c r="B67" s="331"/>
      <c r="C67" s="424"/>
      <c r="D67" s="429"/>
      <c r="E67" s="90"/>
      <c r="G67" s="460">
        <f>E62</f>
        <v>0</v>
      </c>
      <c r="H67" s="463" t="str">
        <f>CONCATENATE("",E1," Non-AV Receipts (est.)")</f>
        <v>0 Non-AV Receipts (est.)</v>
      </c>
      <c r="I67" s="462"/>
      <c r="J67" s="159"/>
    </row>
    <row r="68" spans="2:11" ht="15.75">
      <c r="B68" s="328" t="str">
        <f>CONCATENATE("Cash Forward (",E1," column)")</f>
        <v>Cash Forward (0 column)</v>
      </c>
      <c r="C68" s="424"/>
      <c r="D68" s="429"/>
      <c r="E68" s="90"/>
      <c r="G68" s="464">
        <f>IF(D77&gt;0,E76,E78)</f>
        <v>0</v>
      </c>
      <c r="H68" s="463" t="str">
        <f>CONCATENATE("",E1," Ad Valorem Tax (est.)")</f>
        <v>0 Ad Valorem Tax (est.)</v>
      </c>
      <c r="I68" s="462"/>
      <c r="J68" s="159"/>
      <c r="K68" s="683">
        <f>IF(G68=E78,"","Note: Does not include Delinquent Taxes")</f>
      </c>
    </row>
    <row r="69" spans="2:10" ht="15.75">
      <c r="B69" s="182" t="s">
        <v>244</v>
      </c>
      <c r="C69" s="424"/>
      <c r="D69" s="429"/>
      <c r="E69" s="90"/>
      <c r="G69" s="551">
        <f>SUM(G66:G68)</f>
        <v>0</v>
      </c>
      <c r="H69" s="463" t="str">
        <f>CONCATENATE("Total ",E1," Resources Available")</f>
        <v>Total 0 Resources Available</v>
      </c>
      <c r="I69" s="459"/>
      <c r="J69" s="159"/>
    </row>
    <row r="70" spans="2:10" ht="15.75">
      <c r="B70" s="182" t="s">
        <v>762</v>
      </c>
      <c r="C70" s="425">
        <f>IF(C71*0.1&lt;C69,"Exceed 10% Rule","")</f>
      </c>
      <c r="D70" s="435">
        <f>IF(D71*0.1&lt;D69,"Exceed 10% Rule","")</f>
      </c>
      <c r="E70" s="323">
        <f>IF(E71*0.1&lt;E69,"Exceed 10% Rule","")</f>
      </c>
      <c r="G70" s="554"/>
      <c r="H70" s="552"/>
      <c r="I70" s="445"/>
      <c r="J70" s="159"/>
    </row>
    <row r="71" spans="2:10" ht="15.75">
      <c r="B71" s="275" t="s">
        <v>158</v>
      </c>
      <c r="C71" s="426">
        <f>SUM(C65:C69)</f>
        <v>0</v>
      </c>
      <c r="D71" s="426">
        <f>SUM(D65:D69)</f>
        <v>0</v>
      </c>
      <c r="E71" s="325">
        <f>SUM(E65:E69)</f>
        <v>0</v>
      </c>
      <c r="G71" s="553">
        <f>ROUND(C71*0.05+C71,0)</f>
        <v>0</v>
      </c>
      <c r="H71" s="463" t="str">
        <f>CONCATENATE("Less ",E1-2," Expenditures + 5%")</f>
        <v>Less -2 Expenditures + 5%</v>
      </c>
      <c r="I71" s="459"/>
      <c r="J71" s="159"/>
    </row>
    <row r="72" spans="2:10" ht="15.75">
      <c r="B72" s="169" t="s">
        <v>255</v>
      </c>
      <c r="C72" s="431">
        <f>C63-C71</f>
        <v>0</v>
      </c>
      <c r="D72" s="431">
        <f>D63-D71</f>
        <v>0</v>
      </c>
      <c r="E72" s="330" t="s">
        <v>137</v>
      </c>
      <c r="G72" s="564">
        <f>G69-G71</f>
        <v>0</v>
      </c>
      <c r="H72" s="550" t="str">
        <f>CONCATENATE("Projected ",E1+1," carryover (est.)")</f>
        <v>Projected 1 carryover (est.)</v>
      </c>
      <c r="I72" s="468"/>
      <c r="J72" s="698"/>
    </row>
    <row r="73" spans="2:9" ht="15.75">
      <c r="B73" s="333" t="str">
        <f>CONCATENATE("",E1-2,"/",E1-1,"/",E1," Budget Authority Amount:")</f>
        <v>-2/-1/0 Budget Authority Amount:</v>
      </c>
      <c r="C73" s="404">
        <f>inputOth!B65</f>
        <v>0</v>
      </c>
      <c r="D73" s="404">
        <f>inputPrYr!D27</f>
        <v>0</v>
      </c>
      <c r="E73" s="180">
        <f>E71</f>
        <v>0</v>
      </c>
      <c r="G73" s="2"/>
      <c r="H73" s="2"/>
      <c r="I73" s="2"/>
    </row>
    <row r="74" spans="2:10" ht="15.75">
      <c r="B74" s="200"/>
      <c r="C74" s="995" t="s">
        <v>621</v>
      </c>
      <c r="D74" s="996"/>
      <c r="E74" s="90"/>
      <c r="G74" s="1002" t="s">
        <v>861</v>
      </c>
      <c r="H74" s="1003"/>
      <c r="I74" s="1003"/>
      <c r="J74" s="1004"/>
    </row>
    <row r="75" spans="2:10" ht="15.75">
      <c r="B75" s="436" t="str">
        <f>CONCATENATE(C96,"     ",D96)</f>
        <v>     </v>
      </c>
      <c r="C75" s="997" t="s">
        <v>622</v>
      </c>
      <c r="D75" s="998"/>
      <c r="E75" s="180">
        <f>E71+E74</f>
        <v>0</v>
      </c>
      <c r="G75" s="684"/>
      <c r="H75" s="461"/>
      <c r="I75" s="671"/>
      <c r="J75" s="685"/>
    </row>
    <row r="76" spans="2:10" ht="15.75">
      <c r="B76" s="436" t="str">
        <f>CONCATENATE(C97,"     ",D97)</f>
        <v>     </v>
      </c>
      <c r="C76" s="280"/>
      <c r="D76" s="204" t="s">
        <v>159</v>
      </c>
      <c r="E76" s="97">
        <f>IF(E75-E63&gt;0,E75-E63,0)</f>
        <v>0</v>
      </c>
      <c r="F76" s="279"/>
      <c r="G76" s="686" t="str">
        <f>summ!H20</f>
        <v>  </v>
      </c>
      <c r="H76" s="461" t="str">
        <f>CONCATENATE("",E1," Fund Mill Rate")</f>
        <v>0 Fund Mill Rate</v>
      </c>
      <c r="I76" s="671"/>
      <c r="J76" s="685"/>
    </row>
    <row r="77" spans="2:10" ht="15.75">
      <c r="B77" s="204"/>
      <c r="C77" s="422" t="s">
        <v>623</v>
      </c>
      <c r="D77" s="616">
        <f>inputOth!E47</f>
        <v>0</v>
      </c>
      <c r="E77" s="180">
        <f>ROUND(IF(D77&gt;0,(E76*D77),0),0)</f>
        <v>0</v>
      </c>
      <c r="F77" s="715">
        <f>IF(E71/0.95-E71&lt;E74,"Exceeds 5%","")</f>
      </c>
      <c r="G77" s="687" t="str">
        <f>summ!E20</f>
        <v>  </v>
      </c>
      <c r="H77" s="461" t="str">
        <f>CONCATENATE("",E1-1," Fund Mill Rate")</f>
        <v>-1 Fund Mill Rate</v>
      </c>
      <c r="I77" s="671"/>
      <c r="J77" s="685"/>
    </row>
    <row r="78" spans="2:10" ht="16.5" thickBot="1">
      <c r="B78" s="74"/>
      <c r="C78" s="993" t="str">
        <f>CONCATENATE("Amount of  ",E1-1," Ad Valorem Tax")</f>
        <v>Amount of  -1 Ad Valorem Tax</v>
      </c>
      <c r="D78" s="994"/>
      <c r="E78" s="615">
        <f>E76+E77</f>
        <v>0</v>
      </c>
      <c r="G78" s="688">
        <f>summ!H31</f>
        <v>0</v>
      </c>
      <c r="H78" s="461" t="str">
        <f>CONCATENATE("Total ",E1," Mill Rate")</f>
        <v>Total 0 Mill Rate</v>
      </c>
      <c r="I78" s="671"/>
      <c r="J78" s="685"/>
    </row>
    <row r="79" spans="2:10" ht="16.5" thickTop="1">
      <c r="B79" s="74"/>
      <c r="C79" s="596"/>
      <c r="D79" s="204"/>
      <c r="E79" s="204"/>
      <c r="G79" s="687">
        <f>summ!E31</f>
        <v>0</v>
      </c>
      <c r="H79" s="689" t="str">
        <f>CONCATENATE("Total ",E1-1," Mill Rate")</f>
        <v>Total -1 Mill Rate</v>
      </c>
      <c r="I79" s="690"/>
      <c r="J79" s="691"/>
    </row>
    <row r="80" spans="2:5" ht="15.75">
      <c r="B80" s="815" t="s">
        <v>1027</v>
      </c>
      <c r="C80" s="816"/>
      <c r="D80" s="826"/>
      <c r="E80" s="827"/>
    </row>
    <row r="81" spans="2:10" ht="15.75">
      <c r="B81" s="103"/>
      <c r="C81" s="596"/>
      <c r="D81" s="107"/>
      <c r="E81" s="693"/>
      <c r="G81" s="801"/>
      <c r="H81" s="807"/>
      <c r="I81" s="800"/>
      <c r="J81" s="806"/>
    </row>
    <row r="82" spans="2:10" ht="15.75">
      <c r="B82" s="183"/>
      <c r="C82" s="819"/>
      <c r="D82" s="828"/>
      <c r="E82" s="829"/>
      <c r="G82" s="799" t="str">
        <f>CONCATENATE("Computed ",E1," tax levy limit amount")</f>
        <v>Computed 0 tax levy limit amount</v>
      </c>
      <c r="H82" s="802"/>
      <c r="I82" s="802"/>
      <c r="J82" s="798">
        <f>Comp1!J47</f>
        <v>0</v>
      </c>
    </row>
    <row r="83" spans="2:10" ht="15.75">
      <c r="B83" s="200" t="s">
        <v>161</v>
      </c>
      <c r="C83" s="746"/>
      <c r="D83" s="116"/>
      <c r="E83" s="74"/>
      <c r="G83" s="797" t="str">
        <f>CONCATENATE("Total ",E1," tax levy amount")</f>
        <v>Total 0 tax levy amount</v>
      </c>
      <c r="H83" s="796"/>
      <c r="I83" s="796"/>
      <c r="J83" s="795">
        <f>summ!G31</f>
        <v>0</v>
      </c>
    </row>
    <row r="85" spans="2:3" ht="15.75">
      <c r="B85" s="122"/>
      <c r="C85" s="122"/>
    </row>
    <row r="94" spans="3:4" ht="15.75" hidden="1">
      <c r="C94" s="442">
        <f>IF(C35&gt;C37,"See Tab A","")</f>
      </c>
      <c r="D94" s="442">
        <f>IF(D35&gt;D37,"See Tab C","")</f>
      </c>
    </row>
    <row r="95" spans="3:4" ht="15.75" hidden="1">
      <c r="C95" s="442">
        <f>IF(C36&lt;0,"See Tab B","")</f>
      </c>
      <c r="D95" s="442">
        <f>IF(D36&lt;0,"See Tab D","")</f>
      </c>
    </row>
    <row r="96" spans="3:4" ht="15.75" hidden="1">
      <c r="C96" s="437">
        <f>IF(C71&gt;C73,"See Tab A","")</f>
      </c>
      <c r="D96" s="437">
        <f>IF(D71&gt;D73,"See Tab C","")</f>
      </c>
    </row>
    <row r="97" spans="3:4" ht="15.75" hidden="1">
      <c r="C97" s="437">
        <f>IF(C72&lt;0,"See Tab B","")</f>
      </c>
      <c r="D97" s="437">
        <f>IF(D72&lt;0,"See Tab D","")</f>
      </c>
    </row>
  </sheetData>
  <sheetProtection sheet="1"/>
  <mergeCells count="12">
    <mergeCell ref="C38:D38"/>
    <mergeCell ref="C39:D39"/>
    <mergeCell ref="C42:D42"/>
    <mergeCell ref="C78:D78"/>
    <mergeCell ref="C74:D74"/>
    <mergeCell ref="C75:D75"/>
    <mergeCell ref="G18:J18"/>
    <mergeCell ref="G25:J25"/>
    <mergeCell ref="G35:J35"/>
    <mergeCell ref="G57:J57"/>
    <mergeCell ref="G64:J64"/>
    <mergeCell ref="G74:J74"/>
  </mergeCells>
  <conditionalFormatting sqref="E69">
    <cfRule type="cellIs" priority="3" dxfId="148" operator="greaterThan" stopIfTrue="1">
      <formula>$E$71*0.1</formula>
    </cfRule>
  </conditionalFormatting>
  <conditionalFormatting sqref="E74">
    <cfRule type="cellIs" priority="4" dxfId="148" operator="greaterThan" stopIfTrue="1">
      <formula>$E$71/0.95-$E$71</formula>
    </cfRule>
  </conditionalFormatting>
  <conditionalFormatting sqref="E33">
    <cfRule type="cellIs" priority="5" dxfId="148" operator="greaterThan" stopIfTrue="1">
      <formula>$E$35*0.1</formula>
    </cfRule>
  </conditionalFormatting>
  <conditionalFormatting sqref="E38">
    <cfRule type="cellIs" priority="6" dxfId="148" operator="greaterThan" stopIfTrue="1">
      <formula>$E$35/0.95-$E$35</formula>
    </cfRule>
  </conditionalFormatting>
  <conditionalFormatting sqref="C71">
    <cfRule type="cellIs" priority="7" dxfId="1" operator="greaterThan" stopIfTrue="1">
      <formula>$C$73</formula>
    </cfRule>
  </conditionalFormatting>
  <conditionalFormatting sqref="C72 C36">
    <cfRule type="cellIs" priority="8" dxfId="1" operator="lessThan" stopIfTrue="1">
      <formula>0</formula>
    </cfRule>
  </conditionalFormatting>
  <conditionalFormatting sqref="D71">
    <cfRule type="cellIs" priority="9" dxfId="1" operator="greaterThan" stopIfTrue="1">
      <formula>$D$73</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C33">
    <cfRule type="cellIs" priority="12" dxfId="1" operator="greaterThan" stopIfTrue="1">
      <formula>$C$35*0.1</formula>
    </cfRule>
  </conditionalFormatting>
  <conditionalFormatting sqref="D33">
    <cfRule type="cellIs" priority="13" dxfId="1" operator="greaterThan" stopIfTrue="1">
      <formula>$D$35*0.1</formula>
    </cfRule>
  </conditionalFormatting>
  <conditionalFormatting sqref="C69">
    <cfRule type="cellIs" priority="14" dxfId="1" operator="greaterThan" stopIfTrue="1">
      <formula>$C$71*0.1</formula>
    </cfRule>
  </conditionalFormatting>
  <conditionalFormatting sqref="D69">
    <cfRule type="cellIs" priority="15" dxfId="1" operator="greaterThan" stopIfTrue="1">
      <formula>$D$71*0.1</formula>
    </cfRule>
  </conditionalFormatting>
  <conditionalFormatting sqref="D21">
    <cfRule type="cellIs" priority="16" dxfId="1" operator="greaterThan" stopIfTrue="1">
      <formula>$D$23*0.1</formula>
    </cfRule>
  </conditionalFormatting>
  <conditionalFormatting sqref="C21">
    <cfRule type="cellIs" priority="17" dxfId="1" operator="greaterThan" stopIfTrue="1">
      <formula>$C$23*0.1</formula>
    </cfRule>
  </conditionalFormatting>
  <conditionalFormatting sqref="E21">
    <cfRule type="cellIs" priority="18" dxfId="148" operator="greaterThan" stopIfTrue="1">
      <formula>($E$23=E41)*0.1</formula>
    </cfRule>
  </conditionalFormatting>
  <conditionalFormatting sqref="C60">
    <cfRule type="cellIs" priority="19" dxfId="148" operator="greaterThan" stopIfTrue="1">
      <formula>$C$62*0.1</formula>
    </cfRule>
  </conditionalFormatting>
  <conditionalFormatting sqref="D60">
    <cfRule type="cellIs" priority="20" dxfId="148" operator="greaterThan" stopIfTrue="1">
      <formula>$D$62*0.1</formula>
    </cfRule>
  </conditionalFormatting>
  <conditionalFormatting sqref="E60">
    <cfRule type="cellIs" priority="21" dxfId="148" operator="greaterThan" stopIfTrue="1">
      <formula>($E$62+E78)*0.1</formula>
    </cfRule>
  </conditionalFormatting>
  <conditionalFormatting sqref="D72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C101" sqref="C101"/>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6" style="75" customWidth="1"/>
    <col min="10" max="10" width="10" style="75" customWidth="1"/>
    <col min="11" max="16384" width="8.8984375" style="75" customWidth="1"/>
  </cols>
  <sheetData>
    <row r="1" spans="2:5" ht="15.75">
      <c r="B1" s="192">
        <f>(inputPrYr!D3)</f>
        <v>0</v>
      </c>
      <c r="C1" s="192"/>
      <c r="D1" s="74"/>
      <c r="E1" s="152">
        <f>inputPrYr!$C$6</f>
        <v>0</v>
      </c>
    </row>
    <row r="2" spans="2:5" ht="15.75">
      <c r="B2" s="74"/>
      <c r="C2" s="74"/>
      <c r="D2" s="74"/>
      <c r="E2" s="204"/>
    </row>
    <row r="3" spans="2:5" ht="15.75">
      <c r="B3" s="84" t="s">
        <v>208</v>
      </c>
      <c r="C3" s="329"/>
      <c r="D3" s="163"/>
      <c r="E3" s="154"/>
    </row>
    <row r="4" spans="2:5" ht="15.75">
      <c r="B4" s="77" t="s">
        <v>147</v>
      </c>
      <c r="C4" s="619" t="s">
        <v>789</v>
      </c>
      <c r="D4" s="614" t="s">
        <v>790</v>
      </c>
      <c r="E4" s="165" t="s">
        <v>791</v>
      </c>
    </row>
    <row r="5" spans="2:5" ht="15.75">
      <c r="B5" s="434">
        <f>(inputPrYr!B28)</f>
        <v>0</v>
      </c>
      <c r="C5" s="387" t="str">
        <f>CONCATENATE("Actual for ",E1-2,"")</f>
        <v>Actual for -2</v>
      </c>
      <c r="D5" s="387" t="str">
        <f>CONCATENATE("Estimate for ",E1-1,"")</f>
        <v>Estimate for -1</v>
      </c>
      <c r="E5" s="215" t="str">
        <f>CONCATENATE("Year for ",E1,"")</f>
        <v>Year for 0</v>
      </c>
    </row>
    <row r="6" spans="2:5" ht="15.75">
      <c r="B6" s="169" t="s">
        <v>254</v>
      </c>
      <c r="C6" s="424"/>
      <c r="D6" s="427">
        <f>C36</f>
        <v>0</v>
      </c>
      <c r="E6" s="180">
        <f>D36</f>
        <v>0</v>
      </c>
    </row>
    <row r="7" spans="2:5" ht="15.75">
      <c r="B7" s="264" t="s">
        <v>256</v>
      </c>
      <c r="C7" s="169"/>
      <c r="D7" s="427"/>
      <c r="E7" s="180"/>
    </row>
    <row r="8" spans="2:5" ht="15.75">
      <c r="B8" s="169" t="s">
        <v>148</v>
      </c>
      <c r="C8" s="429"/>
      <c r="D8" s="427">
        <f>IF(inputPrYr!H21&gt;0,inputPrYr!G28,inputPrYr!E28)</f>
        <v>0</v>
      </c>
      <c r="E8" s="330" t="s">
        <v>137</v>
      </c>
    </row>
    <row r="9" spans="2:5" ht="15.75">
      <c r="B9" s="169" t="s">
        <v>149</v>
      </c>
      <c r="C9" s="429"/>
      <c r="D9" s="429"/>
      <c r="E9" s="90"/>
    </row>
    <row r="10" spans="2:5" ht="15.75">
      <c r="B10" s="169" t="s">
        <v>150</v>
      </c>
      <c r="C10" s="429"/>
      <c r="D10" s="429"/>
      <c r="E10" s="180" t="str">
        <f>Mvalloc!D13</f>
        <v>  </v>
      </c>
    </row>
    <row r="11" spans="2:5" ht="15.75">
      <c r="B11" s="169" t="s">
        <v>151</v>
      </c>
      <c r="C11" s="429"/>
      <c r="D11" s="429"/>
      <c r="E11" s="180" t="str">
        <f>Mvalloc!E13</f>
        <v>  </v>
      </c>
    </row>
    <row r="12" spans="2:5" ht="15.75">
      <c r="B12" s="182" t="s">
        <v>204</v>
      </c>
      <c r="C12" s="429"/>
      <c r="D12" s="429"/>
      <c r="E12" s="180" t="str">
        <f>Mvalloc!F13</f>
        <v>  </v>
      </c>
    </row>
    <row r="13" spans="2:5" ht="15.75">
      <c r="B13" s="791" t="s">
        <v>1003</v>
      </c>
      <c r="C13" s="429"/>
      <c r="D13" s="429"/>
      <c r="E13" s="180" t="str">
        <f>Mvalloc!G13</f>
        <v>  </v>
      </c>
    </row>
    <row r="14" spans="2:5" ht="15.75">
      <c r="B14" s="791" t="s">
        <v>1004</v>
      </c>
      <c r="C14" s="429"/>
      <c r="D14" s="429"/>
      <c r="E14" s="180" t="str">
        <f>Mvalloc!H13</f>
        <v>  </v>
      </c>
    </row>
    <row r="15" spans="2:5" ht="15.75">
      <c r="B15" s="278"/>
      <c r="C15" s="429"/>
      <c r="D15" s="429"/>
      <c r="E15" s="90"/>
    </row>
    <row r="16" spans="2:5" ht="15.75">
      <c r="B16" s="278"/>
      <c r="C16" s="429"/>
      <c r="D16" s="429"/>
      <c r="E16" s="90"/>
    </row>
    <row r="17" spans="2:5" ht="15.75">
      <c r="B17" s="278"/>
      <c r="C17" s="429"/>
      <c r="D17" s="429"/>
      <c r="E17" s="90"/>
    </row>
    <row r="18" spans="2:10" ht="15.75">
      <c r="B18" s="278"/>
      <c r="C18" s="429"/>
      <c r="D18" s="429"/>
      <c r="E18" s="90"/>
      <c r="G18" s="999" t="str">
        <f>CONCATENATE("Desired Carryover Into ",E1+1,"")</f>
        <v>Desired Carryover Into 1</v>
      </c>
      <c r="H18" s="1000"/>
      <c r="I18" s="1000"/>
      <c r="J18" s="1001"/>
    </row>
    <row r="19" spans="2:10" ht="15.75">
      <c r="B19" s="322" t="s">
        <v>154</v>
      </c>
      <c r="C19" s="429"/>
      <c r="D19" s="429"/>
      <c r="E19" s="90"/>
      <c r="G19" s="548"/>
      <c r="H19" s="445"/>
      <c r="I19" s="463"/>
      <c r="J19" s="549"/>
    </row>
    <row r="20" spans="2:10" ht="15.75">
      <c r="B20" s="182" t="s">
        <v>48</v>
      </c>
      <c r="C20" s="429"/>
      <c r="D20" s="429"/>
      <c r="E20" s="180">
        <f>Nhood!E12*-1</f>
        <v>0</v>
      </c>
      <c r="G20" s="469" t="s">
        <v>630</v>
      </c>
      <c r="H20" s="463"/>
      <c r="I20" s="463"/>
      <c r="J20" s="457">
        <v>0</v>
      </c>
    </row>
    <row r="21" spans="2:10" ht="15.75">
      <c r="B21" s="326" t="s">
        <v>244</v>
      </c>
      <c r="C21" s="429"/>
      <c r="D21" s="429"/>
      <c r="E21" s="90"/>
      <c r="G21" s="548" t="s">
        <v>629</v>
      </c>
      <c r="H21" s="445"/>
      <c r="I21" s="445"/>
      <c r="J21" s="692">
        <f>IF(J20=0,"",ROUND((J20+E42-G33)/inputOth!E9*1000,3)-G38)</f>
      </c>
    </row>
    <row r="22" spans="2:10" ht="15.75">
      <c r="B22" s="326" t="s">
        <v>763</v>
      </c>
      <c r="C22" s="425">
        <f>IF(C23*0.1&lt;C21,"Exceed 10% Rule","")</f>
      </c>
      <c r="D22" s="425">
        <f>IF(D23*0.1&lt;D21,"Exceed 10% Rule","")</f>
      </c>
      <c r="E22" s="435">
        <f>IF((E23+E42)*0.1&lt;E21,"Exceed 10% Rule","")</f>
      </c>
      <c r="G22" s="678" t="str">
        <f>CONCATENATE("",E1," Tot Exp/Non-Appr Must Be:")</f>
        <v>0 Tot Exp/Non-Appr Must Be:</v>
      </c>
      <c r="H22" s="670"/>
      <c r="I22" s="669"/>
      <c r="J22" s="679">
        <f>IF(J20&gt;0,IF(E39&lt;E24,IF(J20=G33,E39,((J20-G33)*(1-D41))+E24),E39+(J20-G33)),0)</f>
        <v>0</v>
      </c>
    </row>
    <row r="23" spans="2:10" ht="15.75">
      <c r="B23" s="275" t="s">
        <v>155</v>
      </c>
      <c r="C23" s="426">
        <f>SUM(C8:C21)</f>
        <v>0</v>
      </c>
      <c r="D23" s="426">
        <f>SUM(D8:D21)</f>
        <v>0</v>
      </c>
      <c r="E23" s="325">
        <f>SUM(E8:E21)</f>
        <v>0</v>
      </c>
      <c r="G23" s="680" t="s">
        <v>860</v>
      </c>
      <c r="H23" s="681"/>
      <c r="I23" s="681"/>
      <c r="J23" s="682">
        <f>IF(J20&gt;0,J22-E39,0)</f>
        <v>0</v>
      </c>
    </row>
    <row r="24" spans="2:10" ht="15.75">
      <c r="B24" s="275" t="s">
        <v>156</v>
      </c>
      <c r="C24" s="426">
        <f>C6+C23</f>
        <v>0</v>
      </c>
      <c r="D24" s="426">
        <f>D6+D23</f>
        <v>0</v>
      </c>
      <c r="E24" s="325">
        <f>E6+E23</f>
        <v>0</v>
      </c>
      <c r="J24" s="2"/>
    </row>
    <row r="25" spans="2:10" ht="15.75">
      <c r="B25" s="169" t="s">
        <v>157</v>
      </c>
      <c r="C25" s="169"/>
      <c r="D25" s="427"/>
      <c r="E25" s="180"/>
      <c r="G25" s="999" t="str">
        <f>CONCATENATE("Projected Carryover Into ",E1+1,"")</f>
        <v>Projected Carryover Into 1</v>
      </c>
      <c r="H25" s="1005"/>
      <c r="I25" s="1005"/>
      <c r="J25" s="1006"/>
    </row>
    <row r="26" spans="2:10" ht="15.75">
      <c r="B26" s="278"/>
      <c r="C26" s="429"/>
      <c r="D26" s="429"/>
      <c r="E26" s="90"/>
      <c r="G26" s="548"/>
      <c r="H26" s="463"/>
      <c r="I26" s="463"/>
      <c r="J26" s="701"/>
    </row>
    <row r="27" spans="2:10" ht="15.75">
      <c r="B27" s="278"/>
      <c r="C27" s="429"/>
      <c r="D27" s="429"/>
      <c r="E27" s="90"/>
      <c r="G27" s="460">
        <f>D36</f>
        <v>0</v>
      </c>
      <c r="H27" s="461" t="str">
        <f>CONCATENATE("",E1-1," Ending Cash Balance (est.)")</f>
        <v>-1 Ending Cash Balance (est.)</v>
      </c>
      <c r="I27" s="462"/>
      <c r="J27" s="701"/>
    </row>
    <row r="28" spans="2:10" ht="15.75">
      <c r="B28" s="278"/>
      <c r="C28" s="429"/>
      <c r="D28" s="429"/>
      <c r="E28" s="90"/>
      <c r="G28" s="460">
        <f>E23</f>
        <v>0</v>
      </c>
      <c r="H28" s="463" t="str">
        <f>CONCATENATE("",E1," Non-AV Receipts (est.)")</f>
        <v>0 Non-AV Receipts (est.)</v>
      </c>
      <c r="I28" s="462"/>
      <c r="J28" s="701"/>
    </row>
    <row r="29" spans="2:11" ht="15.75">
      <c r="B29" s="278"/>
      <c r="C29" s="429"/>
      <c r="D29" s="429"/>
      <c r="E29" s="90"/>
      <c r="G29" s="464">
        <f>IF(D41&gt;0,E40,E42)</f>
        <v>0</v>
      </c>
      <c r="H29" s="463" t="str">
        <f>CONCATENATE("",E1," Ad Valorem Tax (est.)")</f>
        <v>0 Ad Valorem Tax (est.)</v>
      </c>
      <c r="I29" s="462"/>
      <c r="J29" s="701"/>
      <c r="K29" s="683">
        <f>IF(G29=E42,"","Note: Does not include Delinquent Taxes")</f>
      </c>
    </row>
    <row r="30" spans="2:10" ht="15.75">
      <c r="B30" s="278"/>
      <c r="C30" s="429"/>
      <c r="D30" s="429"/>
      <c r="E30" s="90"/>
      <c r="G30" s="460">
        <f>SUM(G27:G29)</f>
        <v>0</v>
      </c>
      <c r="H30" s="463" t="str">
        <f>CONCATENATE("Total ",E1," Resources Available")</f>
        <v>Total 0 Resources Available</v>
      </c>
      <c r="I30" s="462"/>
      <c r="J30" s="701"/>
    </row>
    <row r="31" spans="2:10" ht="15.75">
      <c r="B31" s="278"/>
      <c r="C31" s="429"/>
      <c r="D31" s="429"/>
      <c r="E31" s="90"/>
      <c r="G31" s="465"/>
      <c r="H31" s="463"/>
      <c r="I31" s="463"/>
      <c r="J31" s="701"/>
    </row>
    <row r="32" spans="2:10" ht="15.75">
      <c r="B32" s="182" t="str">
        <f>CONCATENATE("Cash Forward (",E1," column)")</f>
        <v>Cash Forward (0 column)</v>
      </c>
      <c r="C32" s="429"/>
      <c r="D32" s="429"/>
      <c r="E32" s="90"/>
      <c r="G32" s="464">
        <f>ROUND(C35*0.05+C35,0)</f>
        <v>0</v>
      </c>
      <c r="H32" s="463" t="str">
        <f>CONCATENATE("Less ",E1-2," Expenditures + 5%")</f>
        <v>Less -2 Expenditures + 5%</v>
      </c>
      <c r="I32" s="462"/>
      <c r="J32" s="701"/>
    </row>
    <row r="33" spans="2:10" ht="15.75">
      <c r="B33" s="182" t="s">
        <v>244</v>
      </c>
      <c r="C33" s="429"/>
      <c r="D33" s="429"/>
      <c r="E33" s="90"/>
      <c r="G33" s="694">
        <f>G30-G32</f>
        <v>0</v>
      </c>
      <c r="H33" s="550" t="str">
        <f>CONCATENATE("Projected ",E1+1," carryover (est.)")</f>
        <v>Projected 1 carryover (est.)</v>
      </c>
      <c r="I33" s="467"/>
      <c r="J33" s="698"/>
    </row>
    <row r="34" spans="2:10" ht="15.75">
      <c r="B34" s="182" t="s">
        <v>762</v>
      </c>
      <c r="C34" s="425">
        <f>IF(C35*0.1&lt;C33,"Exceed 10% Rule","")</f>
      </c>
      <c r="D34" s="425">
        <f>IF(D35*0.1&lt;D33,"Exceed 10% Rule","")</f>
      </c>
      <c r="E34" s="435">
        <f>IF(E35*0.1&lt;E33,"Exceed 10% Rule","")</f>
      </c>
      <c r="G34" s="2"/>
      <c r="H34" s="2"/>
      <c r="I34" s="2"/>
      <c r="J34" s="2"/>
    </row>
    <row r="35" spans="2:10" ht="15.75">
      <c r="B35" s="275" t="s">
        <v>158</v>
      </c>
      <c r="C35" s="426">
        <f>SUM(C26:C33)</f>
        <v>0</v>
      </c>
      <c r="D35" s="426">
        <f>SUM(D26:D33)</f>
        <v>0</v>
      </c>
      <c r="E35" s="325">
        <f>SUM(E26:E33)</f>
        <v>0</v>
      </c>
      <c r="G35" s="1002" t="s">
        <v>861</v>
      </c>
      <c r="H35" s="1003"/>
      <c r="I35" s="1003"/>
      <c r="J35" s="1004"/>
    </row>
    <row r="36" spans="2:10" ht="15.75">
      <c r="B36" s="169" t="s">
        <v>255</v>
      </c>
      <c r="C36" s="431">
        <f>C24-C35</f>
        <v>0</v>
      </c>
      <c r="D36" s="431">
        <f>D24-D35</f>
        <v>0</v>
      </c>
      <c r="E36" s="330" t="s">
        <v>137</v>
      </c>
      <c r="G36" s="684"/>
      <c r="H36" s="461"/>
      <c r="I36" s="671"/>
      <c r="J36" s="685"/>
    </row>
    <row r="37" spans="2:10" ht="15.75">
      <c r="B37" s="333" t="str">
        <f>CONCATENATE("",E1-2,"/",E1-1,"/",E1," Budget Authority Amount:")</f>
        <v>-2/-1/0 Budget Authority Amount:</v>
      </c>
      <c r="C37" s="404">
        <f>inputOth!B66</f>
        <v>0</v>
      </c>
      <c r="D37" s="404">
        <f>inputPrYr!D28</f>
        <v>0</v>
      </c>
      <c r="E37" s="180">
        <f>E35</f>
        <v>0</v>
      </c>
      <c r="F37" s="279"/>
      <c r="G37" s="686" t="str">
        <f>summ!H21</f>
        <v>  </v>
      </c>
      <c r="H37" s="461" t="str">
        <f>CONCATENATE("",E1," Fund Mill Rate")</f>
        <v>0 Fund Mill Rate</v>
      </c>
      <c r="I37" s="671"/>
      <c r="J37" s="685"/>
    </row>
    <row r="38" spans="2:10" ht="15.75">
      <c r="B38" s="200"/>
      <c r="C38" s="995" t="s">
        <v>621</v>
      </c>
      <c r="D38" s="996"/>
      <c r="E38" s="90"/>
      <c r="F38" s="715">
        <f>IF(E35/0.95-E35&lt;E38,"Exceeds 5%","")</f>
      </c>
      <c r="G38" s="687" t="str">
        <f>summ!E21</f>
        <v>  </v>
      </c>
      <c r="H38" s="461" t="str">
        <f>CONCATENATE("",E1-1," Fund Mill Rate")</f>
        <v>-1 Fund Mill Rate</v>
      </c>
      <c r="I38" s="671"/>
      <c r="J38" s="685"/>
    </row>
    <row r="39" spans="2:10" ht="15.75">
      <c r="B39" s="436" t="str">
        <f>CONCATENATE(C96,"     ",D96)</f>
        <v>     </v>
      </c>
      <c r="C39" s="997" t="s">
        <v>622</v>
      </c>
      <c r="D39" s="998"/>
      <c r="E39" s="180">
        <f>E35+E38</f>
        <v>0</v>
      </c>
      <c r="G39" s="688">
        <f>summ!H31</f>
        <v>0</v>
      </c>
      <c r="H39" s="461" t="str">
        <f>CONCATENATE("Total ",E1," Mill Rate")</f>
        <v>Total 0 Mill Rate</v>
      </c>
      <c r="I39" s="671"/>
      <c r="J39" s="685"/>
    </row>
    <row r="40" spans="2:10" ht="15.75">
      <c r="B40" s="436" t="str">
        <f>CONCATENATE(C97,"     ",D97)</f>
        <v>     </v>
      </c>
      <c r="C40" s="280"/>
      <c r="D40" s="204" t="s">
        <v>159</v>
      </c>
      <c r="E40" s="97">
        <f>IF(E39-E24&gt;0,E39-E24,0)</f>
        <v>0</v>
      </c>
      <c r="G40" s="687">
        <f>summ!E31</f>
        <v>0</v>
      </c>
      <c r="H40" s="689" t="str">
        <f>CONCATENATE("Total ",E1-1," Mill Rate")</f>
        <v>Total -1 Mill Rate</v>
      </c>
      <c r="I40" s="690"/>
      <c r="J40" s="691"/>
    </row>
    <row r="41" spans="2:5" ht="15.75">
      <c r="B41" s="204"/>
      <c r="C41" s="422" t="s">
        <v>623</v>
      </c>
      <c r="D41" s="616">
        <f>inputOth!$E$47</f>
        <v>0</v>
      </c>
      <c r="E41" s="180">
        <f>ROUND(IF(D41&gt;0,(E40*D41),0),0)</f>
        <v>0</v>
      </c>
    </row>
    <row r="42" spans="2:10" ht="16.5" thickBot="1">
      <c r="B42" s="74"/>
      <c r="C42" s="1008" t="str">
        <f>CONCATENATE("Amount of  ",E1-1," Ad Valorem Tax")</f>
        <v>Amount of  -1 Ad Valorem Tax</v>
      </c>
      <c r="D42" s="1009"/>
      <c r="E42" s="615">
        <f>E40+E41</f>
        <v>0</v>
      </c>
      <c r="G42" s="801"/>
      <c r="H42" s="807"/>
      <c r="I42" s="800"/>
      <c r="J42" s="806"/>
    </row>
    <row r="43" spans="2:10" ht="16.5" thickTop="1">
      <c r="B43" s="74"/>
      <c r="C43" s="597"/>
      <c r="D43" s="74"/>
      <c r="E43" s="74"/>
      <c r="G43" s="799" t="str">
        <f>CONCATENATE("Computed ",E1," tax levy limit amount")</f>
        <v>Computed 0 tax levy limit amount</v>
      </c>
      <c r="H43" s="802"/>
      <c r="I43" s="802"/>
      <c r="J43" s="798">
        <f>Comp1!J47</f>
        <v>0</v>
      </c>
    </row>
    <row r="44" spans="2:10" ht="15.75">
      <c r="B44" s="74"/>
      <c r="C44" s="597"/>
      <c r="D44" s="74"/>
      <c r="E44" s="74"/>
      <c r="G44" s="797" t="str">
        <f>CONCATENATE("Total ",E1," tax levy amount")</f>
        <v>Total 0 tax levy amount</v>
      </c>
      <c r="H44" s="796"/>
      <c r="I44" s="796"/>
      <c r="J44" s="795">
        <f>summ!G31</f>
        <v>0</v>
      </c>
    </row>
    <row r="45" spans="2:5" ht="15.75">
      <c r="B45" s="77"/>
      <c r="C45" s="94"/>
      <c r="D45" s="163"/>
      <c r="E45" s="163"/>
    </row>
    <row r="46" spans="2:5" ht="15.75">
      <c r="B46" s="77" t="s">
        <v>147</v>
      </c>
      <c r="C46" s="619" t="s">
        <v>936</v>
      </c>
      <c r="D46" s="614" t="s">
        <v>790</v>
      </c>
      <c r="E46" s="165" t="s">
        <v>791</v>
      </c>
    </row>
    <row r="47" spans="2:5" ht="15.75">
      <c r="B47" s="433">
        <f>(inputPrYr!B29)</f>
        <v>0</v>
      </c>
      <c r="C47" s="387" t="str">
        <f>C5</f>
        <v>Actual for -2</v>
      </c>
      <c r="D47" s="387" t="str">
        <f>D5</f>
        <v>Estimate for -1</v>
      </c>
      <c r="E47" s="215" t="str">
        <f>E5</f>
        <v>Year for 0</v>
      </c>
    </row>
    <row r="48" spans="2:5" ht="15.75">
      <c r="B48" s="169" t="s">
        <v>254</v>
      </c>
      <c r="C48" s="428"/>
      <c r="D48" s="427">
        <f>C75</f>
        <v>0</v>
      </c>
      <c r="E48" s="180">
        <f>D75</f>
        <v>0</v>
      </c>
    </row>
    <row r="49" spans="2:5" ht="15.75">
      <c r="B49" s="169" t="s">
        <v>256</v>
      </c>
      <c r="C49" s="169"/>
      <c r="D49" s="427"/>
      <c r="E49" s="180"/>
    </row>
    <row r="50" spans="2:5" ht="15.75">
      <c r="B50" s="169" t="s">
        <v>148</v>
      </c>
      <c r="C50" s="424"/>
      <c r="D50" s="427">
        <f>IF(inputPrYr!H21&gt;0,inputPrYr!G29,inputPrYr!E29)</f>
        <v>0</v>
      </c>
      <c r="E50" s="330" t="s">
        <v>137</v>
      </c>
    </row>
    <row r="51" spans="2:5" ht="15.75">
      <c r="B51" s="169" t="s">
        <v>149</v>
      </c>
      <c r="C51" s="424"/>
      <c r="D51" s="424"/>
      <c r="E51" s="90"/>
    </row>
    <row r="52" spans="2:5" ht="15.75">
      <c r="B52" s="169" t="s">
        <v>150</v>
      </c>
      <c r="C52" s="424"/>
      <c r="D52" s="424"/>
      <c r="E52" s="180" t="str">
        <f>Mvalloc!D14</f>
        <v>  </v>
      </c>
    </row>
    <row r="53" spans="2:5" ht="15.75">
      <c r="B53" s="169" t="s">
        <v>151</v>
      </c>
      <c r="C53" s="424"/>
      <c r="D53" s="424"/>
      <c r="E53" s="180" t="str">
        <f>Mvalloc!E14</f>
        <v>  </v>
      </c>
    </row>
    <row r="54" spans="2:5" ht="15.75">
      <c r="B54" s="182" t="s">
        <v>204</v>
      </c>
      <c r="C54" s="424"/>
      <c r="D54" s="424"/>
      <c r="E54" s="180" t="str">
        <f>Mvalloc!F14</f>
        <v>  </v>
      </c>
    </row>
    <row r="55" spans="2:5" ht="15.75">
      <c r="B55" s="791" t="s">
        <v>1003</v>
      </c>
      <c r="C55" s="424"/>
      <c r="D55" s="424"/>
      <c r="E55" s="180" t="str">
        <f>Mvalloc!G14</f>
        <v>  </v>
      </c>
    </row>
    <row r="56" spans="2:5" ht="15.75">
      <c r="B56" s="791" t="s">
        <v>1004</v>
      </c>
      <c r="C56" s="424"/>
      <c r="D56" s="424"/>
      <c r="E56" s="180" t="str">
        <f>Mvalloc!H14</f>
        <v>  </v>
      </c>
    </row>
    <row r="57" spans="2:5" ht="15.75">
      <c r="B57" s="278"/>
      <c r="C57" s="424"/>
      <c r="D57" s="424"/>
      <c r="E57" s="90"/>
    </row>
    <row r="58" spans="2:5" ht="15.75">
      <c r="B58" s="322" t="s">
        <v>154</v>
      </c>
      <c r="C58" s="424"/>
      <c r="D58" s="424"/>
      <c r="E58" s="90"/>
    </row>
    <row r="59" spans="2:5" ht="15.75">
      <c r="B59" s="182" t="s">
        <v>48</v>
      </c>
      <c r="C59" s="424"/>
      <c r="D59" s="424"/>
      <c r="E59" s="404">
        <f>Nhood!E13*-1</f>
        <v>0</v>
      </c>
    </row>
    <row r="60" spans="2:10" ht="15.75">
      <c r="B60" s="169" t="s">
        <v>244</v>
      </c>
      <c r="C60" s="424"/>
      <c r="D60" s="424"/>
      <c r="E60" s="90"/>
      <c r="G60" s="999" t="str">
        <f>CONCATENATE("Desired Carryover Into ",E1+1,"")</f>
        <v>Desired Carryover Into 1</v>
      </c>
      <c r="H60" s="1000"/>
      <c r="I60" s="1000"/>
      <c r="J60" s="1001"/>
    </row>
    <row r="61" spans="2:10" ht="15.75">
      <c r="B61" s="169" t="s">
        <v>763</v>
      </c>
      <c r="C61" s="432">
        <f>IF(C62*0.1&lt;C60,"Exceed 10% Rule","")</f>
      </c>
      <c r="D61" s="425">
        <f>IF(D62*0.1&lt;D60,"Exceed 10% Rule","")</f>
      </c>
      <c r="E61" s="435">
        <f>IF((E62+E81)*0.1&lt;E60,"Exceed 10% Rule","")</f>
      </c>
      <c r="G61" s="548"/>
      <c r="H61" s="445"/>
      <c r="I61" s="463"/>
      <c r="J61" s="549"/>
    </row>
    <row r="62" spans="2:10" ht="15.75">
      <c r="B62" s="275" t="s">
        <v>155</v>
      </c>
      <c r="C62" s="426">
        <f>SUM(C50:C60)</f>
        <v>0</v>
      </c>
      <c r="D62" s="426">
        <f>SUM(D50:D60)</f>
        <v>0</v>
      </c>
      <c r="E62" s="325">
        <f>SUM(E50:E60)</f>
        <v>0</v>
      </c>
      <c r="G62" s="469" t="s">
        <v>630</v>
      </c>
      <c r="H62" s="463"/>
      <c r="I62" s="463"/>
      <c r="J62" s="457">
        <v>0</v>
      </c>
    </row>
    <row r="63" spans="2:10" ht="15.75">
      <c r="B63" s="275" t="s">
        <v>156</v>
      </c>
      <c r="C63" s="426">
        <f>C48+C62</f>
        <v>0</v>
      </c>
      <c r="D63" s="426">
        <f>D48+D62</f>
        <v>0</v>
      </c>
      <c r="E63" s="325">
        <f>E48+E62</f>
        <v>0</v>
      </c>
      <c r="G63" s="548" t="s">
        <v>629</v>
      </c>
      <c r="H63" s="445"/>
      <c r="I63" s="445"/>
      <c r="J63" s="692">
        <f>IF(J62=0,"",ROUND((J62+E81-G75)/inputOth!E9*1000,3)-G80)</f>
      </c>
    </row>
    <row r="64" spans="2:10" ht="15.75">
      <c r="B64" s="169" t="s">
        <v>157</v>
      </c>
      <c r="C64" s="169"/>
      <c r="D64" s="427"/>
      <c r="E64" s="180"/>
      <c r="G64" s="678" t="str">
        <f>CONCATENATE("",E1," Tot Exp/Non-Appr Must Be:")</f>
        <v>0 Tot Exp/Non-Appr Must Be:</v>
      </c>
      <c r="H64" s="670"/>
      <c r="I64" s="669"/>
      <c r="J64" s="679">
        <f>IF(J62&gt;0,IF(E78&lt;E63,IF(J62=G75,E78,((J62-G75)*(1-D80))+E63),E78+(J62-G75)),0)</f>
        <v>0</v>
      </c>
    </row>
    <row r="65" spans="2:10" ht="15.75">
      <c r="B65" s="278"/>
      <c r="C65" s="424"/>
      <c r="D65" s="424"/>
      <c r="E65" s="90"/>
      <c r="G65" s="680" t="s">
        <v>860</v>
      </c>
      <c r="H65" s="681"/>
      <c r="I65" s="681"/>
      <c r="J65" s="682">
        <f>IF(J62&gt;0,J64-E78,0)</f>
        <v>0</v>
      </c>
    </row>
    <row r="66" spans="2:10" ht="15.75">
      <c r="B66" s="278"/>
      <c r="C66" s="424"/>
      <c r="D66" s="424"/>
      <c r="E66" s="90"/>
      <c r="J66" s="2"/>
    </row>
    <row r="67" spans="2:10" ht="15.75">
      <c r="B67" s="278"/>
      <c r="C67" s="424"/>
      <c r="D67" s="424"/>
      <c r="E67" s="90"/>
      <c r="G67" s="999" t="str">
        <f>CONCATENATE("Projected Carryover Into ",E1+1,"")</f>
        <v>Projected Carryover Into 1</v>
      </c>
      <c r="H67" s="1007"/>
      <c r="I67" s="1007"/>
      <c r="J67" s="1006"/>
    </row>
    <row r="68" spans="2:10" ht="15.75">
      <c r="B68" s="278"/>
      <c r="C68" s="424"/>
      <c r="D68" s="424"/>
      <c r="E68" s="90"/>
      <c r="G68" s="458"/>
      <c r="H68" s="445"/>
      <c r="I68" s="445"/>
      <c r="J68" s="701"/>
    </row>
    <row r="69" spans="2:10" ht="15.75">
      <c r="B69" s="278"/>
      <c r="C69" s="424"/>
      <c r="D69" s="424"/>
      <c r="E69" s="90"/>
      <c r="G69" s="460">
        <f>D75</f>
        <v>0</v>
      </c>
      <c r="H69" s="461" t="str">
        <f>CONCATENATE("",E1-1," Ending Cash Balance (est.)")</f>
        <v>-1 Ending Cash Balance (est.)</v>
      </c>
      <c r="I69" s="462"/>
      <c r="J69" s="701"/>
    </row>
    <row r="70" spans="2:10" ht="15.75">
      <c r="B70" s="278"/>
      <c r="C70" s="424"/>
      <c r="D70" s="424"/>
      <c r="E70" s="90"/>
      <c r="G70" s="460">
        <f>E62</f>
        <v>0</v>
      </c>
      <c r="H70" s="463" t="str">
        <f>CONCATENATE("",E1," Non-AV Receipts (est.)")</f>
        <v>0 Non-AV Receipts (est.)</v>
      </c>
      <c r="I70" s="462"/>
      <c r="J70" s="701"/>
    </row>
    <row r="71" spans="2:11" ht="15.75">
      <c r="B71" s="182" t="str">
        <f>CONCATENATE("Cash Forward (",E1," column)")</f>
        <v>Cash Forward (0 column)</v>
      </c>
      <c r="C71" s="424"/>
      <c r="D71" s="424"/>
      <c r="E71" s="90"/>
      <c r="G71" s="464">
        <f>IF(D80&gt;0,E79,E81)</f>
        <v>0</v>
      </c>
      <c r="H71" s="463" t="str">
        <f>CONCATENATE("",E1," Ad Valorem Tax (est.)")</f>
        <v>0 Ad Valorem Tax (est.)</v>
      </c>
      <c r="I71" s="462"/>
      <c r="J71" s="701"/>
      <c r="K71" s="683">
        <f>IF(G71=E81,"","Note: Does not include Delinquent Taxes")</f>
      </c>
    </row>
    <row r="72" spans="2:10" ht="15.75">
      <c r="B72" s="182" t="s">
        <v>244</v>
      </c>
      <c r="C72" s="424"/>
      <c r="D72" s="424"/>
      <c r="E72" s="90"/>
      <c r="G72" s="551">
        <f>SUM(G69:G71)</f>
        <v>0</v>
      </c>
      <c r="H72" s="463" t="str">
        <f>CONCATENATE("Total ",E1," Resources Available")</f>
        <v>Total 0 Resources Available</v>
      </c>
      <c r="I72" s="459"/>
      <c r="J72" s="701"/>
    </row>
    <row r="73" spans="2:10" ht="15.75">
      <c r="B73" s="182" t="s">
        <v>762</v>
      </c>
      <c r="C73" s="425">
        <f>IF(C74*0.1&lt;C72,"Exceed 10% Rule","")</f>
      </c>
      <c r="D73" s="425">
        <f>IF(D74*0.1&lt;D72,"Exceed 10% Rule","")</f>
      </c>
      <c r="E73" s="435">
        <f>IF(E74*0.1&lt;E72,"Exceed 10% Rule","")</f>
      </c>
      <c r="G73" s="554"/>
      <c r="H73" s="552"/>
      <c r="I73" s="445"/>
      <c r="J73" s="701"/>
    </row>
    <row r="74" spans="2:10" ht="15.75">
      <c r="B74" s="275" t="s">
        <v>158</v>
      </c>
      <c r="C74" s="426">
        <f>SUM(C65:C72)</f>
        <v>0</v>
      </c>
      <c r="D74" s="426">
        <f>SUM(D65:D72)</f>
        <v>0</v>
      </c>
      <c r="E74" s="325">
        <f>SUM(E65:E72)</f>
        <v>0</v>
      </c>
      <c r="G74" s="553">
        <f>ROUND(C74*0.05+C74,0)</f>
        <v>0</v>
      </c>
      <c r="H74" s="463" t="str">
        <f>CONCATENATE("Less ",E1-2," Expenditures + 5%")</f>
        <v>Less -2 Expenditures + 5%</v>
      </c>
      <c r="I74" s="459"/>
      <c r="J74" s="701"/>
    </row>
    <row r="75" spans="2:10" ht="15.75">
      <c r="B75" s="169" t="s">
        <v>255</v>
      </c>
      <c r="C75" s="431">
        <f>C63-C74</f>
        <v>0</v>
      </c>
      <c r="D75" s="431">
        <f>D63-D74</f>
        <v>0</v>
      </c>
      <c r="E75" s="330" t="s">
        <v>137</v>
      </c>
      <c r="G75" s="564">
        <f>G72-G74</f>
        <v>0</v>
      </c>
      <c r="H75" s="550" t="str">
        <f>CONCATENATE("Projected ",E1+1," carryover (est.)")</f>
        <v>Projected 1 carryover (est.)</v>
      </c>
      <c r="I75" s="468"/>
      <c r="J75" s="698"/>
    </row>
    <row r="76" spans="2:9" ht="15.75">
      <c r="B76" s="333" t="str">
        <f>CONCATENATE("",E1-2,"/",E1-1,"/",E1," Budget Authority Amount:")</f>
        <v>-2/-1/0 Budget Authority Amount:</v>
      </c>
      <c r="C76" s="404">
        <f>inputOth!B67</f>
        <v>0</v>
      </c>
      <c r="D76" s="404">
        <f>inputPrYr!D29</f>
        <v>0</v>
      </c>
      <c r="E76" s="180">
        <f>E74</f>
        <v>0</v>
      </c>
      <c r="G76" s="2"/>
      <c r="H76" s="2"/>
      <c r="I76" s="2"/>
    </row>
    <row r="77" spans="2:10" ht="15.75">
      <c r="B77" s="200"/>
      <c r="C77" s="995" t="s">
        <v>621</v>
      </c>
      <c r="D77" s="996"/>
      <c r="E77" s="90"/>
      <c r="G77" s="1002" t="s">
        <v>861</v>
      </c>
      <c r="H77" s="1003"/>
      <c r="I77" s="1003"/>
      <c r="J77" s="1004"/>
    </row>
    <row r="78" spans="2:10" ht="15.75">
      <c r="B78" s="436" t="str">
        <f>CONCATENATE(C98,"     ",D98)</f>
        <v>     </v>
      </c>
      <c r="C78" s="997" t="s">
        <v>622</v>
      </c>
      <c r="D78" s="998"/>
      <c r="E78" s="180">
        <f>E74+E77</f>
        <v>0</v>
      </c>
      <c r="G78" s="684"/>
      <c r="H78" s="461"/>
      <c r="I78" s="671"/>
      <c r="J78" s="685"/>
    </row>
    <row r="79" spans="2:10" ht="15.75">
      <c r="B79" s="436" t="str">
        <f>CONCATENATE(C99,"     ",D99)</f>
        <v>     </v>
      </c>
      <c r="C79" s="280"/>
      <c r="D79" s="204" t="s">
        <v>159</v>
      </c>
      <c r="E79" s="97">
        <f>IF(E78-E63&gt;0,E78-E63,0)</f>
        <v>0</v>
      </c>
      <c r="F79" s="279"/>
      <c r="G79" s="686" t="str">
        <f>summ!H22</f>
        <v>  </v>
      </c>
      <c r="H79" s="461" t="str">
        <f>CONCATENATE("",E1," Fund Mill Rate")</f>
        <v>0 Fund Mill Rate</v>
      </c>
      <c r="I79" s="671"/>
      <c r="J79" s="685"/>
    </row>
    <row r="80" spans="2:10" ht="15.75">
      <c r="B80" s="204"/>
      <c r="C80" s="422" t="s">
        <v>623</v>
      </c>
      <c r="D80" s="616">
        <f>inputOth!$E$47</f>
        <v>0</v>
      </c>
      <c r="E80" s="180">
        <f>ROUND(IF(D80&gt;0,(E79*D80),0),0)</f>
        <v>0</v>
      </c>
      <c r="F80" s="715">
        <f>IF(E74/0.95-E74&lt;E77,"Exceeds 5%","")</f>
      </c>
      <c r="G80" s="687" t="str">
        <f>summ!E22</f>
        <v>  </v>
      </c>
      <c r="H80" s="461" t="str">
        <f>CONCATENATE("",E1-1," Fund Mill Rate")</f>
        <v>-1 Fund Mill Rate</v>
      </c>
      <c r="I80" s="671"/>
      <c r="J80" s="685"/>
    </row>
    <row r="81" spans="2:10" ht="16.5" thickBot="1">
      <c r="B81" s="74"/>
      <c r="C81" s="1008" t="str">
        <f>CONCATENATE("Amount of  ",E1-1," Ad Valorem Tax")</f>
        <v>Amount of  -1 Ad Valorem Tax</v>
      </c>
      <c r="D81" s="1009"/>
      <c r="E81" s="615">
        <f>E79+E80</f>
        <v>0</v>
      </c>
      <c r="G81" s="688">
        <f>summ!H31</f>
        <v>0</v>
      </c>
      <c r="H81" s="461" t="str">
        <f>CONCATENATE("Total ",E1," Mill Rate")</f>
        <v>Total 0 Mill Rate</v>
      </c>
      <c r="I81" s="671"/>
      <c r="J81" s="685"/>
    </row>
    <row r="82" spans="2:10" ht="16.5" thickTop="1">
      <c r="B82" s="74"/>
      <c r="C82" s="74"/>
      <c r="D82" s="74"/>
      <c r="E82" s="74"/>
      <c r="G82" s="687">
        <f>summ!E31</f>
        <v>0</v>
      </c>
      <c r="H82" s="689" t="str">
        <f>CONCATENATE("Total ",E1-1," Mill Rate")</f>
        <v>Total -1 Mill Rate</v>
      </c>
      <c r="I82" s="690"/>
      <c r="J82" s="691"/>
    </row>
    <row r="83" spans="2:5" ht="15.75">
      <c r="B83" s="815" t="s">
        <v>1027</v>
      </c>
      <c r="C83" s="130"/>
      <c r="D83" s="130"/>
      <c r="E83" s="172"/>
    </row>
    <row r="84" spans="2:10" ht="15.75">
      <c r="B84" s="103"/>
      <c r="C84" s="99"/>
      <c r="D84" s="99"/>
      <c r="E84" s="159"/>
      <c r="G84" s="801"/>
      <c r="H84" s="807"/>
      <c r="I84" s="800"/>
      <c r="J84" s="806"/>
    </row>
    <row r="85" spans="2:10" ht="15.75">
      <c r="B85" s="183"/>
      <c r="C85" s="95"/>
      <c r="D85" s="95"/>
      <c r="E85" s="106"/>
      <c r="G85" s="799" t="str">
        <f>CONCATENATE("Computed ",E1," tax levy limit amount")</f>
        <v>Computed 0 tax levy limit amount</v>
      </c>
      <c r="H85" s="802"/>
      <c r="I85" s="802"/>
      <c r="J85" s="798">
        <f>Comp1!J47</f>
        <v>0</v>
      </c>
    </row>
    <row r="86" spans="2:10" ht="15.75">
      <c r="B86" s="200" t="s">
        <v>161</v>
      </c>
      <c r="C86" s="746"/>
      <c r="D86" s="116"/>
      <c r="E86" s="74"/>
      <c r="G86" s="797" t="str">
        <f>CONCATENATE("Total ",E1," tax levy amount")</f>
        <v>Total 0 tax levy amount</v>
      </c>
      <c r="H86" s="796"/>
      <c r="I86" s="796"/>
      <c r="J86" s="795">
        <f>summ!G31</f>
        <v>0</v>
      </c>
    </row>
    <row r="88" spans="2:3" ht="15.75">
      <c r="B88" s="122"/>
      <c r="C88" s="122"/>
    </row>
    <row r="96" spans="3:4" ht="15.75" hidden="1">
      <c r="C96" s="442">
        <f>IF(C35&gt;C37,"See Tab A","")</f>
      </c>
      <c r="D96" s="442">
        <f>IF(D35&gt;D37,"See Tab C","")</f>
      </c>
    </row>
    <row r="97" spans="3:4" ht="15.75" hidden="1">
      <c r="C97" s="442">
        <f>IF(C36&lt;0,"See Tab B","")</f>
      </c>
      <c r="D97" s="442">
        <f>IF(D36&lt;0,"See Tab D","")</f>
      </c>
    </row>
    <row r="98" spans="3:4" ht="15.75" hidden="1">
      <c r="C98" s="437">
        <f>IF(C74&gt;C76,"See Tab A","")</f>
      </c>
      <c r="D98" s="437">
        <f>IF(D74&gt;D76,"See Tab C","")</f>
      </c>
    </row>
    <row r="99" spans="3:4" ht="15.75" hidden="1">
      <c r="C99" s="437">
        <f>IF(C75&lt;0,"See Tab B","")</f>
      </c>
      <c r="D99" s="437">
        <f>IF(D75&lt;0,"See Tab D","")</f>
      </c>
    </row>
    <row r="100" spans="3:4" ht="15.75">
      <c r="C100" s="437"/>
      <c r="D100" s="437"/>
    </row>
    <row r="101" spans="3:4" ht="15.75">
      <c r="C101" s="437"/>
      <c r="D101" s="437"/>
    </row>
  </sheetData>
  <sheetProtection sheet="1"/>
  <mergeCells count="12">
    <mergeCell ref="G18:J18"/>
    <mergeCell ref="G25:J25"/>
    <mergeCell ref="G35:J35"/>
    <mergeCell ref="G60:J60"/>
    <mergeCell ref="G67:J67"/>
    <mergeCell ref="G77:J77"/>
    <mergeCell ref="C42:D42"/>
    <mergeCell ref="C81:D81"/>
    <mergeCell ref="C77:D77"/>
    <mergeCell ref="C78:D78"/>
    <mergeCell ref="C38:D38"/>
    <mergeCell ref="C39:D39"/>
  </mergeCells>
  <conditionalFormatting sqref="E72">
    <cfRule type="cellIs" priority="3" dxfId="148" operator="greaterThan" stopIfTrue="1">
      <formula>$E$74*0.1</formula>
    </cfRule>
  </conditionalFormatting>
  <conditionalFormatting sqref="E77">
    <cfRule type="cellIs" priority="4" dxfId="148" operator="greaterThan" stopIfTrue="1">
      <formula>$E$74/0.95-$E$74</formula>
    </cfRule>
  </conditionalFormatting>
  <conditionalFormatting sqref="E33">
    <cfRule type="cellIs" priority="5" dxfId="148" operator="greaterThan" stopIfTrue="1">
      <formula>$E$35*0.1</formula>
    </cfRule>
  </conditionalFormatting>
  <conditionalFormatting sqref="E38">
    <cfRule type="cellIs" priority="6" dxfId="148" operator="greaterThan" stopIfTrue="1">
      <formula>$E$35/0.95-$E$35</formula>
    </cfRule>
  </conditionalFormatting>
  <conditionalFormatting sqref="C75 C36">
    <cfRule type="cellIs" priority="7" dxfId="1" operator="lessThan" stopIfTrue="1">
      <formula>0</formula>
    </cfRule>
  </conditionalFormatting>
  <conditionalFormatting sqref="C74">
    <cfRule type="cellIs" priority="8" dxfId="1" operator="greaterThan" stopIfTrue="1">
      <formula>$C$76</formula>
    </cfRule>
  </conditionalFormatting>
  <conditionalFormatting sqref="D74">
    <cfRule type="cellIs" priority="9" dxfId="1" operator="greaterThan" stopIfTrue="1">
      <formula>$D$76</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E60">
    <cfRule type="cellIs" priority="12" dxfId="148" operator="greaterThan" stopIfTrue="1">
      <formula>($E$62+E81)*0.1</formula>
    </cfRule>
  </conditionalFormatting>
  <conditionalFormatting sqref="E21">
    <cfRule type="cellIs" priority="13" dxfId="148" operator="greaterThan" stopIfTrue="1">
      <formula>($E$23+E42)*0.1</formula>
    </cfRule>
  </conditionalFormatting>
  <conditionalFormatting sqref="D21">
    <cfRule type="cellIs" priority="14" dxfId="148" operator="greaterThan" stopIfTrue="1">
      <formula>$D$23*0.1</formula>
    </cfRule>
  </conditionalFormatting>
  <conditionalFormatting sqref="C21">
    <cfRule type="cellIs" priority="15" dxfId="148" operator="greaterThan" stopIfTrue="1">
      <formula>$C$23*0.1</formula>
    </cfRule>
  </conditionalFormatting>
  <conditionalFormatting sqref="C33">
    <cfRule type="cellIs" priority="16" dxfId="148" operator="greaterThan" stopIfTrue="1">
      <formula>$C$35*0.1</formula>
    </cfRule>
  </conditionalFormatting>
  <conditionalFormatting sqref="D33">
    <cfRule type="cellIs" priority="17" dxfId="148" operator="greaterThan" stopIfTrue="1">
      <formula>$D$35*0.1</formula>
    </cfRule>
  </conditionalFormatting>
  <conditionalFormatting sqref="D60">
    <cfRule type="cellIs" priority="18" dxfId="148" operator="greaterThan" stopIfTrue="1">
      <formula>$D$62*0.1</formula>
    </cfRule>
  </conditionalFormatting>
  <conditionalFormatting sqref="C60">
    <cfRule type="cellIs" priority="19" dxfId="148" operator="greaterThan" stopIfTrue="1">
      <formula>$C$62*0.1</formula>
    </cfRule>
  </conditionalFormatting>
  <conditionalFormatting sqref="C72">
    <cfRule type="cellIs" priority="20" dxfId="148" operator="greaterThan" stopIfTrue="1">
      <formula>$C$74*0.1</formula>
    </cfRule>
  </conditionalFormatting>
  <conditionalFormatting sqref="D72">
    <cfRule type="cellIs" priority="21" dxfId="148" operator="greaterThan" stopIfTrue="1">
      <formula>$D$74*0.1</formula>
    </cfRule>
  </conditionalFormatting>
  <conditionalFormatting sqref="D75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67" sqref="B67"/>
    </sheetView>
  </sheetViews>
  <sheetFormatPr defaultColWidth="8.796875" defaultRowHeight="15"/>
  <cols>
    <col min="1" max="1" width="2.3984375" style="75" customWidth="1"/>
    <col min="2" max="2" width="31.09765625" style="75" customWidth="1"/>
    <col min="3" max="4" width="15.796875" style="75" customWidth="1"/>
    <col min="5" max="5" width="16.09765625" style="75" customWidth="1"/>
    <col min="6" max="16384" width="8.8984375" style="75" customWidth="1"/>
  </cols>
  <sheetData>
    <row r="1" spans="2:5" ht="15.75">
      <c r="B1" s="192">
        <f>(inputPrYr!D3)</f>
        <v>0</v>
      </c>
      <c r="C1" s="74"/>
      <c r="D1" s="74"/>
      <c r="E1" s="152">
        <f>inputPrYr!$C$6</f>
        <v>0</v>
      </c>
    </row>
    <row r="2" spans="2:5" ht="15.75">
      <c r="B2" s="74"/>
      <c r="C2" s="74"/>
      <c r="D2" s="74"/>
      <c r="E2" s="204"/>
    </row>
    <row r="3" spans="2:5" ht="15.75">
      <c r="B3" s="84" t="s">
        <v>209</v>
      </c>
      <c r="C3" s="316"/>
      <c r="D3" s="316"/>
      <c r="E3" s="317"/>
    </row>
    <row r="4" spans="2:5" ht="15.75">
      <c r="B4" s="77" t="s">
        <v>147</v>
      </c>
      <c r="C4" s="619" t="s">
        <v>789</v>
      </c>
      <c r="D4" s="165" t="s">
        <v>790</v>
      </c>
      <c r="E4" s="165" t="s">
        <v>791</v>
      </c>
    </row>
    <row r="5" spans="2:5" ht="15.75">
      <c r="B5" s="434" t="str">
        <f>(inputPrYr!B35)</f>
        <v>Special Highway</v>
      </c>
      <c r="C5" s="318" t="str">
        <f>CONCATENATE("Actual for ",E1-2,"")</f>
        <v>Actual for -2</v>
      </c>
      <c r="D5" s="318" t="str">
        <f>CONCATENATE("Estimate for ",E1-1,"")</f>
        <v>Estimate for -1</v>
      </c>
      <c r="E5" s="215">
        <f>E1</f>
        <v>0</v>
      </c>
    </row>
    <row r="6" spans="2:5" ht="15.75">
      <c r="B6" s="169" t="s">
        <v>254</v>
      </c>
      <c r="C6" s="90"/>
      <c r="D6" s="180">
        <f>C25</f>
        <v>0</v>
      </c>
      <c r="E6" s="180">
        <f>D25</f>
        <v>0</v>
      </c>
    </row>
    <row r="7" spans="2:5" ht="15.75">
      <c r="B7" s="264" t="s">
        <v>256</v>
      </c>
      <c r="C7" s="180"/>
      <c r="D7" s="180"/>
      <c r="E7" s="180"/>
    </row>
    <row r="8" spans="2:5" ht="15.75">
      <c r="B8" s="328" t="s">
        <v>163</v>
      </c>
      <c r="C8" s="90"/>
      <c r="D8" s="180">
        <f>inputOth!E53</f>
        <v>0</v>
      </c>
      <c r="E8" s="180">
        <f>inputOth!E51</f>
        <v>0</v>
      </c>
    </row>
    <row r="9" spans="2:5" ht="15.75">
      <c r="B9" s="328" t="s">
        <v>291</v>
      </c>
      <c r="C9" s="90"/>
      <c r="D9" s="180">
        <f>inputOth!E54</f>
        <v>0</v>
      </c>
      <c r="E9" s="180">
        <f>inputOth!E52</f>
        <v>0</v>
      </c>
    </row>
    <row r="10" spans="2:5" ht="15.75">
      <c r="B10" s="278"/>
      <c r="C10" s="90"/>
      <c r="D10" s="90"/>
      <c r="E10" s="90"/>
    </row>
    <row r="11" spans="2:5" ht="15.75">
      <c r="B11" s="278"/>
      <c r="C11" s="90"/>
      <c r="D11" s="90"/>
      <c r="E11" s="90"/>
    </row>
    <row r="12" spans="2:5" ht="15.75">
      <c r="B12" s="322" t="s">
        <v>154</v>
      </c>
      <c r="C12" s="90"/>
      <c r="D12" s="90"/>
      <c r="E12" s="90"/>
    </row>
    <row r="13" spans="2:5" ht="15.75">
      <c r="B13" s="326" t="s">
        <v>244</v>
      </c>
      <c r="C13" s="90"/>
      <c r="D13" s="90"/>
      <c r="E13" s="90"/>
    </row>
    <row r="14" spans="2:5" ht="15.75">
      <c r="B14" s="326" t="s">
        <v>763</v>
      </c>
      <c r="C14" s="435">
        <f>IF(C15*0.1&lt;C13,"Exceed 10% Rule","")</f>
      </c>
      <c r="D14" s="323">
        <f>IF(D15*0.1&lt;D13,"Exceed 10% Rule","")</f>
      </c>
      <c r="E14" s="323">
        <f>IF(E15*0.1&lt;E13,"Exceed 10% Rule","")</f>
      </c>
    </row>
    <row r="15" spans="2:5" ht="15.75">
      <c r="B15" s="275" t="s">
        <v>155</v>
      </c>
      <c r="C15" s="325">
        <f>SUM(C8:C13)</f>
        <v>0</v>
      </c>
      <c r="D15" s="325">
        <f>SUM(D8:D13)</f>
        <v>0</v>
      </c>
      <c r="E15" s="325">
        <f>SUM(E8:E13)</f>
        <v>0</v>
      </c>
    </row>
    <row r="16" spans="2:5" ht="15.75">
      <c r="B16" s="275" t="s">
        <v>156</v>
      </c>
      <c r="C16" s="325">
        <f>C6+C15</f>
        <v>0</v>
      </c>
      <c r="D16" s="325">
        <f>D6+D15</f>
        <v>0</v>
      </c>
      <c r="E16" s="325">
        <f>E6+E15</f>
        <v>0</v>
      </c>
    </row>
    <row r="17" spans="2:5" ht="15.75">
      <c r="B17" s="169" t="s">
        <v>157</v>
      </c>
      <c r="C17" s="180"/>
      <c r="D17" s="180"/>
      <c r="E17" s="180"/>
    </row>
    <row r="18" spans="2:5" ht="15.75">
      <c r="B18" s="278" t="s">
        <v>164</v>
      </c>
      <c r="C18" s="90"/>
      <c r="D18" s="90"/>
      <c r="E18" s="90"/>
    </row>
    <row r="19" spans="2:5" ht="15.75">
      <c r="B19" s="378"/>
      <c r="C19" s="90"/>
      <c r="D19" s="90"/>
      <c r="E19" s="90"/>
    </row>
    <row r="20" spans="2:5" ht="15.75">
      <c r="B20" s="278"/>
      <c r="C20" s="90"/>
      <c r="D20" s="90"/>
      <c r="E20" s="90"/>
    </row>
    <row r="21" spans="2:5" ht="15.75">
      <c r="B21" s="182" t="str">
        <f>CONCATENATE("Cash Forward (",E1," column)")</f>
        <v>Cash Forward (0 column)</v>
      </c>
      <c r="C21" s="90"/>
      <c r="D21" s="90"/>
      <c r="E21" s="90"/>
    </row>
    <row r="22" spans="2:5" ht="15.75">
      <c r="B22" s="182" t="s">
        <v>244</v>
      </c>
      <c r="C22" s="90"/>
      <c r="D22" s="90"/>
      <c r="E22" s="90"/>
    </row>
    <row r="23" spans="2:5" ht="15.75">
      <c r="B23" s="89" t="s">
        <v>762</v>
      </c>
      <c r="C23" s="435">
        <f>IF(C24*0.1&lt;C22,"Exceed 10% Rule","")</f>
      </c>
      <c r="D23" s="323">
        <f>IF(D24*0.1&lt;D22,"Exceed 10% Rule","")</f>
      </c>
      <c r="E23" s="323">
        <f>IF(E24*0.1&lt;E22,"Exceed 10% Rule","")</f>
      </c>
    </row>
    <row r="24" spans="2:5" ht="15.75">
      <c r="B24" s="275" t="s">
        <v>158</v>
      </c>
      <c r="C24" s="325">
        <f>SUM(C18:C22)</f>
        <v>0</v>
      </c>
      <c r="D24" s="325">
        <f>SUM(D18:D22)</f>
        <v>0</v>
      </c>
      <c r="E24" s="325">
        <f>SUM(E18:E22)</f>
        <v>0</v>
      </c>
    </row>
    <row r="25" spans="2:5" ht="15.75">
      <c r="B25" s="169" t="s">
        <v>255</v>
      </c>
      <c r="C25" s="97">
        <f>C16-C24</f>
        <v>0</v>
      </c>
      <c r="D25" s="97">
        <f>D16-D24</f>
        <v>0</v>
      </c>
      <c r="E25" s="97">
        <f>E16-E24</f>
        <v>0</v>
      </c>
    </row>
    <row r="26" spans="2:5" ht="15.75">
      <c r="B26" s="333" t="str">
        <f>CONCATENATE("",E1-2,"/",E1-1,"/",E1," Budget Authority Amount:")</f>
        <v>-2/-1/0 Budget Authority Amount:</v>
      </c>
      <c r="C26" s="404">
        <f>inputOth!B69</f>
        <v>0</v>
      </c>
      <c r="D26" s="404">
        <f>inputPrYr!D35</f>
        <v>0</v>
      </c>
      <c r="E26" s="722">
        <f>E24</f>
        <v>0</v>
      </c>
    </row>
    <row r="27" spans="2:5" ht="15.75">
      <c r="B27" s="200"/>
      <c r="C27" s="280">
        <f>IF(C24&gt;C26,"See Tab A","")</f>
      </c>
      <c r="D27" s="280">
        <f>IF(D24&gt;D26,"See Tab C","")</f>
      </c>
      <c r="E27" s="723">
        <f>IF(E25&lt;0,"See Tab E","")</f>
      </c>
    </row>
    <row r="28" spans="2:5" ht="15.75">
      <c r="B28" s="200"/>
      <c r="C28" s="280">
        <f>IF(C25&lt;0,"See Tab B","")</f>
      </c>
      <c r="D28" s="280">
        <f>IF(D25&lt;0,"See Tab D","")</f>
      </c>
      <c r="E28" s="198"/>
    </row>
    <row r="29" spans="2:5" ht="15.75">
      <c r="B29" s="74"/>
      <c r="C29" s="198"/>
      <c r="D29" s="198"/>
      <c r="E29" s="198"/>
    </row>
    <row r="30" spans="2:5" ht="15.75">
      <c r="B30" s="77" t="s">
        <v>147</v>
      </c>
      <c r="C30" s="619" t="s">
        <v>789</v>
      </c>
      <c r="D30" s="165" t="s">
        <v>790</v>
      </c>
      <c r="E30" s="165" t="s">
        <v>791</v>
      </c>
    </row>
    <row r="31" spans="2:5" ht="15.75">
      <c r="B31" s="433">
        <f>(inputPrYr!B36)</f>
        <v>0</v>
      </c>
      <c r="C31" s="318" t="str">
        <f>C5</f>
        <v>Actual for -2</v>
      </c>
      <c r="D31" s="318" t="str">
        <f>D5</f>
        <v>Estimate for -1</v>
      </c>
      <c r="E31" s="215">
        <f>E5</f>
        <v>0</v>
      </c>
    </row>
    <row r="32" spans="2:5" ht="15.75">
      <c r="B32" s="169" t="s">
        <v>254</v>
      </c>
      <c r="C32" s="90"/>
      <c r="D32" s="180">
        <f>C59</f>
        <v>0</v>
      </c>
      <c r="E32" s="180">
        <f>D59</f>
        <v>0</v>
      </c>
    </row>
    <row r="33" spans="2:5" ht="15.75">
      <c r="B33" s="169" t="s">
        <v>256</v>
      </c>
      <c r="C33" s="180"/>
      <c r="D33" s="180"/>
      <c r="E33" s="180"/>
    </row>
    <row r="34" spans="2:5" ht="15.75">
      <c r="B34" s="278"/>
      <c r="C34" s="90"/>
      <c r="D34" s="90"/>
      <c r="E34" s="90"/>
    </row>
    <row r="35" spans="2:5" ht="15.75">
      <c r="B35" s="278" t="s">
        <v>165</v>
      </c>
      <c r="C35" s="90"/>
      <c r="D35" s="90"/>
      <c r="E35" s="90"/>
    </row>
    <row r="36" spans="2:5" ht="15.75">
      <c r="B36" s="278"/>
      <c r="C36" s="90"/>
      <c r="D36" s="90"/>
      <c r="E36" s="90"/>
    </row>
    <row r="37" spans="2:5" ht="15.75">
      <c r="B37" s="278"/>
      <c r="C37" s="90"/>
      <c r="D37" s="90"/>
      <c r="E37" s="90"/>
    </row>
    <row r="38" spans="2:5" ht="15.75">
      <c r="B38" s="278"/>
      <c r="C38" s="90"/>
      <c r="D38" s="90"/>
      <c r="E38" s="90"/>
    </row>
    <row r="39" spans="2:5" ht="15.75">
      <c r="B39" s="278"/>
      <c r="C39" s="90"/>
      <c r="D39" s="90"/>
      <c r="E39" s="90"/>
    </row>
    <row r="40" spans="2:5" ht="15.75">
      <c r="B40" s="322" t="s">
        <v>154</v>
      </c>
      <c r="C40" s="90"/>
      <c r="D40" s="90"/>
      <c r="E40" s="90"/>
    </row>
    <row r="41" spans="2:5" ht="15.75">
      <c r="B41" s="326" t="s">
        <v>244</v>
      </c>
      <c r="C41" s="90"/>
      <c r="D41" s="90"/>
      <c r="E41" s="90"/>
    </row>
    <row r="42" spans="2:5" ht="15.75">
      <c r="B42" s="326" t="s">
        <v>763</v>
      </c>
      <c r="C42" s="435">
        <f>IF(C43*0.1&lt;C41,"Exceed 10% Rule","")</f>
      </c>
      <c r="D42" s="323">
        <f>IF(D43*0.1&lt;D41,"Exceed 10% Rule","")</f>
      </c>
      <c r="E42" s="323">
        <f>IF(E43*0.1&lt;E41,"Exceed 10% Rule","")</f>
      </c>
    </row>
    <row r="43" spans="2:5" ht="15.75">
      <c r="B43" s="275" t="s">
        <v>155</v>
      </c>
      <c r="C43" s="325">
        <f>SUM(C34:C41)</f>
        <v>0</v>
      </c>
      <c r="D43" s="325">
        <f>SUM(D34:D41)</f>
        <v>0</v>
      </c>
      <c r="E43" s="325">
        <f>SUM(E34:E41)</f>
        <v>0</v>
      </c>
    </row>
    <row r="44" spans="2:5" ht="15.75">
      <c r="B44" s="275" t="s">
        <v>156</v>
      </c>
      <c r="C44" s="325">
        <f>C32+C43</f>
        <v>0</v>
      </c>
      <c r="D44" s="325">
        <f>D32+D43</f>
        <v>0</v>
      </c>
      <c r="E44" s="325">
        <f>E32+E43</f>
        <v>0</v>
      </c>
    </row>
    <row r="45" spans="2:5" ht="15.75">
      <c r="B45" s="169" t="s">
        <v>157</v>
      </c>
      <c r="C45" s="180"/>
      <c r="D45" s="180"/>
      <c r="E45" s="180"/>
    </row>
    <row r="46" spans="2:5" ht="15.75">
      <c r="B46" s="278"/>
      <c r="C46" s="90"/>
      <c r="D46" s="90"/>
      <c r="E46" s="90"/>
    </row>
    <row r="47" spans="2:5" ht="15.75">
      <c r="B47" s="379"/>
      <c r="C47" s="90"/>
      <c r="D47" s="90"/>
      <c r="E47" s="90"/>
    </row>
    <row r="48" spans="2:5" ht="15.75">
      <c r="B48" s="379"/>
      <c r="C48" s="90"/>
      <c r="D48" s="90"/>
      <c r="E48" s="90"/>
    </row>
    <row r="49" spans="2:5" ht="15.75">
      <c r="B49" s="379"/>
      <c r="C49" s="90"/>
      <c r="D49" s="90"/>
      <c r="E49" s="90"/>
    </row>
    <row r="50" spans="2:5" ht="15.75">
      <c r="B50" s="379"/>
      <c r="C50" s="90"/>
      <c r="D50" s="90"/>
      <c r="E50" s="90"/>
    </row>
    <row r="51" spans="2:5" ht="15.75">
      <c r="B51" s="379"/>
      <c r="C51" s="90"/>
      <c r="D51" s="90"/>
      <c r="E51" s="90"/>
    </row>
    <row r="52" spans="2:5" ht="15.75">
      <c r="B52" s="379"/>
      <c r="C52" s="90"/>
      <c r="D52" s="90"/>
      <c r="E52" s="90"/>
    </row>
    <row r="53" spans="2:5" ht="15.75">
      <c r="B53" s="379"/>
      <c r="C53" s="90"/>
      <c r="D53" s="90"/>
      <c r="E53" s="90"/>
    </row>
    <row r="54" spans="2:5" ht="15.75">
      <c r="B54" s="379"/>
      <c r="C54" s="90"/>
      <c r="D54" s="90"/>
      <c r="E54" s="90"/>
    </row>
    <row r="55" spans="2:5" ht="15.75">
      <c r="B55" s="182" t="str">
        <f>CONCATENATE("Cash Forward (",E1," column)")</f>
        <v>Cash Forward (0 column)</v>
      </c>
      <c r="C55" s="90"/>
      <c r="D55" s="90"/>
      <c r="E55" s="90"/>
    </row>
    <row r="56" spans="2:5" ht="15.75">
      <c r="B56" s="182" t="s">
        <v>244</v>
      </c>
      <c r="C56" s="90"/>
      <c r="D56" s="90"/>
      <c r="E56" s="90"/>
    </row>
    <row r="57" spans="2:5" ht="15.75">
      <c r="B57" s="182" t="s">
        <v>762</v>
      </c>
      <c r="C57" s="435">
        <f>IF(C58*0.1&lt;C56,"Exceed 10% Rule","")</f>
      </c>
      <c r="D57" s="323">
        <f>IF(D58*0.1&lt;D56,"Exceed 10% Rule","")</f>
      </c>
      <c r="E57" s="323">
        <f>IF(E58*0.1&lt;E56,"Exceed 10% Rule","")</f>
      </c>
    </row>
    <row r="58" spans="2:5" ht="15.75">
      <c r="B58" s="275" t="s">
        <v>158</v>
      </c>
      <c r="C58" s="325">
        <f>SUM(C46:C56)</f>
        <v>0</v>
      </c>
      <c r="D58" s="325">
        <f>SUM(D46:D56)</f>
        <v>0</v>
      </c>
      <c r="E58" s="325">
        <f>SUM(E46:E56)</f>
        <v>0</v>
      </c>
    </row>
    <row r="59" spans="2:5" ht="15.75">
      <c r="B59" s="169" t="s">
        <v>255</v>
      </c>
      <c r="C59" s="97">
        <f>C44-C58</f>
        <v>0</v>
      </c>
      <c r="D59" s="97">
        <f>D44-D58</f>
        <v>0</v>
      </c>
      <c r="E59" s="97">
        <f>E44-E58</f>
        <v>0</v>
      </c>
    </row>
    <row r="60" spans="2:5" ht="15.75">
      <c r="B60" s="333" t="str">
        <f>CONCATENATE("",E1-2,"/",E1-1,"/",E1," Budget Authority Amount:")</f>
        <v>-2/-1/0 Budget Authority Amount:</v>
      </c>
      <c r="C60" s="404">
        <f>inputOth!B70</f>
        <v>0</v>
      </c>
      <c r="D60" s="404">
        <f>inputPrYr!D36</f>
        <v>0</v>
      </c>
      <c r="E60" s="722">
        <f>E58</f>
        <v>0</v>
      </c>
    </row>
    <row r="61" spans="2:5" ht="15.75">
      <c r="B61" s="200"/>
      <c r="C61" s="280">
        <f>IF(C58&gt;C60,"See Tab A","")</f>
      </c>
      <c r="D61" s="280">
        <f>IF(D58&gt;D60,"See Tab C","")</f>
      </c>
      <c r="E61" s="723">
        <f>IF(E59&lt;0,"See Tab E","")</f>
      </c>
    </row>
    <row r="62" spans="2:5" ht="15.75">
      <c r="B62" s="833" t="s">
        <v>1027</v>
      </c>
      <c r="C62" s="830">
        <f>IF(C59&lt;0,"See Tab B","")</f>
      </c>
      <c r="D62" s="830">
        <f>IF(D59&lt;0,"See Tab D","")</f>
      </c>
      <c r="E62" s="172"/>
    </row>
    <row r="63" spans="2:5" ht="15.75">
      <c r="B63" s="831"/>
      <c r="C63" s="832"/>
      <c r="D63" s="832"/>
      <c r="E63" s="159"/>
    </row>
    <row r="64" spans="2:5" ht="15.75">
      <c r="B64" s="183"/>
      <c r="C64" s="95"/>
      <c r="D64" s="95"/>
      <c r="E64" s="106"/>
    </row>
    <row r="65" spans="2:5" ht="15.75">
      <c r="B65" s="200" t="s">
        <v>161</v>
      </c>
      <c r="C65" s="745"/>
      <c r="D65" s="74"/>
      <c r="E65" s="74"/>
    </row>
  </sheetData>
  <sheetProtection sheet="1"/>
  <conditionalFormatting sqref="C13">
    <cfRule type="cellIs" priority="9" dxfId="148" operator="greaterThan" stopIfTrue="1">
      <formula>$C$15*0.1</formula>
    </cfRule>
  </conditionalFormatting>
  <conditionalFormatting sqref="C41">
    <cfRule type="cellIs" priority="10" dxfId="148" operator="greaterThan" stopIfTrue="1">
      <formula>$C$43*0.1</formula>
    </cfRule>
  </conditionalFormatting>
  <conditionalFormatting sqref="D13">
    <cfRule type="cellIs" priority="11" dxfId="148" operator="greaterThan" stopIfTrue="1">
      <formula>$D$15*0.1</formula>
    </cfRule>
  </conditionalFormatting>
  <conditionalFormatting sqref="E13">
    <cfRule type="cellIs" priority="12" dxfId="148" operator="greaterThan" stopIfTrue="1">
      <formula>$E$15*0.1</formula>
    </cfRule>
  </conditionalFormatting>
  <conditionalFormatting sqref="D41">
    <cfRule type="cellIs" priority="13" dxfId="148" operator="greaterThan" stopIfTrue="1">
      <formula>$D$43*0.1</formula>
    </cfRule>
  </conditionalFormatting>
  <conditionalFormatting sqref="E41">
    <cfRule type="cellIs" priority="14" dxfId="148" operator="greaterThan" stopIfTrue="1">
      <formula>$E$43*0.1</formula>
    </cfRule>
  </conditionalFormatting>
  <conditionalFormatting sqref="C22">
    <cfRule type="cellIs" priority="15" dxfId="148" operator="greaterThan" stopIfTrue="1">
      <formula>$C$24*0.1</formula>
    </cfRule>
  </conditionalFormatting>
  <conditionalFormatting sqref="D22">
    <cfRule type="cellIs" priority="16" dxfId="148" operator="greaterThan" stopIfTrue="1">
      <formula>$D$24*0.1</formula>
    </cfRule>
  </conditionalFormatting>
  <conditionalFormatting sqref="E22">
    <cfRule type="cellIs" priority="17" dxfId="148" operator="greaterThan" stopIfTrue="1">
      <formula>$E$24*0.1</formula>
    </cfRule>
  </conditionalFormatting>
  <conditionalFormatting sqref="C56">
    <cfRule type="cellIs" priority="18" dxfId="148" operator="greaterThan" stopIfTrue="1">
      <formula>$C$58*0.1</formula>
    </cfRule>
  </conditionalFormatting>
  <conditionalFormatting sqref="D56">
    <cfRule type="cellIs" priority="19" dxfId="148" operator="greaterThan" stopIfTrue="1">
      <formula>$D$58*0.1</formula>
    </cfRule>
  </conditionalFormatting>
  <conditionalFormatting sqref="E56">
    <cfRule type="cellIs" priority="20" dxfId="148" operator="greaterThan" stopIfTrue="1">
      <formula>$E$58*0.1</formula>
    </cfRule>
  </conditionalFormatting>
  <conditionalFormatting sqref="E25 C59">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1">
      <selection activeCell="B72" sqref="B72"/>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16384" width="8.8984375" style="75" customWidth="1"/>
  </cols>
  <sheetData>
    <row r="1" spans="2:5" ht="15.75">
      <c r="B1" s="192">
        <f>(inputPrYr!D3)</f>
        <v>0</v>
      </c>
      <c r="C1" s="74"/>
      <c r="D1" s="74"/>
      <c r="E1" s="152">
        <f>inputPrYr!$C$6</f>
        <v>0</v>
      </c>
    </row>
    <row r="2" spans="2:5" ht="15.75">
      <c r="B2" s="74"/>
      <c r="C2" s="74"/>
      <c r="D2" s="74"/>
      <c r="E2" s="204"/>
    </row>
    <row r="3" spans="2:5" ht="15.75">
      <c r="B3" s="84" t="s">
        <v>209</v>
      </c>
      <c r="C3" s="163"/>
      <c r="D3" s="163"/>
      <c r="E3" s="154"/>
    </row>
    <row r="4" spans="2:5" ht="15.75">
      <c r="B4" s="77" t="s">
        <v>147</v>
      </c>
      <c r="C4" s="619" t="s">
        <v>789</v>
      </c>
      <c r="D4" s="165" t="s">
        <v>790</v>
      </c>
      <c r="E4" s="165" t="s">
        <v>791</v>
      </c>
    </row>
    <row r="5" spans="2:5" ht="15.75">
      <c r="B5" s="434">
        <f>(inputPrYr!B37)</f>
        <v>0</v>
      </c>
      <c r="C5" s="318" t="str">
        <f>CONCATENATE("Actual for ",E1-2,"")</f>
        <v>Actual for -2</v>
      </c>
      <c r="D5" s="318" t="str">
        <f>CONCATENATE("Estimate for ",E1-1,"")</f>
        <v>Estimate for -1</v>
      </c>
      <c r="E5" s="215">
        <f>E1</f>
        <v>0</v>
      </c>
    </row>
    <row r="6" spans="2:5" ht="15.75">
      <c r="B6" s="169" t="s">
        <v>254</v>
      </c>
      <c r="C6" s="90"/>
      <c r="D6" s="180">
        <f>C31</f>
        <v>0</v>
      </c>
      <c r="E6" s="180">
        <f>D31</f>
        <v>0</v>
      </c>
    </row>
    <row r="7" spans="2:5" ht="15.75">
      <c r="B7" s="264" t="s">
        <v>256</v>
      </c>
      <c r="C7" s="180"/>
      <c r="D7" s="180"/>
      <c r="E7" s="180"/>
    </row>
    <row r="8" spans="2:5" ht="15.75">
      <c r="B8" s="278"/>
      <c r="C8" s="90"/>
      <c r="D8" s="90"/>
      <c r="E8" s="90"/>
    </row>
    <row r="9" spans="2:5" ht="15.75">
      <c r="B9" s="278" t="s">
        <v>165</v>
      </c>
      <c r="C9" s="90"/>
      <c r="D9" s="90"/>
      <c r="E9" s="90"/>
    </row>
    <row r="10" spans="2:5" ht="15.75">
      <c r="B10" s="278"/>
      <c r="C10" s="90"/>
      <c r="D10" s="90"/>
      <c r="E10" s="90"/>
    </row>
    <row r="11" spans="2:5" ht="15.75">
      <c r="B11" s="278"/>
      <c r="C11" s="90"/>
      <c r="D11" s="90"/>
      <c r="E11" s="90"/>
    </row>
    <row r="12" spans="2:5" ht="15.75">
      <c r="B12" s="322" t="s">
        <v>154</v>
      </c>
      <c r="C12" s="90"/>
      <c r="D12" s="90"/>
      <c r="E12" s="90"/>
    </row>
    <row r="13" spans="2:5" ht="15.75">
      <c r="B13" s="326" t="s">
        <v>244</v>
      </c>
      <c r="C13" s="90"/>
      <c r="D13" s="90"/>
      <c r="E13" s="90"/>
    </row>
    <row r="14" spans="2:5" ht="15.75">
      <c r="B14" s="326" t="s">
        <v>763</v>
      </c>
      <c r="C14" s="435">
        <f>IF(C15*0.1&lt;C13,"Exceed 10% Rule","")</f>
      </c>
      <c r="D14" s="323">
        <f>IF(D15*0.1&lt;D13,"Exceed 10% Rule","")</f>
      </c>
      <c r="E14" s="323">
        <f>IF(E15*0.1&lt;E13,"Exceed 10% Rule","")</f>
      </c>
    </row>
    <row r="15" spans="2:5" ht="15.75">
      <c r="B15" s="275" t="s">
        <v>155</v>
      </c>
      <c r="C15" s="325">
        <f>SUM(C8:C13)</f>
        <v>0</v>
      </c>
      <c r="D15" s="325">
        <f>SUM(D8:D13)</f>
        <v>0</v>
      </c>
      <c r="E15" s="325">
        <f>SUM(E8:E13)</f>
        <v>0</v>
      </c>
    </row>
    <row r="16" spans="2:5" ht="15.75">
      <c r="B16" s="275" t="s">
        <v>156</v>
      </c>
      <c r="C16" s="325">
        <f>C6+C15</f>
        <v>0</v>
      </c>
      <c r="D16" s="325">
        <f>D6+D15</f>
        <v>0</v>
      </c>
      <c r="E16" s="325">
        <f>E6+E15</f>
        <v>0</v>
      </c>
    </row>
    <row r="17" spans="2:5" ht="15.75">
      <c r="B17" s="169" t="s">
        <v>157</v>
      </c>
      <c r="C17" s="180"/>
      <c r="D17" s="180"/>
      <c r="E17" s="180"/>
    </row>
    <row r="18" spans="2:5" ht="15.75">
      <c r="B18" s="380"/>
      <c r="C18" s="90"/>
      <c r="D18" s="381"/>
      <c r="E18" s="90"/>
    </row>
    <row r="19" spans="2:5" ht="15.75">
      <c r="B19" s="380"/>
      <c r="C19" s="90"/>
      <c r="D19" s="381"/>
      <c r="E19" s="90"/>
    </row>
    <row r="20" spans="2:5" ht="15.75">
      <c r="B20" s="380"/>
      <c r="C20" s="90"/>
      <c r="D20" s="381"/>
      <c r="E20" s="90"/>
    </row>
    <row r="21" spans="2:5" ht="15.75">
      <c r="B21" s="380"/>
      <c r="C21" s="90"/>
      <c r="D21" s="381"/>
      <c r="E21" s="90"/>
    </row>
    <row r="22" spans="2:5" ht="15.75">
      <c r="B22" s="380"/>
      <c r="C22" s="90"/>
      <c r="D22" s="381"/>
      <c r="E22" s="90"/>
    </row>
    <row r="23" spans="2:5" ht="15.75">
      <c r="B23" s="380"/>
      <c r="C23" s="90"/>
      <c r="D23" s="381"/>
      <c r="E23" s="90"/>
    </row>
    <row r="24" spans="2:5" ht="15.75">
      <c r="B24" s="380"/>
      <c r="C24" s="90"/>
      <c r="D24" s="381"/>
      <c r="E24" s="90"/>
    </row>
    <row r="25" spans="2:5" ht="15.75">
      <c r="B25" s="380"/>
      <c r="C25" s="90"/>
      <c r="D25" s="381"/>
      <c r="E25" s="90"/>
    </row>
    <row r="26" spans="2:5" ht="15.75">
      <c r="B26" s="380"/>
      <c r="C26" s="90"/>
      <c r="D26" s="381"/>
      <c r="E26" s="90"/>
    </row>
    <row r="27" spans="2:5" ht="15.75">
      <c r="B27" s="182" t="str">
        <f>CONCATENATE("Cash Forward (",E1," column)")</f>
        <v>Cash Forward (0 column)</v>
      </c>
      <c r="C27" s="90"/>
      <c r="D27" s="381"/>
      <c r="E27" s="90"/>
    </row>
    <row r="28" spans="2:5" ht="15.75">
      <c r="B28" s="182" t="s">
        <v>244</v>
      </c>
      <c r="C28" s="90"/>
      <c r="D28" s="381"/>
      <c r="E28" s="90"/>
    </row>
    <row r="29" spans="2:5" ht="15.75">
      <c r="B29" s="182" t="s">
        <v>762</v>
      </c>
      <c r="C29" s="435">
        <f>IF(C30*0.1&lt;C28,"Exceed 10% Rule","")</f>
      </c>
      <c r="D29" s="323">
        <f>IF(D30*0.1&lt;D28,"Exceed 10% Rule","")</f>
      </c>
      <c r="E29" s="323">
        <f>IF(E30*0.1&lt;E28,"Exceed 10% Rule","")</f>
      </c>
    </row>
    <row r="30" spans="2:5" ht="15.75">
      <c r="B30" s="275" t="s">
        <v>158</v>
      </c>
      <c r="C30" s="325">
        <f>SUM(C18:C28)</f>
        <v>0</v>
      </c>
      <c r="D30" s="325">
        <f>SUM(D18:D28)</f>
        <v>0</v>
      </c>
      <c r="E30" s="325">
        <f>SUM(E18:E28)</f>
        <v>0</v>
      </c>
    </row>
    <row r="31" spans="2:5" ht="15.75">
      <c r="B31" s="169" t="s">
        <v>255</v>
      </c>
      <c r="C31" s="97">
        <f>C16-C30</f>
        <v>0</v>
      </c>
      <c r="D31" s="97">
        <f>D16-D30</f>
        <v>0</v>
      </c>
      <c r="E31" s="97">
        <f>E16-E30</f>
        <v>0</v>
      </c>
    </row>
    <row r="32" spans="2:5" ht="15.75">
      <c r="B32" s="333" t="str">
        <f>CONCATENATE("",E1-2,"/",E1-1,"/",E1," Budget Authority Amount:")</f>
        <v>-2/-1/0 Budget Authority Amount:</v>
      </c>
      <c r="C32" s="404">
        <f>inputOth!B71</f>
        <v>0</v>
      </c>
      <c r="D32" s="404">
        <f>inputPrYr!D37</f>
        <v>0</v>
      </c>
      <c r="E32" s="722">
        <f>E30</f>
        <v>0</v>
      </c>
    </row>
    <row r="33" spans="2:5" ht="15.75">
      <c r="B33" s="200"/>
      <c r="C33" s="280">
        <f>IF(C30&gt;C32,"See Tab A","")</f>
      </c>
      <c r="D33" s="280">
        <f>IF(D30&gt;D32,"See Tab C","")</f>
      </c>
      <c r="E33" s="723">
        <f>IF(E31&lt;0,"See Tab E","")</f>
      </c>
    </row>
    <row r="34" spans="2:5" ht="15.75">
      <c r="B34" s="200"/>
      <c r="C34" s="280">
        <f>IF(C31&lt;0,"See Tab B","")</f>
      </c>
      <c r="D34" s="280">
        <f>IF(D31&lt;0,"See Tab D","")</f>
      </c>
      <c r="E34" s="327"/>
    </row>
    <row r="35" spans="2:5" ht="15.75">
      <c r="B35" s="74"/>
      <c r="C35" s="327"/>
      <c r="D35" s="327"/>
      <c r="E35" s="327"/>
    </row>
    <row r="36" spans="2:5" ht="15.75">
      <c r="B36" s="74"/>
      <c r="C36" s="327"/>
      <c r="D36" s="327"/>
      <c r="E36" s="327"/>
    </row>
    <row r="37" spans="2:5" ht="15.75">
      <c r="B37" s="77" t="s">
        <v>147</v>
      </c>
      <c r="C37" s="619" t="s">
        <v>789</v>
      </c>
      <c r="D37" s="165" t="s">
        <v>790</v>
      </c>
      <c r="E37" s="165" t="s">
        <v>791</v>
      </c>
    </row>
    <row r="38" spans="2:5" ht="15.75">
      <c r="B38" s="434">
        <f>(inputPrYr!B38)</f>
        <v>0</v>
      </c>
      <c r="C38" s="318" t="str">
        <f>C5</f>
        <v>Actual for -2</v>
      </c>
      <c r="D38" s="318" t="str">
        <f>D5</f>
        <v>Estimate for -1</v>
      </c>
      <c r="E38" s="215">
        <f>E5</f>
        <v>0</v>
      </c>
    </row>
    <row r="39" spans="2:5" ht="15.75">
      <c r="B39" s="169" t="s">
        <v>254</v>
      </c>
      <c r="C39" s="90"/>
      <c r="D39" s="180">
        <f>C62</f>
        <v>0</v>
      </c>
      <c r="E39" s="180">
        <f>D62</f>
        <v>0</v>
      </c>
    </row>
    <row r="40" spans="2:5" ht="15.75">
      <c r="B40" s="264" t="s">
        <v>256</v>
      </c>
      <c r="C40" s="180"/>
      <c r="D40" s="180"/>
      <c r="E40" s="180"/>
    </row>
    <row r="41" spans="2:5" ht="15.75">
      <c r="B41" s="278"/>
      <c r="C41" s="90"/>
      <c r="D41" s="90"/>
      <c r="E41" s="90"/>
    </row>
    <row r="42" spans="2:5" ht="15.75">
      <c r="B42" s="278" t="s">
        <v>165</v>
      </c>
      <c r="C42" s="90"/>
      <c r="D42" s="90"/>
      <c r="E42" s="90"/>
    </row>
    <row r="43" spans="2:5" ht="15.75">
      <c r="B43" s="278"/>
      <c r="C43" s="90"/>
      <c r="D43" s="90"/>
      <c r="E43" s="90"/>
    </row>
    <row r="44" spans="2:5" ht="15.75">
      <c r="B44" s="278"/>
      <c r="C44" s="90"/>
      <c r="D44" s="90"/>
      <c r="E44" s="90"/>
    </row>
    <row r="45" spans="2:5" ht="15.75">
      <c r="B45" s="322" t="s">
        <v>154</v>
      </c>
      <c r="C45" s="90"/>
      <c r="D45" s="90"/>
      <c r="E45" s="90"/>
    </row>
    <row r="46" spans="2:5" ht="15.75">
      <c r="B46" s="326" t="s">
        <v>244</v>
      </c>
      <c r="C46" s="90"/>
      <c r="D46" s="90"/>
      <c r="E46" s="90"/>
    </row>
    <row r="47" spans="2:5" ht="15.75">
      <c r="B47" s="326" t="s">
        <v>763</v>
      </c>
      <c r="C47" s="435">
        <f>IF(C48*0.1&lt;C46,"Exceed 10% Rule","")</f>
      </c>
      <c r="D47" s="323">
        <f>IF(D48*0.1&lt;D46,"Exceed 10% Rule","")</f>
      </c>
      <c r="E47" s="323">
        <f>IF(E48*0.1&lt;E46,"Exceed 10% Rule","")</f>
      </c>
    </row>
    <row r="48" spans="2:5" ht="15.75">
      <c r="B48" s="275" t="s">
        <v>155</v>
      </c>
      <c r="C48" s="325">
        <f>SUM(C41:C46)</f>
        <v>0</v>
      </c>
      <c r="D48" s="325">
        <f>SUM(D41:D46)</f>
        <v>0</v>
      </c>
      <c r="E48" s="325">
        <f>SUM(E41:E46)</f>
        <v>0</v>
      </c>
    </row>
    <row r="49" spans="2:5" ht="15.75">
      <c r="B49" s="275" t="s">
        <v>156</v>
      </c>
      <c r="C49" s="325">
        <f>C39+C48</f>
        <v>0</v>
      </c>
      <c r="D49" s="325">
        <f>D39+D48</f>
        <v>0</v>
      </c>
      <c r="E49" s="325">
        <f>E39+E48</f>
        <v>0</v>
      </c>
    </row>
    <row r="50" spans="2:5" ht="15.75">
      <c r="B50" s="169" t="s">
        <v>157</v>
      </c>
      <c r="C50" s="180"/>
      <c r="D50" s="180"/>
      <c r="E50" s="180"/>
    </row>
    <row r="51" spans="2:5" ht="15.75">
      <c r="B51" s="382"/>
      <c r="C51" s="90"/>
      <c r="D51" s="90"/>
      <c r="E51" s="90"/>
    </row>
    <row r="52" spans="2:5" ht="15.75">
      <c r="B52" s="382"/>
      <c r="C52" s="90"/>
      <c r="D52" s="383"/>
      <c r="E52" s="90"/>
    </row>
    <row r="53" spans="2:5" ht="15.75">
      <c r="B53" s="278"/>
      <c r="C53" s="90"/>
      <c r="D53" s="383"/>
      <c r="E53" s="90"/>
    </row>
    <row r="54" spans="2:5" ht="15.75">
      <c r="B54" s="278"/>
      <c r="C54" s="90"/>
      <c r="D54" s="90"/>
      <c r="E54" s="90"/>
    </row>
    <row r="55" spans="2:5" ht="15.75">
      <c r="B55" s="278"/>
      <c r="C55" s="90"/>
      <c r="D55" s="90"/>
      <c r="E55" s="90"/>
    </row>
    <row r="56" spans="2:5" ht="15.75">
      <c r="B56" s="278"/>
      <c r="C56" s="90"/>
      <c r="D56" s="90"/>
      <c r="E56" s="90"/>
    </row>
    <row r="57" spans="2:5" ht="15.75">
      <c r="B57" s="278"/>
      <c r="C57" s="90"/>
      <c r="D57" s="90"/>
      <c r="E57" s="90"/>
    </row>
    <row r="58" spans="2:5" ht="15.75">
      <c r="B58" s="182" t="str">
        <f>CONCATENATE("Cash Forward (",E1," column)")</f>
        <v>Cash Forward (0 column)</v>
      </c>
      <c r="C58" s="90"/>
      <c r="D58" s="90"/>
      <c r="E58" s="90"/>
    </row>
    <row r="59" spans="2:5" ht="15.75">
      <c r="B59" s="182" t="s">
        <v>244</v>
      </c>
      <c r="C59" s="90"/>
      <c r="D59" s="319"/>
      <c r="E59" s="319"/>
    </row>
    <row r="60" spans="2:5" ht="15.75">
      <c r="B60" s="182" t="s">
        <v>762</v>
      </c>
      <c r="C60" s="435">
        <f>IF(C61*0.1&lt;C59,"Exceed 10% Rule","")</f>
      </c>
      <c r="D60" s="323">
        <f>IF(D61*0.1&lt;D59,"Exceed 10% Rule","")</f>
      </c>
      <c r="E60" s="323">
        <f>IF(E61*0.1&lt;E59,"Exceed 10% Rule","")</f>
      </c>
    </row>
    <row r="61" spans="2:5" ht="15.75">
      <c r="B61" s="275" t="s">
        <v>158</v>
      </c>
      <c r="C61" s="325">
        <f>SUM(C51:C59)</f>
        <v>0</v>
      </c>
      <c r="D61" s="325">
        <f>SUM(D51:D59)</f>
        <v>0</v>
      </c>
      <c r="E61" s="325">
        <f>SUM(E51:E59)</f>
        <v>0</v>
      </c>
    </row>
    <row r="62" spans="2:5" ht="15.75">
      <c r="B62" s="169" t="s">
        <v>255</v>
      </c>
      <c r="C62" s="97">
        <f>C49-C61</f>
        <v>0</v>
      </c>
      <c r="D62" s="97">
        <f>D49-D61</f>
        <v>0</v>
      </c>
      <c r="E62" s="97">
        <f>E49-E61</f>
        <v>0</v>
      </c>
    </row>
    <row r="63" spans="2:5" ht="15.75">
      <c r="B63" s="333" t="str">
        <f>CONCATENATE("",E1-2,"/",E1-1,"/",E1," Budget Authority Amount:")</f>
        <v>-2/-1/0 Budget Authority Amount:</v>
      </c>
      <c r="C63" s="404">
        <f>inputOth!B72</f>
        <v>0</v>
      </c>
      <c r="D63" s="404">
        <f>inputPrYr!D38</f>
        <v>0</v>
      </c>
      <c r="E63" s="722">
        <f>E61</f>
        <v>0</v>
      </c>
    </row>
    <row r="64" spans="2:5" ht="15.75">
      <c r="B64" s="200"/>
      <c r="C64" s="280">
        <f>IF(C61&gt;C63,"See Tab A","")</f>
      </c>
      <c r="D64" s="280">
        <f>IF(D61&gt;D63,"See Tab C","")</f>
      </c>
      <c r="E64" s="723">
        <f>IF(E62&lt;0,"See Tab E","")</f>
      </c>
    </row>
    <row r="65" spans="2:5" ht="15.75">
      <c r="B65" s="833" t="s">
        <v>1027</v>
      </c>
      <c r="C65" s="830">
        <f>IF(C62&lt;0,"See Tab B","")</f>
      </c>
      <c r="D65" s="830">
        <f>IF(D62&lt;0,"See Tab D","")</f>
      </c>
      <c r="E65" s="172"/>
    </row>
    <row r="66" spans="2:5" ht="15.75">
      <c r="B66" s="831"/>
      <c r="C66" s="832"/>
      <c r="D66" s="832"/>
      <c r="E66" s="159"/>
    </row>
    <row r="67" spans="2:5" ht="15.75">
      <c r="B67" s="183"/>
      <c r="C67" s="95"/>
      <c r="D67" s="95"/>
      <c r="E67" s="106"/>
    </row>
    <row r="68" spans="2:5" ht="15.75">
      <c r="B68" s="99"/>
      <c r="C68" s="99"/>
      <c r="D68" s="99"/>
      <c r="E68" s="99"/>
    </row>
    <row r="69" spans="2:5" ht="15.75">
      <c r="B69" s="200" t="s">
        <v>161</v>
      </c>
      <c r="C69" s="745"/>
      <c r="D69" s="74"/>
      <c r="E69" s="74"/>
    </row>
  </sheetData>
  <sheetProtection sheet="1"/>
  <conditionalFormatting sqref="C13">
    <cfRule type="cellIs" priority="4" dxfId="148" operator="greaterThan" stopIfTrue="1">
      <formula>$C$15*0.1</formula>
    </cfRule>
  </conditionalFormatting>
  <conditionalFormatting sqref="D13">
    <cfRule type="cellIs" priority="5" dxfId="148" operator="greaterThan" stopIfTrue="1">
      <formula>$D$15*0.1</formula>
    </cfRule>
  </conditionalFormatting>
  <conditionalFormatting sqref="E13">
    <cfRule type="cellIs" priority="6" dxfId="148" operator="greaterThan" stopIfTrue="1">
      <formula>$E$15*0.1</formula>
    </cfRule>
  </conditionalFormatting>
  <conditionalFormatting sqref="C46">
    <cfRule type="cellIs" priority="7" dxfId="148" operator="greaterThan" stopIfTrue="1">
      <formula>$C$48*0.1</formula>
    </cfRule>
  </conditionalFormatting>
  <conditionalFormatting sqref="D46">
    <cfRule type="cellIs" priority="8" dxfId="148" operator="greaterThan" stopIfTrue="1">
      <formula>$D$48*0.1</formula>
    </cfRule>
  </conditionalFormatting>
  <conditionalFormatting sqref="E46">
    <cfRule type="cellIs" priority="9" dxfId="148" operator="greaterThan" stopIfTrue="1">
      <formula>$E$48*0.1</formula>
    </cfRule>
  </conditionalFormatting>
  <conditionalFormatting sqref="C59">
    <cfRule type="cellIs" priority="10" dxfId="148" operator="greaterThan" stopIfTrue="1">
      <formula>$C$61*0.1</formula>
    </cfRule>
  </conditionalFormatting>
  <conditionalFormatting sqref="D59">
    <cfRule type="cellIs" priority="11" dxfId="148" operator="greaterThan" stopIfTrue="1">
      <formula>$D$61*0.1</formula>
    </cfRule>
  </conditionalFormatting>
  <conditionalFormatting sqref="E59">
    <cfRule type="cellIs" priority="12" dxfId="148" operator="greaterThan" stopIfTrue="1">
      <formula>$E$61*0.1</formula>
    </cfRule>
  </conditionalFormatting>
  <conditionalFormatting sqref="C28">
    <cfRule type="cellIs" priority="13" dxfId="148" operator="greaterThan" stopIfTrue="1">
      <formula>$C$30*0.1</formula>
    </cfRule>
  </conditionalFormatting>
  <conditionalFormatting sqref="D28">
    <cfRule type="cellIs" priority="14" dxfId="148" operator="greaterThan" stopIfTrue="1">
      <formula>$D$30*0.1</formula>
    </cfRule>
  </conditionalFormatting>
  <conditionalFormatting sqref="E28">
    <cfRule type="cellIs" priority="15" dxfId="148" operator="greaterThan" stopIfTrue="1">
      <formula>$E$30*0.1</formula>
    </cfRule>
  </conditionalFormatting>
  <conditionalFormatting sqref="C31 C62 E31 E62">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1">
    <cfRule type="cellIs" priority="18" dxfId="1" operator="greaterThan" stopIfTrue="1">
      <formula>$C$63</formula>
    </cfRule>
  </conditionalFormatting>
  <conditionalFormatting sqref="D61">
    <cfRule type="cellIs" priority="19" dxfId="1" operator="greaterThan" stopIfTrue="1">
      <formula>$D$63</formula>
    </cfRule>
  </conditionalFormatting>
  <conditionalFormatting sqref="D31">
    <cfRule type="cellIs" priority="3" dxfId="0" operator="lessThan" stopIfTrue="1">
      <formula>0</formula>
    </cfRule>
  </conditionalFormatting>
  <conditionalFormatting sqref="D62">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B1">
      <selection activeCell="B71" sqref="B71"/>
    </sheetView>
  </sheetViews>
  <sheetFormatPr defaultColWidth="8.796875" defaultRowHeight="15"/>
  <cols>
    <col min="1" max="1" width="2.3984375" style="75" customWidth="1"/>
    <col min="2" max="2" width="31.09765625" style="75" customWidth="1"/>
    <col min="3" max="4" width="15.796875" style="75" customWidth="1"/>
    <col min="5" max="5" width="16.296875" style="75" customWidth="1"/>
    <col min="6" max="16384" width="8.8984375" style="75" customWidth="1"/>
  </cols>
  <sheetData>
    <row r="1" spans="2:5" ht="15.75">
      <c r="B1" s="192">
        <f>(inputPrYr!D3)</f>
        <v>0</v>
      </c>
      <c r="C1" s="74"/>
      <c r="D1" s="74"/>
      <c r="E1" s="152">
        <f>inputPrYr!$C$6</f>
        <v>0</v>
      </c>
    </row>
    <row r="2" spans="2:5" ht="15.75">
      <c r="B2" s="74"/>
      <c r="C2" s="74"/>
      <c r="D2" s="74"/>
      <c r="E2" s="204"/>
    </row>
    <row r="3" spans="2:5" ht="15.75">
      <c r="B3" s="84" t="s">
        <v>209</v>
      </c>
      <c r="C3" s="316"/>
      <c r="D3" s="316"/>
      <c r="E3" s="317"/>
    </row>
    <row r="4" spans="2:5" ht="15.75">
      <c r="B4" s="77" t="s">
        <v>147</v>
      </c>
      <c r="C4" s="619" t="s">
        <v>789</v>
      </c>
      <c r="D4" s="165" t="s">
        <v>790</v>
      </c>
      <c r="E4" s="165" t="s">
        <v>791</v>
      </c>
    </row>
    <row r="5" spans="2:5" ht="15.75">
      <c r="B5" s="434">
        <f>(inputPrYr!B39)</f>
        <v>0</v>
      </c>
      <c r="C5" s="318" t="str">
        <f>CONCATENATE("Actual for ",E1-2,"")</f>
        <v>Actual for -2</v>
      </c>
      <c r="D5" s="318" t="str">
        <f>CONCATENATE("Estimate for ",E1-1,"")</f>
        <v>Estimate for -1</v>
      </c>
      <c r="E5" s="215">
        <f>E1</f>
        <v>0</v>
      </c>
    </row>
    <row r="6" spans="2:5" ht="15.75">
      <c r="B6" s="169" t="s">
        <v>254</v>
      </c>
      <c r="C6" s="90"/>
      <c r="D6" s="180">
        <f>C29</f>
        <v>0</v>
      </c>
      <c r="E6" s="180">
        <f>D29</f>
        <v>0</v>
      </c>
    </row>
    <row r="7" spans="2:5" ht="15.75">
      <c r="B7" s="264" t="s">
        <v>256</v>
      </c>
      <c r="C7" s="109"/>
      <c r="D7" s="109"/>
      <c r="E7" s="109"/>
    </row>
    <row r="8" spans="2:5" ht="15.75">
      <c r="B8" s="278"/>
      <c r="C8" s="320"/>
      <c r="D8" s="320"/>
      <c r="E8" s="320"/>
    </row>
    <row r="9" spans="2:5" ht="15.75">
      <c r="B9" s="278"/>
      <c r="C9" s="320"/>
      <c r="D9" s="320"/>
      <c r="E9" s="320"/>
    </row>
    <row r="10" spans="2:5" ht="15.75">
      <c r="B10" s="321"/>
      <c r="C10" s="127"/>
      <c r="D10" s="127"/>
      <c r="E10" s="127"/>
    </row>
    <row r="11" spans="2:5" ht="15.75">
      <c r="B11" s="278"/>
      <c r="C11" s="320"/>
      <c r="D11" s="320"/>
      <c r="E11" s="320"/>
    </row>
    <row r="12" spans="2:5" ht="15.75">
      <c r="B12" s="322" t="s">
        <v>154</v>
      </c>
      <c r="C12" s="320"/>
      <c r="D12" s="320"/>
      <c r="E12" s="320"/>
    </row>
    <row r="13" spans="2:5" ht="15.75">
      <c r="B13" s="326" t="s">
        <v>244</v>
      </c>
      <c r="C13" s="320"/>
      <c r="D13" s="320"/>
      <c r="E13" s="320"/>
    </row>
    <row r="14" spans="2:5" ht="15.75">
      <c r="B14" s="326" t="s">
        <v>763</v>
      </c>
      <c r="C14" s="435">
        <f>IF(C15*0.1&lt;C13,"Exceed 10% Rule","")</f>
      </c>
      <c r="D14" s="323">
        <f>IF(D15*0.1&lt;D13,"Exceed 10% Rule","")</f>
      </c>
      <c r="E14" s="323">
        <f>IF(E15*0.1&lt;E13,"Exceed 10% Rule","")</f>
      </c>
    </row>
    <row r="15" spans="2:5" ht="15.75">
      <c r="B15" s="275" t="s">
        <v>155</v>
      </c>
      <c r="C15" s="325">
        <f>SUM(C8:C13)</f>
        <v>0</v>
      </c>
      <c r="D15" s="325">
        <f>SUM(D8:D13)</f>
        <v>0</v>
      </c>
      <c r="E15" s="325">
        <f>SUM(E8:E13)</f>
        <v>0</v>
      </c>
    </row>
    <row r="16" spans="2:5" ht="15.75">
      <c r="B16" s="275" t="s">
        <v>156</v>
      </c>
      <c r="C16" s="325">
        <f>C6+C15</f>
        <v>0</v>
      </c>
      <c r="D16" s="325">
        <f>D6+D15</f>
        <v>0</v>
      </c>
      <c r="E16" s="325">
        <f>E6+E15</f>
        <v>0</v>
      </c>
    </row>
    <row r="17" spans="2:5" ht="15.75">
      <c r="B17" s="169" t="s">
        <v>157</v>
      </c>
      <c r="C17" s="109"/>
      <c r="D17" s="109"/>
      <c r="E17" s="109"/>
    </row>
    <row r="18" spans="2:5" ht="15.75">
      <c r="B18" s="278" t="s">
        <v>266</v>
      </c>
      <c r="C18" s="320"/>
      <c r="D18" s="320"/>
      <c r="E18" s="320"/>
    </row>
    <row r="19" spans="2:5" ht="15.75">
      <c r="B19" s="278" t="s">
        <v>269</v>
      </c>
      <c r="C19" s="320"/>
      <c r="D19" s="320"/>
      <c r="E19" s="320"/>
    </row>
    <row r="20" spans="2:5" ht="15.75">
      <c r="B20" s="278"/>
      <c r="C20" s="127"/>
      <c r="D20" s="127"/>
      <c r="E20" s="127"/>
    </row>
    <row r="21" spans="2:5" ht="15.75">
      <c r="B21" s="278"/>
      <c r="C21" s="320"/>
      <c r="D21" s="320"/>
      <c r="E21" s="320"/>
    </row>
    <row r="22" spans="2:5" ht="15.75">
      <c r="B22" s="278"/>
      <c r="C22" s="320"/>
      <c r="D22" s="320"/>
      <c r="E22" s="320"/>
    </row>
    <row r="23" spans="2:5" ht="15.75">
      <c r="B23" s="278"/>
      <c r="C23" s="320"/>
      <c r="D23" s="320"/>
      <c r="E23" s="320"/>
    </row>
    <row r="24" spans="2:5" ht="15.75">
      <c r="B24" s="278"/>
      <c r="C24" s="320"/>
      <c r="D24" s="320"/>
      <c r="E24" s="320"/>
    </row>
    <row r="25" spans="2:5" ht="15.75">
      <c r="B25" s="182" t="str">
        <f>CONCATENATE("Cash Forward (",E1," column)")</f>
        <v>Cash Forward (0 column)</v>
      </c>
      <c r="C25" s="320"/>
      <c r="D25" s="320"/>
      <c r="E25" s="320"/>
    </row>
    <row r="26" spans="2:5" ht="15.75">
      <c r="B26" s="182" t="s">
        <v>244</v>
      </c>
      <c r="C26" s="320"/>
      <c r="D26" s="320"/>
      <c r="E26" s="320"/>
    </row>
    <row r="27" spans="2:5" ht="15.75">
      <c r="B27" s="182" t="s">
        <v>762</v>
      </c>
      <c r="C27" s="435">
        <f>IF(C28*0.1&lt;C26,"Exceed 10% Rule","")</f>
      </c>
      <c r="D27" s="323">
        <f>IF(D28*0.1&lt;D26,"Exceed 10% Rule","")</f>
      </c>
      <c r="E27" s="323">
        <f>IF(E28*0.1&lt;E26,"Exceed 10% Rule","")</f>
      </c>
    </row>
    <row r="28" spans="2:5" ht="15.75">
      <c r="B28" s="275" t="s">
        <v>158</v>
      </c>
      <c r="C28" s="325">
        <f>SUM(C18:C26)</f>
        <v>0</v>
      </c>
      <c r="D28" s="325">
        <f>SUM(D18:D26)</f>
        <v>0</v>
      </c>
      <c r="E28" s="325">
        <f>SUM(E18:E26)</f>
        <v>0</v>
      </c>
    </row>
    <row r="29" spans="2:5" ht="15.75">
      <c r="B29" s="169" t="s">
        <v>255</v>
      </c>
      <c r="C29" s="97">
        <f>C16-C28</f>
        <v>0</v>
      </c>
      <c r="D29" s="97">
        <f>D16-D28</f>
        <v>0</v>
      </c>
      <c r="E29" s="97">
        <f>E16-E28</f>
        <v>0</v>
      </c>
    </row>
    <row r="30" spans="2:5" ht="15.75">
      <c r="B30" s="333" t="str">
        <f>CONCATENATE("",E1-2,"/",E1-1,"/",E1," Budget Authority Amount:")</f>
        <v>-2/-1/0 Budget Authority Amount:</v>
      </c>
      <c r="C30" s="404">
        <f>inputOth!B73</f>
        <v>0</v>
      </c>
      <c r="D30" s="404">
        <f>inputPrYr!D39</f>
        <v>0</v>
      </c>
      <c r="E30" s="722">
        <f>E28</f>
        <v>0</v>
      </c>
    </row>
    <row r="31" spans="2:5" ht="15.75">
      <c r="B31" s="200"/>
      <c r="C31" s="280">
        <f>IF(C28&gt;C30,"See Tab A","")</f>
      </c>
      <c r="D31" s="280">
        <f>IF(D28&gt;D30,"See Tab C","")</f>
      </c>
      <c r="E31" s="723">
        <f>IF(E29&lt;0,"See Tab E","")</f>
      </c>
    </row>
    <row r="32" spans="2:5" ht="15.75">
      <c r="B32" s="200"/>
      <c r="C32" s="280">
        <f>IF(C29&lt;0,"See Tab B","")</f>
      </c>
      <c r="D32" s="280">
        <f>IF(D29&lt;0,"See Tab D","")</f>
      </c>
      <c r="E32" s="198"/>
    </row>
    <row r="33" spans="2:5" ht="15.75">
      <c r="B33" s="74"/>
      <c r="C33" s="198"/>
      <c r="D33" s="198"/>
      <c r="E33" s="198"/>
    </row>
    <row r="34" spans="2:5" ht="15.75">
      <c r="B34" s="74"/>
      <c r="C34" s="198"/>
      <c r="D34" s="198"/>
      <c r="E34" s="198"/>
    </row>
    <row r="35" spans="2:5" ht="15.75">
      <c r="B35" s="77" t="s">
        <v>147</v>
      </c>
      <c r="C35" s="619" t="s">
        <v>789</v>
      </c>
      <c r="D35" s="165" t="s">
        <v>790</v>
      </c>
      <c r="E35" s="165" t="s">
        <v>791</v>
      </c>
    </row>
    <row r="36" spans="2:5" ht="15.75">
      <c r="B36" s="433">
        <f>(inputPrYr!B40)</f>
        <v>0</v>
      </c>
      <c r="C36" s="318" t="str">
        <f>C5</f>
        <v>Actual for -2</v>
      </c>
      <c r="D36" s="318" t="str">
        <f>D5</f>
        <v>Estimate for -1</v>
      </c>
      <c r="E36" s="215">
        <f>E5</f>
        <v>0</v>
      </c>
    </row>
    <row r="37" spans="2:5" ht="15.75">
      <c r="B37" s="169" t="s">
        <v>254</v>
      </c>
      <c r="C37" s="90"/>
      <c r="D37" s="180">
        <f>C61</f>
        <v>0</v>
      </c>
      <c r="E37" s="180">
        <f>D61</f>
        <v>0</v>
      </c>
    </row>
    <row r="38" spans="2:5" ht="15.75">
      <c r="B38" s="169" t="s">
        <v>256</v>
      </c>
      <c r="C38" s="109"/>
      <c r="D38" s="109"/>
      <c r="E38" s="109"/>
    </row>
    <row r="39" spans="2:5" ht="15.75">
      <c r="B39" s="278"/>
      <c r="C39" s="320"/>
      <c r="D39" s="320"/>
      <c r="E39" s="320"/>
    </row>
    <row r="40" spans="2:5" ht="15.75">
      <c r="B40" s="278"/>
      <c r="C40" s="320"/>
      <c r="D40" s="320"/>
      <c r="E40" s="320"/>
    </row>
    <row r="41" spans="2:5" ht="15.75">
      <c r="B41" s="321"/>
      <c r="C41" s="127"/>
      <c r="D41" s="127"/>
      <c r="E41" s="127"/>
    </row>
    <row r="42" spans="2:5" ht="15.75">
      <c r="B42" s="278"/>
      <c r="C42" s="320"/>
      <c r="D42" s="320"/>
      <c r="E42" s="320"/>
    </row>
    <row r="43" spans="2:5" ht="15.75">
      <c r="B43" s="322" t="s">
        <v>154</v>
      </c>
      <c r="C43" s="320"/>
      <c r="D43" s="320"/>
      <c r="E43" s="320"/>
    </row>
    <row r="44" spans="2:5" ht="15.75">
      <c r="B44" s="326" t="s">
        <v>244</v>
      </c>
      <c r="C44" s="320"/>
      <c r="D44" s="320"/>
      <c r="E44" s="320"/>
    </row>
    <row r="45" spans="2:5" ht="15.75">
      <c r="B45" s="326" t="s">
        <v>619</v>
      </c>
      <c r="C45" s="435">
        <f>IF(C46*0.1&lt;C44,"Exceed 10% Rule","")</f>
      </c>
      <c r="D45" s="323">
        <f>IF(D46*0.1&lt;D44,"Exceed 10% Rule","")</f>
      </c>
      <c r="E45" s="323">
        <f>IF(E46*0.1&lt;E44,"Exceed 10% Rule","")</f>
      </c>
    </row>
    <row r="46" spans="2:5" ht="15.75">
      <c r="B46" s="275" t="s">
        <v>155</v>
      </c>
      <c r="C46" s="325">
        <f>SUM(C39:C44)</f>
        <v>0</v>
      </c>
      <c r="D46" s="325">
        <f>SUM(D39:D44)</f>
        <v>0</v>
      </c>
      <c r="E46" s="325">
        <f>SUM(E39:E44)</f>
        <v>0</v>
      </c>
    </row>
    <row r="47" spans="2:5" ht="15.75">
      <c r="B47" s="275" t="s">
        <v>156</v>
      </c>
      <c r="C47" s="325">
        <f>C37+C46</f>
        <v>0</v>
      </c>
      <c r="D47" s="325">
        <f>D37+D46</f>
        <v>0</v>
      </c>
      <c r="E47" s="325">
        <f>E37+E46</f>
        <v>0</v>
      </c>
    </row>
    <row r="48" spans="2:5" ht="15.75">
      <c r="B48" s="169" t="s">
        <v>157</v>
      </c>
      <c r="C48" s="109"/>
      <c r="D48" s="109"/>
      <c r="E48" s="109"/>
    </row>
    <row r="49" spans="2:5" ht="15.75">
      <c r="B49" s="278" t="s">
        <v>266</v>
      </c>
      <c r="C49" s="320"/>
      <c r="D49" s="320"/>
      <c r="E49" s="320"/>
    </row>
    <row r="50" spans="2:5" ht="15.75">
      <c r="B50" s="278" t="s">
        <v>267</v>
      </c>
      <c r="C50" s="320"/>
      <c r="D50" s="320"/>
      <c r="E50" s="320"/>
    </row>
    <row r="51" spans="2:5" ht="15.75">
      <c r="B51" s="278"/>
      <c r="C51" s="320"/>
      <c r="D51" s="320"/>
      <c r="E51" s="320"/>
    </row>
    <row r="52" spans="2:5" ht="15.75">
      <c r="B52" s="278"/>
      <c r="C52" s="320"/>
      <c r="D52" s="320"/>
      <c r="E52" s="320"/>
    </row>
    <row r="53" spans="2:5" ht="15.75">
      <c r="B53" s="278"/>
      <c r="C53" s="320"/>
      <c r="D53" s="320"/>
      <c r="E53" s="320"/>
    </row>
    <row r="54" spans="2:5" ht="15.75">
      <c r="B54" s="278"/>
      <c r="C54" s="320"/>
      <c r="D54" s="320"/>
      <c r="E54" s="320"/>
    </row>
    <row r="55" spans="2:5" ht="15.75">
      <c r="B55" s="278"/>
      <c r="C55" s="127"/>
      <c r="D55" s="127"/>
      <c r="E55" s="127"/>
    </row>
    <row r="56" spans="2:5" ht="15.75">
      <c r="B56" s="278"/>
      <c r="C56" s="320"/>
      <c r="D56" s="127"/>
      <c r="E56" s="127"/>
    </row>
    <row r="57" spans="2:5" ht="15.75">
      <c r="B57" s="182" t="str">
        <f>CONCATENATE("Cash Forward (",E1," column)")</f>
        <v>Cash Forward (0 column)</v>
      </c>
      <c r="C57" s="320"/>
      <c r="D57" s="127"/>
      <c r="E57" s="127"/>
    </row>
    <row r="58" spans="2:5" ht="15.75">
      <c r="B58" s="182" t="s">
        <v>244</v>
      </c>
      <c r="C58" s="320"/>
      <c r="D58" s="127"/>
      <c r="E58" s="127"/>
    </row>
    <row r="59" spans="2:5" ht="15.75">
      <c r="B59" s="182" t="s">
        <v>618</v>
      </c>
      <c r="C59" s="435">
        <f>IF(C60*0.1&lt;C58,"Exceed 10% Rule","")</f>
      </c>
      <c r="D59" s="323">
        <f>IF(D60*0.1&lt;D58,"Exceed 10% Rule","")</f>
      </c>
      <c r="E59" s="323">
        <f>IF(E60*0.1&lt;E58,"Exceed 10% Rule","")</f>
      </c>
    </row>
    <row r="60" spans="2:5" ht="15.75">
      <c r="B60" s="275" t="s">
        <v>158</v>
      </c>
      <c r="C60" s="325">
        <f>SUM(C49:C58)</f>
        <v>0</v>
      </c>
      <c r="D60" s="325">
        <f>SUM(D49:D58)</f>
        <v>0</v>
      </c>
      <c r="E60" s="325">
        <f>SUM(E49:E58)</f>
        <v>0</v>
      </c>
    </row>
    <row r="61" spans="2:5" ht="15.75">
      <c r="B61" s="169" t="s">
        <v>255</v>
      </c>
      <c r="C61" s="97">
        <f>C47-C60</f>
        <v>0</v>
      </c>
      <c r="D61" s="97">
        <f>D47-D60</f>
        <v>0</v>
      </c>
      <c r="E61" s="97">
        <f>E47-E60</f>
        <v>0</v>
      </c>
    </row>
    <row r="62" spans="2:5" ht="15.75">
      <c r="B62" s="333" t="str">
        <f>CONCATENATE("",E1-2,"/",E1-1,"/",E1," Budget Authority Amount:")</f>
        <v>-2/-1/0 Budget Authority Amount:</v>
      </c>
      <c r="C62" s="404">
        <f>inputOth!B74</f>
        <v>0</v>
      </c>
      <c r="D62" s="404">
        <f>inputPrYr!D40</f>
        <v>0</v>
      </c>
      <c r="E62" s="722">
        <f>E60</f>
        <v>0</v>
      </c>
    </row>
    <row r="63" spans="2:5" ht="15.75">
      <c r="B63" s="200"/>
      <c r="C63" s="280">
        <f>IF(C60&gt;C62,"See Tab A","")</f>
      </c>
      <c r="D63" s="280">
        <f>IF(D60&gt;D62,"See Tab C","")</f>
      </c>
      <c r="E63" s="723">
        <f>IF(E61&lt;0,"See Tab E","")</f>
      </c>
    </row>
    <row r="64" spans="2:5" ht="15.75">
      <c r="B64" s="833" t="s">
        <v>1027</v>
      </c>
      <c r="C64" s="830">
        <f>IF(C61&lt;0,"See Tab B","")</f>
      </c>
      <c r="D64" s="830">
        <f>IF(D61&lt;0,"See Tab D","")</f>
      </c>
      <c r="E64" s="172"/>
    </row>
    <row r="65" spans="2:5" ht="15.75">
      <c r="B65" s="831"/>
      <c r="C65" s="832"/>
      <c r="D65" s="832"/>
      <c r="E65" s="159"/>
    </row>
    <row r="66" spans="2:5" ht="15.75">
      <c r="B66" s="834"/>
      <c r="C66" s="835"/>
      <c r="D66" s="835"/>
      <c r="E66" s="106"/>
    </row>
    <row r="67" spans="2:5" ht="15.75">
      <c r="B67" s="74"/>
      <c r="C67" s="74"/>
      <c r="D67" s="74"/>
      <c r="E67" s="74"/>
    </row>
    <row r="68" spans="2:5" ht="15.75">
      <c r="B68" s="200" t="s">
        <v>161</v>
      </c>
      <c r="C68" s="745"/>
      <c r="D68" s="74"/>
      <c r="E68" s="74"/>
    </row>
  </sheetData>
  <sheetProtection sheet="1"/>
  <conditionalFormatting sqref="C44">
    <cfRule type="cellIs" priority="3" dxfId="148" operator="greaterThan" stopIfTrue="1">
      <formula>$C$46*0.1</formula>
    </cfRule>
  </conditionalFormatting>
  <conditionalFormatting sqref="D44">
    <cfRule type="cellIs" priority="4" dxfId="148" operator="greaterThan" stopIfTrue="1">
      <formula>$D$46*0.1</formula>
    </cfRule>
  </conditionalFormatting>
  <conditionalFormatting sqref="E44">
    <cfRule type="cellIs" priority="5" dxfId="148" operator="greaterThan" stopIfTrue="1">
      <formula>$E$46*0.1</formula>
    </cfRule>
  </conditionalFormatting>
  <conditionalFormatting sqref="C13">
    <cfRule type="cellIs" priority="6" dxfId="148" operator="greaterThan" stopIfTrue="1">
      <formula>$C$15*0.1</formula>
    </cfRule>
  </conditionalFormatting>
  <conditionalFormatting sqref="D13">
    <cfRule type="cellIs" priority="7" dxfId="148" operator="greaterThan" stopIfTrue="1">
      <formula>$D$15*0.1</formula>
    </cfRule>
  </conditionalFormatting>
  <conditionalFormatting sqref="E13">
    <cfRule type="cellIs" priority="8" dxfId="148" operator="greaterThan" stopIfTrue="1">
      <formula>$E$15*0.1</formula>
    </cfRule>
  </conditionalFormatting>
  <conditionalFormatting sqref="C26">
    <cfRule type="cellIs" priority="9" dxfId="148" operator="greaterThan" stopIfTrue="1">
      <formula>$C$28*0.1</formula>
    </cfRule>
  </conditionalFormatting>
  <conditionalFormatting sqref="D26">
    <cfRule type="cellIs" priority="10" dxfId="148" operator="greaterThan" stopIfTrue="1">
      <formula>$D$28*0.1</formula>
    </cfRule>
  </conditionalFormatting>
  <conditionalFormatting sqref="E26">
    <cfRule type="cellIs" priority="11" dxfId="148" operator="greaterThan" stopIfTrue="1">
      <formula>$E$28*0.1</formula>
    </cfRule>
  </conditionalFormatting>
  <conditionalFormatting sqref="C58">
    <cfRule type="cellIs" priority="12" dxfId="148" operator="greaterThan" stopIfTrue="1">
      <formula>$C$60*0.1</formula>
    </cfRule>
  </conditionalFormatting>
  <conditionalFormatting sqref="D58">
    <cfRule type="cellIs" priority="13" dxfId="148" operator="greaterThan" stopIfTrue="1">
      <formula>$D$60*0.1</formula>
    </cfRule>
  </conditionalFormatting>
  <conditionalFormatting sqref="E58">
    <cfRule type="cellIs" priority="14" dxfId="148" operator="greaterThan" stopIfTrue="1">
      <formula>$E$60*0.1</formula>
    </cfRule>
  </conditionalFormatting>
  <conditionalFormatting sqref="C29 E29 E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C61">
    <cfRule type="cellIs" priority="18" dxfId="1" operator="lessThan" stopIfTrue="1">
      <formula>0</formula>
    </cfRule>
  </conditionalFormatting>
  <conditionalFormatting sqref="C60">
    <cfRule type="cellIs" priority="19" dxfId="1" operator="greaterThan" stopIfTrue="1">
      <formula>$C$62</formula>
    </cfRule>
  </conditionalFormatting>
  <conditionalFormatting sqref="D60">
    <cfRule type="cellIs" priority="20" dxfId="1" operator="greaterThan" stopIfTrue="1">
      <formula>$D$62</formula>
    </cfRule>
  </conditionalFormatting>
  <conditionalFormatting sqref="D29">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B62" sqref="B62"/>
    </sheetView>
  </sheetViews>
  <sheetFormatPr defaultColWidth="8.796875" defaultRowHeight="15"/>
  <cols>
    <col min="1" max="1" width="2.3984375" style="122" customWidth="1"/>
    <col min="2" max="2" width="31.09765625" style="122" customWidth="1"/>
    <col min="3" max="4" width="15.796875" style="122" customWidth="1"/>
    <col min="5" max="5" width="16.09765625" style="122" customWidth="1"/>
    <col min="6" max="16384" width="8.8984375" style="122" customWidth="1"/>
  </cols>
  <sheetData>
    <row r="1" spans="2:5" ht="15.75">
      <c r="B1" s="192">
        <f>(inputPrYr!D3)</f>
        <v>0</v>
      </c>
      <c r="C1" s="74"/>
      <c r="D1" s="74"/>
      <c r="E1" s="152">
        <f>inputPrYr!$C$6</f>
        <v>0</v>
      </c>
    </row>
    <row r="2" spans="2:5" ht="15.75">
      <c r="B2" s="74"/>
      <c r="C2" s="74"/>
      <c r="D2" s="74"/>
      <c r="E2" s="204"/>
    </row>
    <row r="3" spans="2:5" ht="15.75">
      <c r="B3" s="84" t="s">
        <v>209</v>
      </c>
      <c r="C3" s="316"/>
      <c r="D3" s="316"/>
      <c r="E3" s="317"/>
    </row>
    <row r="4" spans="2:5" ht="15.75">
      <c r="B4" s="77" t="s">
        <v>147</v>
      </c>
      <c r="C4" s="567" t="s">
        <v>167</v>
      </c>
      <c r="D4" s="568" t="s">
        <v>276</v>
      </c>
      <c r="E4" s="568" t="s">
        <v>277</v>
      </c>
    </row>
    <row r="5" spans="2:5" ht="15.75">
      <c r="B5" s="186">
        <f>(inputPrYr!B42)</f>
        <v>0</v>
      </c>
      <c r="C5" s="318">
        <f>inputPrYr!$C$6-2</f>
        <v>-2</v>
      </c>
      <c r="D5" s="318">
        <f>inputPrYr!$C$6-1</f>
        <v>-1</v>
      </c>
      <c r="E5" s="215">
        <f>inputPrYr!$C$6</f>
        <v>0</v>
      </c>
    </row>
    <row r="6" spans="2:5" ht="15.75">
      <c r="B6" s="169" t="s">
        <v>254</v>
      </c>
      <c r="C6" s="90"/>
      <c r="D6" s="180">
        <f>C50</f>
        <v>0</v>
      </c>
      <c r="E6" s="180">
        <f>D50</f>
        <v>0</v>
      </c>
    </row>
    <row r="7" spans="2:5" ht="15.75">
      <c r="B7" s="264" t="s">
        <v>256</v>
      </c>
      <c r="C7" s="109"/>
      <c r="D7" s="109"/>
      <c r="E7" s="109"/>
    </row>
    <row r="8" spans="2:5" ht="15.75">
      <c r="B8" s="278"/>
      <c r="C8" s="320"/>
      <c r="D8" s="320"/>
      <c r="E8" s="320"/>
    </row>
    <row r="9" spans="2:5" ht="15.75">
      <c r="B9" s="278"/>
      <c r="C9" s="320"/>
      <c r="D9" s="320"/>
      <c r="E9" s="320"/>
    </row>
    <row r="10" spans="2:5" ht="15.75">
      <c r="B10" s="278"/>
      <c r="C10" s="320"/>
      <c r="D10" s="320"/>
      <c r="E10" s="320"/>
    </row>
    <row r="11" spans="2:5" ht="15.75">
      <c r="B11" s="278"/>
      <c r="C11" s="320"/>
      <c r="D11" s="320"/>
      <c r="E11" s="320"/>
    </row>
    <row r="12" spans="2:5" ht="15.75">
      <c r="B12" s="278"/>
      <c r="C12" s="320"/>
      <c r="D12" s="320"/>
      <c r="E12" s="320"/>
    </row>
    <row r="13" spans="2:5" ht="15.75">
      <c r="B13" s="278"/>
      <c r="C13" s="320"/>
      <c r="D13" s="320"/>
      <c r="E13" s="320"/>
    </row>
    <row r="14" spans="2:5" ht="15.75">
      <c r="B14" s="321"/>
      <c r="C14" s="127"/>
      <c r="D14" s="127"/>
      <c r="E14" s="127"/>
    </row>
    <row r="15" spans="2:5" ht="15.75">
      <c r="B15" s="278"/>
      <c r="C15" s="320"/>
      <c r="D15" s="320"/>
      <c r="E15" s="320"/>
    </row>
    <row r="16" spans="2:5" ht="15.75">
      <c r="B16" s="278"/>
      <c r="C16" s="320"/>
      <c r="D16" s="320"/>
      <c r="E16" s="320"/>
    </row>
    <row r="17" spans="2:5" ht="15.75">
      <c r="B17" s="278"/>
      <c r="C17" s="320"/>
      <c r="D17" s="320"/>
      <c r="E17" s="320"/>
    </row>
    <row r="18" spans="2:5" ht="15.75">
      <c r="B18" s="322" t="s">
        <v>154</v>
      </c>
      <c r="C18" s="320"/>
      <c r="D18" s="320"/>
      <c r="E18" s="320"/>
    </row>
    <row r="19" spans="2:5" ht="15.75">
      <c r="B19" s="169" t="s">
        <v>244</v>
      </c>
      <c r="C19" s="320"/>
      <c r="D19" s="320"/>
      <c r="E19" s="320"/>
    </row>
    <row r="20" spans="2:5" ht="15.75">
      <c r="B20" s="169" t="s">
        <v>763</v>
      </c>
      <c r="C20" s="435">
        <f>IF(C21*0.1&lt;C19,"Exceed 10% Rule","")</f>
      </c>
      <c r="D20" s="323">
        <f>IF(D21*0.1&lt;D19,"Exceed 10% Rule","")</f>
      </c>
      <c r="E20" s="323">
        <f>IF(E21*0.1&lt;E19,"Exceed 10% Rule","")</f>
      </c>
    </row>
    <row r="21" spans="2:5" ht="15.75">
      <c r="B21" s="275" t="s">
        <v>155</v>
      </c>
      <c r="C21" s="325">
        <f>SUM(C8:C19)</f>
        <v>0</v>
      </c>
      <c r="D21" s="325">
        <f>SUM(D8:D19)</f>
        <v>0</v>
      </c>
      <c r="E21" s="325">
        <f>SUM(E8:E19)</f>
        <v>0</v>
      </c>
    </row>
    <row r="22" spans="2:5" ht="15.75">
      <c r="B22" s="275" t="s">
        <v>156</v>
      </c>
      <c r="C22" s="325">
        <f>C6+C21</f>
        <v>0</v>
      </c>
      <c r="D22" s="325">
        <f>D6+D21</f>
        <v>0</v>
      </c>
      <c r="E22" s="325">
        <f>E6+E21</f>
        <v>0</v>
      </c>
    </row>
    <row r="23" spans="2:5" ht="15.75">
      <c r="B23" s="169" t="s">
        <v>157</v>
      </c>
      <c r="C23" s="109"/>
      <c r="D23" s="109"/>
      <c r="E23" s="109"/>
    </row>
    <row r="24" spans="2:5" ht="15.75">
      <c r="B24" s="278" t="s">
        <v>266</v>
      </c>
      <c r="C24" s="320"/>
      <c r="D24" s="320"/>
      <c r="E24" s="320"/>
    </row>
    <row r="25" spans="2:5" ht="15.75">
      <c r="B25" s="278" t="s">
        <v>269</v>
      </c>
      <c r="C25" s="320"/>
      <c r="D25" s="320"/>
      <c r="E25" s="320"/>
    </row>
    <row r="26" spans="2:5" ht="15.75">
      <c r="B26" s="278"/>
      <c r="C26" s="127"/>
      <c r="D26" s="127"/>
      <c r="E26" s="127"/>
    </row>
    <row r="27" spans="2:5" ht="15.75">
      <c r="B27" s="278"/>
      <c r="C27" s="127"/>
      <c r="D27" s="127"/>
      <c r="E27" s="127"/>
    </row>
    <row r="28" spans="2:5" ht="15.75">
      <c r="B28" s="278"/>
      <c r="C28" s="127"/>
      <c r="D28" s="127"/>
      <c r="E28" s="127"/>
    </row>
    <row r="29" spans="2:5" ht="15.75">
      <c r="B29" s="278"/>
      <c r="C29" s="127"/>
      <c r="D29" s="127"/>
      <c r="E29" s="127"/>
    </row>
    <row r="30" spans="2:5" ht="15.75">
      <c r="B30" s="278"/>
      <c r="C30" s="127"/>
      <c r="D30" s="127"/>
      <c r="E30" s="127"/>
    </row>
    <row r="31" spans="2:5" ht="15.75">
      <c r="B31" s="278"/>
      <c r="C31" s="127"/>
      <c r="D31" s="127"/>
      <c r="E31" s="127"/>
    </row>
    <row r="32" spans="2:5" ht="15.75">
      <c r="B32" s="278"/>
      <c r="C32" s="127"/>
      <c r="D32" s="127"/>
      <c r="E32" s="127"/>
    </row>
    <row r="33" spans="2:5" ht="15.75">
      <c r="B33" s="278"/>
      <c r="C33" s="127"/>
      <c r="D33" s="127"/>
      <c r="E33" s="127"/>
    </row>
    <row r="34" spans="2:5" ht="15.75">
      <c r="B34" s="278"/>
      <c r="C34" s="127"/>
      <c r="D34" s="127"/>
      <c r="E34" s="127"/>
    </row>
    <row r="35" spans="2:5" ht="15.75">
      <c r="B35" s="278"/>
      <c r="C35" s="320"/>
      <c r="D35" s="320"/>
      <c r="E35" s="320"/>
    </row>
    <row r="36" spans="2:5" ht="15.75">
      <c r="B36" s="278"/>
      <c r="C36" s="320"/>
      <c r="D36" s="320"/>
      <c r="E36" s="320"/>
    </row>
    <row r="37" spans="2:5" ht="15.75">
      <c r="B37" s="278"/>
      <c r="C37" s="320"/>
      <c r="D37" s="320"/>
      <c r="E37" s="320"/>
    </row>
    <row r="38" spans="2:5" ht="15.75">
      <c r="B38" s="278"/>
      <c r="C38" s="320"/>
      <c r="D38" s="320"/>
      <c r="E38" s="320"/>
    </row>
    <row r="39" spans="2:5" ht="15.75">
      <c r="B39" s="278"/>
      <c r="C39" s="320"/>
      <c r="D39" s="320"/>
      <c r="E39" s="320"/>
    </row>
    <row r="40" spans="2:5" ht="15.75">
      <c r="B40" s="278"/>
      <c r="C40" s="320"/>
      <c r="D40" s="320"/>
      <c r="E40" s="320"/>
    </row>
    <row r="41" spans="2:5" ht="15.75">
      <c r="B41" s="278"/>
      <c r="C41" s="320"/>
      <c r="D41" s="320"/>
      <c r="E41" s="320"/>
    </row>
    <row r="42" spans="2:5" ht="15.75">
      <c r="B42" s="278"/>
      <c r="C42" s="320"/>
      <c r="D42" s="320"/>
      <c r="E42" s="320"/>
    </row>
    <row r="43" spans="2:5" ht="15.75">
      <c r="B43" s="278"/>
      <c r="C43" s="320"/>
      <c r="D43" s="320"/>
      <c r="E43" s="320"/>
    </row>
    <row r="44" spans="2:5" ht="15.75">
      <c r="B44" s="278"/>
      <c r="C44" s="320"/>
      <c r="D44" s="320"/>
      <c r="E44" s="320"/>
    </row>
    <row r="45" spans="2:5" ht="15.75">
      <c r="B45" s="278"/>
      <c r="C45" s="320"/>
      <c r="D45" s="320"/>
      <c r="E45" s="320"/>
    </row>
    <row r="46" spans="2:5" ht="15.75">
      <c r="B46" s="182" t="str">
        <f>CONCATENATE("Cash Forward (",E1," column)")</f>
        <v>Cash Forward (0 column)</v>
      </c>
      <c r="C46" s="320"/>
      <c r="D46" s="320"/>
      <c r="E46" s="320"/>
    </row>
    <row r="47" spans="2:5" ht="15.75">
      <c r="B47" s="182" t="s">
        <v>244</v>
      </c>
      <c r="C47" s="320"/>
      <c r="D47" s="320"/>
      <c r="E47" s="320"/>
    </row>
    <row r="48" spans="2:5" ht="15.75">
      <c r="B48" s="182" t="s">
        <v>762</v>
      </c>
      <c r="C48" s="435">
        <f>IF(C49*0.1&lt;C47,"Exceed 10% Rule","")</f>
      </c>
      <c r="D48" s="323">
        <f>IF(D49*0.1&lt;D47,"Exceed 10% Rule","")</f>
      </c>
      <c r="E48" s="323">
        <f>IF(E49*0.1&lt;E47,"Exceed 10% Rule","")</f>
      </c>
    </row>
    <row r="49" spans="2:5" ht="15.75">
      <c r="B49" s="275" t="s">
        <v>158</v>
      </c>
      <c r="C49" s="325">
        <f>SUM(C24:C47)</f>
        <v>0</v>
      </c>
      <c r="D49" s="325">
        <f>SUM(D24:D47)</f>
        <v>0</v>
      </c>
      <c r="E49" s="325">
        <f>SUM(E24:E47)</f>
        <v>0</v>
      </c>
    </row>
    <row r="50" spans="2:5" ht="15.75">
      <c r="B50" s="169" t="s">
        <v>255</v>
      </c>
      <c r="C50" s="97">
        <f>C22-C49</f>
        <v>0</v>
      </c>
      <c r="D50" s="97">
        <f>D22-D49</f>
        <v>0</v>
      </c>
      <c r="E50" s="97">
        <f>E22-E49</f>
        <v>0</v>
      </c>
    </row>
    <row r="51" spans="2:5" ht="15.75">
      <c r="B51" s="333" t="str">
        <f>CONCATENATE("",E1-2,"/",E1-1,"/",E1," Budget Authority Amount:")</f>
        <v>-2/-1/0 Budget Authority Amount:</v>
      </c>
      <c r="C51" s="404">
        <f>inputOth!B75</f>
        <v>0</v>
      </c>
      <c r="D51" s="404">
        <f>inputPrYr!D42</f>
        <v>0</v>
      </c>
      <c r="E51" s="722">
        <f>E49</f>
        <v>0</v>
      </c>
    </row>
    <row r="52" spans="2:5" ht="15.75">
      <c r="B52" s="200"/>
      <c r="C52" s="280">
        <f>IF(C49&gt;C51,"See Tab A","")</f>
      </c>
      <c r="D52" s="280">
        <f>IF(D49&gt;D51,"See Tab C","")</f>
      </c>
      <c r="E52" s="723">
        <f>IF(E50&lt;0,"See Tab E","")</f>
      </c>
    </row>
    <row r="53" spans="2:5" ht="15.75">
      <c r="B53" s="833" t="s">
        <v>1027</v>
      </c>
      <c r="C53" s="830">
        <f>IF(C50&lt;0,"See Tab B","")</f>
      </c>
      <c r="D53" s="830">
        <f>IF(D50&lt;0,"See Tab D","")</f>
      </c>
      <c r="E53" s="836"/>
    </row>
    <row r="54" spans="2:5" ht="15.75">
      <c r="B54" s="831"/>
      <c r="C54" s="832"/>
      <c r="D54" s="832"/>
      <c r="E54" s="837"/>
    </row>
    <row r="55" spans="2:5" ht="15.75">
      <c r="B55" s="834"/>
      <c r="C55" s="835"/>
      <c r="D55" s="835"/>
      <c r="E55" s="141"/>
    </row>
    <row r="56" spans="2:5" ht="15">
      <c r="B56" s="124"/>
      <c r="C56" s="124"/>
      <c r="D56" s="124"/>
      <c r="E56" s="124"/>
    </row>
    <row r="57" spans="2:5" ht="15.75">
      <c r="B57" s="200" t="s">
        <v>161</v>
      </c>
      <c r="C57" s="745"/>
      <c r="D57" s="124"/>
      <c r="E57" s="124"/>
    </row>
  </sheetData>
  <sheetProtection sheet="1"/>
  <conditionalFormatting sqref="C19">
    <cfRule type="cellIs" priority="2" dxfId="148" operator="greaterThan" stopIfTrue="1">
      <formula>$C$21*0.1</formula>
    </cfRule>
  </conditionalFormatting>
  <conditionalFormatting sqref="D19">
    <cfRule type="cellIs" priority="3" dxfId="148" operator="greaterThan" stopIfTrue="1">
      <formula>$D$21*0.1</formula>
    </cfRule>
  </conditionalFormatting>
  <conditionalFormatting sqref="E19">
    <cfRule type="cellIs" priority="4" dxfId="148" operator="greaterThan" stopIfTrue="1">
      <formula>$E$21*0.1</formula>
    </cfRule>
  </conditionalFormatting>
  <conditionalFormatting sqref="C47">
    <cfRule type="cellIs" priority="5" dxfId="148" operator="greaterThan" stopIfTrue="1">
      <formula>$C$49*0.1</formula>
    </cfRule>
  </conditionalFormatting>
  <conditionalFormatting sqref="D47">
    <cfRule type="cellIs" priority="6" dxfId="148" operator="greaterThan" stopIfTrue="1">
      <formula>$D$49*0.1</formula>
    </cfRule>
  </conditionalFormatting>
  <conditionalFormatting sqref="E47">
    <cfRule type="cellIs" priority="7" dxfId="148" operator="greaterThan" stopIfTrue="1">
      <formula>$E$49*0.1</formula>
    </cfRule>
  </conditionalFormatting>
  <conditionalFormatting sqref="E50 C50">
    <cfRule type="cellIs" priority="8" dxfId="1" operator="lessThan" stopIfTrue="1">
      <formula>0</formula>
    </cfRule>
  </conditionalFormatting>
  <conditionalFormatting sqref="D49">
    <cfRule type="cellIs" priority="9" dxfId="1" operator="greaterThan" stopIfTrue="1">
      <formula>$D$51</formula>
    </cfRule>
  </conditionalFormatting>
  <conditionalFormatting sqref="C49">
    <cfRule type="cellIs" priority="10" dxfId="1" operator="greaterThan" stopIfTrue="1">
      <formula>$C$51</formula>
    </cfRule>
  </conditionalFormatting>
  <conditionalFormatting sqref="D5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B56" sqref="B56"/>
    </sheetView>
  </sheetViews>
  <sheetFormatPr defaultColWidth="8.796875" defaultRowHeight="15"/>
  <cols>
    <col min="1" max="1" width="11.59765625" style="61" customWidth="1"/>
    <col min="2" max="2" width="7.3984375" style="61" customWidth="1"/>
    <col min="3" max="3" width="11.59765625" style="61" customWidth="1"/>
    <col min="4" max="4" width="7.3984375" style="61" customWidth="1"/>
    <col min="5" max="5" width="11.59765625" style="61" customWidth="1"/>
    <col min="6" max="6" width="7.3984375" style="61" customWidth="1"/>
    <col min="7" max="7" width="11.59765625" style="61" customWidth="1"/>
    <col min="8" max="8" width="7.3984375" style="61" customWidth="1"/>
    <col min="9" max="9" width="11.59765625" style="61" customWidth="1"/>
    <col min="10" max="16384" width="8.8984375" style="61" customWidth="1"/>
  </cols>
  <sheetData>
    <row r="1" spans="1:11" ht="15.75">
      <c r="A1" s="123">
        <f>inputPrYr!$D$3</f>
        <v>0</v>
      </c>
      <c r="B1" s="203"/>
      <c r="C1" s="125"/>
      <c r="D1" s="125"/>
      <c r="E1" s="125"/>
      <c r="F1" s="283" t="s">
        <v>31</v>
      </c>
      <c r="G1" s="125"/>
      <c r="H1" s="125"/>
      <c r="I1" s="125"/>
      <c r="J1" s="125"/>
      <c r="K1" s="125">
        <f>inputPrYr!$C$6</f>
        <v>0</v>
      </c>
    </row>
    <row r="2" spans="1:11" ht="15.75">
      <c r="A2" s="125"/>
      <c r="B2" s="125"/>
      <c r="C2" s="125"/>
      <c r="D2" s="125"/>
      <c r="E2" s="125"/>
      <c r="F2" s="284" t="str">
        <f>CONCATENATE("(Only the actual budget year for ",K1-2," is to be shown)")</f>
        <v>(Only the actual budget year for -2 is to be shown)</v>
      </c>
      <c r="G2" s="125"/>
      <c r="H2" s="125"/>
      <c r="I2" s="125"/>
      <c r="J2" s="125"/>
      <c r="K2" s="125"/>
    </row>
    <row r="3" spans="1:11" ht="15.75">
      <c r="A3" s="125" t="s">
        <v>30</v>
      </c>
      <c r="B3" s="125"/>
      <c r="C3" s="125"/>
      <c r="D3" s="125"/>
      <c r="E3" s="125"/>
      <c r="F3" s="203"/>
      <c r="G3" s="125"/>
      <c r="H3" s="125"/>
      <c r="I3" s="125"/>
      <c r="J3" s="125"/>
      <c r="K3" s="125"/>
    </row>
    <row r="4" spans="1:11" ht="15.75">
      <c r="A4" s="125" t="s">
        <v>23</v>
      </c>
      <c r="B4" s="125"/>
      <c r="C4" s="125" t="s">
        <v>24</v>
      </c>
      <c r="D4" s="125"/>
      <c r="E4" s="125" t="s">
        <v>25</v>
      </c>
      <c r="F4" s="203"/>
      <c r="G4" s="125" t="s">
        <v>26</v>
      </c>
      <c r="H4" s="125"/>
      <c r="I4" s="125" t="s">
        <v>27</v>
      </c>
      <c r="J4" s="125"/>
      <c r="K4" s="125"/>
    </row>
    <row r="5" spans="1:11" ht="15.75">
      <c r="A5" s="1010">
        <f>inputPrYr!B45</f>
        <v>0</v>
      </c>
      <c r="B5" s="1011"/>
      <c r="C5" s="1010">
        <f>inputPrYr!B46</f>
        <v>0</v>
      </c>
      <c r="D5" s="1011"/>
      <c r="E5" s="1010">
        <f>inputPrYr!B47</f>
        <v>0</v>
      </c>
      <c r="F5" s="1011"/>
      <c r="G5" s="1010">
        <f>inputPrYr!B48</f>
        <v>0</v>
      </c>
      <c r="H5" s="1011"/>
      <c r="I5" s="1010">
        <f>inputPrYr!B49</f>
        <v>0</v>
      </c>
      <c r="J5" s="1011"/>
      <c r="K5" s="139"/>
    </row>
    <row r="6" spans="1:11" ht="15.75">
      <c r="A6" s="286" t="s">
        <v>28</v>
      </c>
      <c r="B6" s="287"/>
      <c r="C6" s="288" t="s">
        <v>28</v>
      </c>
      <c r="D6" s="289"/>
      <c r="E6" s="288" t="s">
        <v>28</v>
      </c>
      <c r="F6" s="290"/>
      <c r="G6" s="288" t="s">
        <v>28</v>
      </c>
      <c r="H6" s="285"/>
      <c r="I6" s="288" t="s">
        <v>28</v>
      </c>
      <c r="J6" s="125"/>
      <c r="K6" s="291" t="s">
        <v>120</v>
      </c>
    </row>
    <row r="7" spans="1:11" ht="15.75">
      <c r="A7" s="292" t="s">
        <v>65</v>
      </c>
      <c r="B7" s="293"/>
      <c r="C7" s="294" t="s">
        <v>65</v>
      </c>
      <c r="D7" s="293"/>
      <c r="E7" s="294" t="s">
        <v>65</v>
      </c>
      <c r="F7" s="293"/>
      <c r="G7" s="294" t="s">
        <v>65</v>
      </c>
      <c r="H7" s="293"/>
      <c r="I7" s="294" t="s">
        <v>65</v>
      </c>
      <c r="J7" s="293"/>
      <c r="K7" s="295">
        <f>SUM(B7+D7+F7+H7+J7)</f>
        <v>0</v>
      </c>
    </row>
    <row r="8" spans="1:11" ht="15.75">
      <c r="A8" s="296" t="s">
        <v>256</v>
      </c>
      <c r="B8" s="297"/>
      <c r="C8" s="296" t="s">
        <v>256</v>
      </c>
      <c r="D8" s="298"/>
      <c r="E8" s="296" t="s">
        <v>256</v>
      </c>
      <c r="F8" s="203"/>
      <c r="G8" s="296" t="s">
        <v>256</v>
      </c>
      <c r="H8" s="125"/>
      <c r="I8" s="296" t="s">
        <v>256</v>
      </c>
      <c r="J8" s="125"/>
      <c r="K8" s="203"/>
    </row>
    <row r="9" spans="1:11" ht="15.75">
      <c r="A9" s="299"/>
      <c r="B9" s="293"/>
      <c r="C9" s="299"/>
      <c r="D9" s="293"/>
      <c r="E9" s="299"/>
      <c r="F9" s="293"/>
      <c r="G9" s="299"/>
      <c r="H9" s="293"/>
      <c r="I9" s="299"/>
      <c r="J9" s="293"/>
      <c r="K9" s="203"/>
    </row>
    <row r="10" spans="1:11" ht="15.75">
      <c r="A10" s="299"/>
      <c r="B10" s="293"/>
      <c r="C10" s="299"/>
      <c r="D10" s="293"/>
      <c r="E10" s="299"/>
      <c r="F10" s="293"/>
      <c r="G10" s="299"/>
      <c r="H10" s="293"/>
      <c r="I10" s="299"/>
      <c r="J10" s="293"/>
      <c r="K10" s="203"/>
    </row>
    <row r="11" spans="1:11" ht="15.75">
      <c r="A11" s="299"/>
      <c r="B11" s="293"/>
      <c r="C11" s="300"/>
      <c r="D11" s="301"/>
      <c r="E11" s="300"/>
      <c r="F11" s="293"/>
      <c r="G11" s="300"/>
      <c r="H11" s="293"/>
      <c r="I11" s="302"/>
      <c r="J11" s="293"/>
      <c r="K11" s="203"/>
    </row>
    <row r="12" spans="1:11" ht="15.75">
      <c r="A12" s="299"/>
      <c r="B12" s="303"/>
      <c r="C12" s="299"/>
      <c r="D12" s="304"/>
      <c r="E12" s="305"/>
      <c r="F12" s="293"/>
      <c r="G12" s="305"/>
      <c r="H12" s="293"/>
      <c r="I12" s="305"/>
      <c r="J12" s="293"/>
      <c r="K12" s="203"/>
    </row>
    <row r="13" spans="1:11" ht="15.75">
      <c r="A13" s="306"/>
      <c r="B13" s="307"/>
      <c r="C13" s="308"/>
      <c r="D13" s="304"/>
      <c r="E13" s="308"/>
      <c r="F13" s="293"/>
      <c r="G13" s="308"/>
      <c r="H13" s="293"/>
      <c r="I13" s="302"/>
      <c r="J13" s="293"/>
      <c r="K13" s="203"/>
    </row>
    <row r="14" spans="1:11" ht="15.75">
      <c r="A14" s="299"/>
      <c r="B14" s="293"/>
      <c r="C14" s="305"/>
      <c r="D14" s="304"/>
      <c r="E14" s="305"/>
      <c r="F14" s="293"/>
      <c r="G14" s="305"/>
      <c r="H14" s="293"/>
      <c r="I14" s="305"/>
      <c r="J14" s="293"/>
      <c r="K14" s="203"/>
    </row>
    <row r="15" spans="1:11" ht="15.75">
      <c r="A15" s="299"/>
      <c r="B15" s="293"/>
      <c r="C15" s="305"/>
      <c r="D15" s="304"/>
      <c r="E15" s="305"/>
      <c r="F15" s="293"/>
      <c r="G15" s="305"/>
      <c r="H15" s="293"/>
      <c r="I15" s="305"/>
      <c r="J15" s="293"/>
      <c r="K15" s="203"/>
    </row>
    <row r="16" spans="1:11" ht="15.75">
      <c r="A16" s="299"/>
      <c r="B16" s="307"/>
      <c r="C16" s="299"/>
      <c r="D16" s="304"/>
      <c r="E16" s="299"/>
      <c r="F16" s="293"/>
      <c r="G16" s="305"/>
      <c r="H16" s="293"/>
      <c r="I16" s="299"/>
      <c r="J16" s="293"/>
      <c r="K16" s="203"/>
    </row>
    <row r="17" spans="1:11" ht="15.75">
      <c r="A17" s="296" t="s">
        <v>155</v>
      </c>
      <c r="B17" s="295">
        <f>SUM(B9:B16)</f>
        <v>0</v>
      </c>
      <c r="C17" s="296" t="s">
        <v>155</v>
      </c>
      <c r="D17" s="295">
        <f>SUM(D9:D16)</f>
        <v>0</v>
      </c>
      <c r="E17" s="296" t="s">
        <v>155</v>
      </c>
      <c r="F17" s="309">
        <f>SUM(F9:F16)</f>
        <v>0</v>
      </c>
      <c r="G17" s="296" t="s">
        <v>155</v>
      </c>
      <c r="H17" s="295">
        <f>SUM(H9:H16)</f>
        <v>0</v>
      </c>
      <c r="I17" s="296" t="s">
        <v>155</v>
      </c>
      <c r="J17" s="295">
        <f>SUM(J9:J16)</f>
        <v>0</v>
      </c>
      <c r="K17" s="295">
        <f>SUM(B17+D17+F17+H17+J17)</f>
        <v>0</v>
      </c>
    </row>
    <row r="18" spans="1:11" ht="15.75">
      <c r="A18" s="296" t="s">
        <v>156</v>
      </c>
      <c r="B18" s="295">
        <f>SUM(B7+B17)</f>
        <v>0</v>
      </c>
      <c r="C18" s="296" t="s">
        <v>156</v>
      </c>
      <c r="D18" s="295">
        <f>SUM(D7+D17)</f>
        <v>0</v>
      </c>
      <c r="E18" s="296" t="s">
        <v>156</v>
      </c>
      <c r="F18" s="295">
        <f>SUM(F7+F17)</f>
        <v>0</v>
      </c>
      <c r="G18" s="296" t="s">
        <v>156</v>
      </c>
      <c r="H18" s="295">
        <f>SUM(H7+H17)</f>
        <v>0</v>
      </c>
      <c r="I18" s="296" t="s">
        <v>156</v>
      </c>
      <c r="J18" s="295">
        <f>SUM(J7+J17)</f>
        <v>0</v>
      </c>
      <c r="K18" s="295">
        <f>SUM(B18+D18+F18+H18+J18)</f>
        <v>0</v>
      </c>
    </row>
    <row r="19" spans="1:11" ht="15.75">
      <c r="A19" s="296" t="s">
        <v>157</v>
      </c>
      <c r="B19" s="297"/>
      <c r="C19" s="296" t="s">
        <v>157</v>
      </c>
      <c r="D19" s="298"/>
      <c r="E19" s="296" t="s">
        <v>157</v>
      </c>
      <c r="F19" s="203"/>
      <c r="G19" s="296" t="s">
        <v>157</v>
      </c>
      <c r="H19" s="125"/>
      <c r="I19" s="296" t="s">
        <v>157</v>
      </c>
      <c r="J19" s="125"/>
      <c r="K19" s="203"/>
    </row>
    <row r="20" spans="1:11" ht="15.75">
      <c r="A20" s="299"/>
      <c r="B20" s="293"/>
      <c r="C20" s="305"/>
      <c r="D20" s="293"/>
      <c r="E20" s="305"/>
      <c r="F20" s="293"/>
      <c r="G20" s="305"/>
      <c r="H20" s="293"/>
      <c r="I20" s="305"/>
      <c r="J20" s="293"/>
      <c r="K20" s="203"/>
    </row>
    <row r="21" spans="1:11" ht="15.75">
      <c r="A21" s="299"/>
      <c r="B21" s="293"/>
      <c r="C21" s="305"/>
      <c r="D21" s="293"/>
      <c r="E21" s="305"/>
      <c r="F21" s="293"/>
      <c r="G21" s="305"/>
      <c r="H21" s="293"/>
      <c r="I21" s="305"/>
      <c r="J21" s="293"/>
      <c r="K21" s="203"/>
    </row>
    <row r="22" spans="1:11" ht="15.75">
      <c r="A22" s="299"/>
      <c r="B22" s="293"/>
      <c r="C22" s="308"/>
      <c r="D22" s="293"/>
      <c r="E22" s="308"/>
      <c r="F22" s="293"/>
      <c r="G22" s="308"/>
      <c r="H22" s="293"/>
      <c r="I22" s="302"/>
      <c r="J22" s="293"/>
      <c r="K22" s="203"/>
    </row>
    <row r="23" spans="1:11" ht="15.75">
      <c r="A23" s="299"/>
      <c r="B23" s="293"/>
      <c r="C23" s="305"/>
      <c r="D23" s="293"/>
      <c r="E23" s="305"/>
      <c r="F23" s="293"/>
      <c r="G23" s="305"/>
      <c r="H23" s="293"/>
      <c r="I23" s="305"/>
      <c r="J23" s="293"/>
      <c r="K23" s="203"/>
    </row>
    <row r="24" spans="1:11" ht="15.75">
      <c r="A24" s="299"/>
      <c r="B24" s="293"/>
      <c r="C24" s="308"/>
      <c r="D24" s="293"/>
      <c r="E24" s="308"/>
      <c r="F24" s="293"/>
      <c r="G24" s="308"/>
      <c r="H24" s="293"/>
      <c r="I24" s="302"/>
      <c r="J24" s="293"/>
      <c r="K24" s="203"/>
    </row>
    <row r="25" spans="1:11" ht="15.75">
      <c r="A25" s="299"/>
      <c r="B25" s="293"/>
      <c r="C25" s="305"/>
      <c r="D25" s="293"/>
      <c r="E25" s="305"/>
      <c r="F25" s="293"/>
      <c r="G25" s="305"/>
      <c r="H25" s="293"/>
      <c r="I25" s="305"/>
      <c r="J25" s="293"/>
      <c r="K25" s="203"/>
    </row>
    <row r="26" spans="1:11" ht="15.75">
      <c r="A26" s="299"/>
      <c r="B26" s="293"/>
      <c r="C26" s="305"/>
      <c r="D26" s="293"/>
      <c r="E26" s="305"/>
      <c r="F26" s="293"/>
      <c r="G26" s="305"/>
      <c r="H26" s="293"/>
      <c r="I26" s="305"/>
      <c r="J26" s="293"/>
      <c r="K26" s="203"/>
    </row>
    <row r="27" spans="1:11" ht="15.75">
      <c r="A27" s="299"/>
      <c r="B27" s="293"/>
      <c r="C27" s="299"/>
      <c r="D27" s="293"/>
      <c r="E27" s="299"/>
      <c r="F27" s="293"/>
      <c r="G27" s="305"/>
      <c r="H27" s="293"/>
      <c r="I27" s="305"/>
      <c r="J27" s="293"/>
      <c r="K27" s="203"/>
    </row>
    <row r="28" spans="1:11" ht="15.75">
      <c r="A28" s="296" t="s">
        <v>158</v>
      </c>
      <c r="B28" s="295">
        <f>SUM(B20:B27)</f>
        <v>0</v>
      </c>
      <c r="C28" s="296" t="s">
        <v>158</v>
      </c>
      <c r="D28" s="295">
        <f>SUM(D20:D27)</f>
        <v>0</v>
      </c>
      <c r="E28" s="296" t="s">
        <v>158</v>
      </c>
      <c r="F28" s="309">
        <f>SUM(F20:F27)</f>
        <v>0</v>
      </c>
      <c r="G28" s="296" t="s">
        <v>158</v>
      </c>
      <c r="H28" s="309">
        <f>SUM(H20:H27)</f>
        <v>0</v>
      </c>
      <c r="I28" s="296" t="s">
        <v>158</v>
      </c>
      <c r="J28" s="295">
        <f>SUM(J20:J27)</f>
        <v>0</v>
      </c>
      <c r="K28" s="295">
        <f>SUM(B28+D28+F28+H28+J28)</f>
        <v>0</v>
      </c>
    </row>
    <row r="29" spans="1:12" ht="15.75">
      <c r="A29" s="296" t="s">
        <v>29</v>
      </c>
      <c r="B29" s="295">
        <f>SUM(B18-B28)</f>
        <v>0</v>
      </c>
      <c r="C29" s="296" t="s">
        <v>29</v>
      </c>
      <c r="D29" s="295">
        <f>SUM(D18-D28)</f>
        <v>0</v>
      </c>
      <c r="E29" s="296" t="s">
        <v>29</v>
      </c>
      <c r="F29" s="295">
        <f>SUM(F18-F28)</f>
        <v>0</v>
      </c>
      <c r="G29" s="296" t="s">
        <v>29</v>
      </c>
      <c r="H29" s="295">
        <f>SUM(H18-H28)</f>
        <v>0</v>
      </c>
      <c r="I29" s="296" t="s">
        <v>29</v>
      </c>
      <c r="J29" s="295">
        <f>SUM(J18-J28)</f>
        <v>0</v>
      </c>
      <c r="K29" s="310">
        <f>SUM(B29+D29+F29+H29+J29)</f>
        <v>0</v>
      </c>
      <c r="L29" s="61" t="s">
        <v>33</v>
      </c>
    </row>
    <row r="30" spans="1:12" ht="15.75">
      <c r="A30" s="296"/>
      <c r="B30" s="311">
        <f>IF(B29&lt;0,"See Tab B","")</f>
      </c>
      <c r="C30" s="296"/>
      <c r="D30" s="311">
        <f>IF(D29&lt;0,"See Tab B","")</f>
      </c>
      <c r="E30" s="296"/>
      <c r="F30" s="311">
        <f>IF(F29&lt;0,"See Tab B","")</f>
      </c>
      <c r="G30" s="125"/>
      <c r="H30" s="311">
        <f>IF(H29&lt;0,"See Tab B","")</f>
      </c>
      <c r="I30" s="125"/>
      <c r="J30" s="311">
        <f>IF(J29&lt;0,"See Tab B","")</f>
      </c>
      <c r="K30" s="310">
        <f>SUM(K7+K17-K28)</f>
        <v>0</v>
      </c>
      <c r="L30" s="61" t="s">
        <v>33</v>
      </c>
    </row>
    <row r="31" spans="1:11" ht="15.75">
      <c r="A31" s="125"/>
      <c r="B31" s="312"/>
      <c r="C31" s="125"/>
      <c r="D31" s="203"/>
      <c r="E31" s="125"/>
      <c r="F31" s="125"/>
      <c r="G31" s="71" t="s">
        <v>34</v>
      </c>
      <c r="H31" s="71"/>
      <c r="I31" s="71"/>
      <c r="J31" s="71"/>
      <c r="K31" s="125"/>
    </row>
    <row r="32" spans="1:11" ht="15.75">
      <c r="A32" s="125"/>
      <c r="B32" s="312"/>
      <c r="C32" s="125"/>
      <c r="D32" s="203"/>
      <c r="E32" s="125"/>
      <c r="F32" s="125"/>
      <c r="G32" s="125"/>
      <c r="H32" s="125"/>
      <c r="I32" s="125"/>
      <c r="J32" s="125"/>
      <c r="K32" s="125"/>
    </row>
    <row r="33" spans="1:11" ht="15.75">
      <c r="A33" s="927" t="s">
        <v>1025</v>
      </c>
      <c r="B33" s="928"/>
      <c r="C33" s="929"/>
      <c r="D33" s="930"/>
      <c r="E33" s="929"/>
      <c r="F33" s="929"/>
      <c r="G33" s="929"/>
      <c r="H33" s="929"/>
      <c r="I33" s="929"/>
      <c r="J33" s="929"/>
      <c r="K33" s="931"/>
    </row>
    <row r="34" spans="1:11" ht="15.75">
      <c r="A34" s="932"/>
      <c r="B34" s="933"/>
      <c r="C34" s="934"/>
      <c r="D34" s="924"/>
      <c r="E34" s="934"/>
      <c r="F34" s="934"/>
      <c r="G34" s="934"/>
      <c r="H34" s="934"/>
      <c r="I34" s="934"/>
      <c r="J34" s="934"/>
      <c r="K34" s="935"/>
    </row>
    <row r="35" spans="1:11" ht="15.75">
      <c r="A35" s="936"/>
      <c r="B35" s="937"/>
      <c r="C35" s="139"/>
      <c r="D35" s="938"/>
      <c r="E35" s="139"/>
      <c r="F35" s="139"/>
      <c r="G35" s="139"/>
      <c r="H35" s="139"/>
      <c r="I35" s="139"/>
      <c r="J35" s="139"/>
      <c r="K35" s="939"/>
    </row>
    <row r="36" spans="1:11" ht="15.75">
      <c r="A36" s="125"/>
      <c r="B36" s="312"/>
      <c r="C36" s="125"/>
      <c r="D36" s="125"/>
      <c r="E36" s="125"/>
      <c r="F36" s="125"/>
      <c r="G36" s="125"/>
      <c r="H36" s="125"/>
      <c r="I36" s="125"/>
      <c r="J36" s="125"/>
      <c r="K36" s="125"/>
    </row>
    <row r="37" spans="1:11" ht="15.75">
      <c r="A37" s="125"/>
      <c r="B37" s="312"/>
      <c r="C37" s="125"/>
      <c r="D37" s="125"/>
      <c r="E37" s="313" t="s">
        <v>161</v>
      </c>
      <c r="F37" s="745"/>
      <c r="G37" s="125"/>
      <c r="H37" s="125"/>
      <c r="I37" s="125"/>
      <c r="J37" s="125"/>
      <c r="K37" s="125"/>
    </row>
    <row r="38" ht="15.75">
      <c r="B38" s="314"/>
    </row>
    <row r="39" ht="15.75">
      <c r="B39" s="314"/>
    </row>
    <row r="40" ht="15.75">
      <c r="B40" s="314"/>
    </row>
    <row r="41" ht="15.75">
      <c r="B41" s="314"/>
    </row>
    <row r="42" ht="15.75">
      <c r="B42" s="314"/>
    </row>
    <row r="43" ht="15.75">
      <c r="B43" s="314"/>
    </row>
    <row r="44" ht="15.75">
      <c r="B44" s="314"/>
    </row>
    <row r="45" ht="15.75">
      <c r="B45" s="314"/>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A66"/>
  <sheetViews>
    <sheetView zoomScalePageLayoutView="0" workbookViewId="0" topLeftCell="A1">
      <selection activeCell="N116" sqref="N116"/>
    </sheetView>
  </sheetViews>
  <sheetFormatPr defaultColWidth="8.796875" defaultRowHeight="15"/>
  <cols>
    <col min="1" max="1" width="70.59765625" style="122" customWidth="1"/>
    <col min="2" max="16384" width="8.8984375" style="122" customWidth="1"/>
  </cols>
  <sheetData>
    <row r="1" ht="18.75">
      <c r="A1" s="339" t="s">
        <v>312</v>
      </c>
    </row>
    <row r="2" ht="15.75">
      <c r="A2" s="1"/>
    </row>
    <row r="3" ht="57" customHeight="1">
      <c r="A3" s="340" t="s">
        <v>313</v>
      </c>
    </row>
    <row r="4" ht="15.75">
      <c r="A4" s="338"/>
    </row>
    <row r="5" ht="15.75">
      <c r="A5" s="1"/>
    </row>
    <row r="6" ht="44.25" customHeight="1">
      <c r="A6" s="340" t="s">
        <v>314</v>
      </c>
    </row>
    <row r="7" ht="15.75">
      <c r="A7" s="1"/>
    </row>
    <row r="8" ht="15.75">
      <c r="A8" s="338"/>
    </row>
    <row r="9" ht="46.5" customHeight="1">
      <c r="A9" s="340" t="s">
        <v>315</v>
      </c>
    </row>
    <row r="10" ht="15.75">
      <c r="A10" s="1"/>
    </row>
    <row r="11" ht="15.75">
      <c r="A11" s="338"/>
    </row>
    <row r="12" ht="60" customHeight="1">
      <c r="A12" s="340" t="s">
        <v>316</v>
      </c>
    </row>
    <row r="13" ht="15.75">
      <c r="A13" s="1"/>
    </row>
    <row r="14" ht="15.75">
      <c r="A14" s="1"/>
    </row>
    <row r="15" ht="61.5" customHeight="1">
      <c r="A15" s="340" t="s">
        <v>317</v>
      </c>
    </row>
    <row r="16" ht="15.75">
      <c r="A16" s="1"/>
    </row>
    <row r="17" ht="15.75">
      <c r="A17" s="1"/>
    </row>
    <row r="18" ht="59.25" customHeight="1">
      <c r="A18" s="340" t="s">
        <v>318</v>
      </c>
    </row>
    <row r="19" ht="15.75">
      <c r="A19" s="1"/>
    </row>
    <row r="20" ht="15.75">
      <c r="A20" s="1"/>
    </row>
    <row r="21" ht="61.5" customHeight="1">
      <c r="A21" s="340" t="s">
        <v>319</v>
      </c>
    </row>
    <row r="22" ht="15.75">
      <c r="A22" s="338"/>
    </row>
    <row r="23" ht="15.75">
      <c r="A23" s="338"/>
    </row>
    <row r="24" ht="63" customHeight="1">
      <c r="A24" s="340" t="s">
        <v>320</v>
      </c>
    </row>
    <row r="25" ht="15.75">
      <c r="A25" s="1"/>
    </row>
    <row r="26" ht="15.75">
      <c r="A26" s="1"/>
    </row>
    <row r="27" ht="52.5" customHeight="1">
      <c r="A27" s="486" t="s">
        <v>665</v>
      </c>
    </row>
    <row r="28" ht="15.75">
      <c r="A28" s="1"/>
    </row>
    <row r="29" ht="15.75">
      <c r="A29" s="1"/>
    </row>
    <row r="30" ht="44.25" customHeight="1">
      <c r="A30" s="340" t="s">
        <v>321</v>
      </c>
    </row>
    <row r="31" ht="15.75">
      <c r="A31" s="1"/>
    </row>
    <row r="32" ht="15.75">
      <c r="A32" s="1"/>
    </row>
    <row r="33" ht="42.75" customHeight="1">
      <c r="A33" s="340" t="s">
        <v>322</v>
      </c>
    </row>
    <row r="34" ht="15.75">
      <c r="A34" s="338"/>
    </row>
    <row r="35" ht="15.75">
      <c r="A35" s="338"/>
    </row>
    <row r="36" ht="38.25" customHeight="1">
      <c r="A36" s="340" t="s">
        <v>323</v>
      </c>
    </row>
    <row r="37" ht="15.75">
      <c r="A37" s="338"/>
    </row>
    <row r="38" ht="15.75">
      <c r="A38" s="1"/>
    </row>
    <row r="39" ht="75.75" customHeight="1">
      <c r="A39" s="340" t="s">
        <v>324</v>
      </c>
    </row>
    <row r="40" ht="15.75">
      <c r="A40" s="1"/>
    </row>
    <row r="41" ht="15.75">
      <c r="A41" s="1"/>
    </row>
    <row r="42" ht="57.75" customHeight="1">
      <c r="A42" s="340" t="s">
        <v>325</v>
      </c>
    </row>
    <row r="43" ht="15.75">
      <c r="A43" s="338"/>
    </row>
    <row r="44" ht="15.75">
      <c r="A44" s="1"/>
    </row>
    <row r="45" ht="57.75" customHeight="1">
      <c r="A45" s="340" t="s">
        <v>326</v>
      </c>
    </row>
    <row r="46" ht="15.75">
      <c r="A46" s="1"/>
    </row>
    <row r="47" ht="15.75">
      <c r="A47" s="1"/>
    </row>
    <row r="48" ht="41.25" customHeight="1">
      <c r="A48" s="340" t="s">
        <v>327</v>
      </c>
    </row>
    <row r="49" ht="15.75">
      <c r="A49" s="1"/>
    </row>
    <row r="50" ht="15.75">
      <c r="A50" s="1"/>
    </row>
    <row r="51" ht="75" customHeight="1">
      <c r="A51" s="340" t="s">
        <v>328</v>
      </c>
    </row>
    <row r="52" ht="15.75">
      <c r="A52" s="338"/>
    </row>
    <row r="53" ht="15.75">
      <c r="A53" s="338"/>
    </row>
    <row r="54" ht="57.75" customHeight="1">
      <c r="A54" s="340" t="s">
        <v>329</v>
      </c>
    </row>
    <row r="55" ht="15.75">
      <c r="A55" s="1"/>
    </row>
    <row r="56" ht="15.75">
      <c r="A56" s="1"/>
    </row>
    <row r="57" ht="44.25" customHeight="1">
      <c r="A57" s="340" t="s">
        <v>330</v>
      </c>
    </row>
    <row r="58" ht="15.75">
      <c r="A58" s="1"/>
    </row>
    <row r="59" ht="15.75">
      <c r="A59" s="1"/>
    </row>
    <row r="60" ht="60" customHeight="1">
      <c r="A60" s="340" t="s">
        <v>331</v>
      </c>
    </row>
    <row r="61" ht="15.75">
      <c r="A61" s="338"/>
    </row>
    <row r="62" ht="15.75">
      <c r="A62" s="338"/>
    </row>
    <row r="63" ht="57.75" customHeight="1">
      <c r="A63" s="340" t="s">
        <v>332</v>
      </c>
    </row>
    <row r="64" ht="15.75">
      <c r="A64" s="1"/>
    </row>
    <row r="65" ht="15.75">
      <c r="A65" s="1"/>
    </row>
    <row r="66" ht="60" customHeight="1">
      <c r="A66" s="340" t="s">
        <v>333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
      <selection activeCell="O109" sqref="O10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6"/>
      <c r="B1" s="6"/>
      <c r="C1" s="6"/>
      <c r="D1" s="6"/>
      <c r="E1" s="6"/>
      <c r="F1" s="6"/>
      <c r="G1" s="6"/>
      <c r="H1" s="28">
        <f>inputPrYr!$C$6</f>
        <v>0</v>
      </c>
    </row>
    <row r="2" spans="1:8" ht="15.75">
      <c r="A2" s="1015" t="s">
        <v>206</v>
      </c>
      <c r="B2" s="1015"/>
      <c r="C2" s="1015"/>
      <c r="D2" s="1015"/>
      <c r="E2" s="1015"/>
      <c r="F2" s="1015"/>
      <c r="G2" s="1015"/>
      <c r="H2" s="1015"/>
    </row>
    <row r="3" spans="1:8" ht="15.75">
      <c r="A3" s="6"/>
      <c r="B3" s="6"/>
      <c r="C3" s="6"/>
      <c r="D3" s="6"/>
      <c r="E3" s="6"/>
      <c r="F3" s="6"/>
      <c r="G3" s="6"/>
      <c r="H3" s="6"/>
    </row>
    <row r="4" spans="1:8" ht="15.75">
      <c r="A4" s="1012" t="s">
        <v>166</v>
      </c>
      <c r="B4" s="1012"/>
      <c r="C4" s="1012"/>
      <c r="D4" s="1012"/>
      <c r="E4" s="1012"/>
      <c r="F4" s="1012"/>
      <c r="G4" s="1012"/>
      <c r="H4" s="1012"/>
    </row>
    <row r="5" spans="1:8" ht="15.75">
      <c r="A5" s="1016">
        <f>inputPrYr!D3</f>
        <v>0</v>
      </c>
      <c r="B5" s="1016"/>
      <c r="C5" s="1016"/>
      <c r="D5" s="1016"/>
      <c r="E5" s="1016"/>
      <c r="F5" s="1016"/>
      <c r="G5" s="1016"/>
      <c r="H5" s="1016"/>
    </row>
    <row r="6" spans="1:8" ht="15.75">
      <c r="A6" s="1012" t="str">
        <f>CONCATENATE("will meet on ",inputBudSum!B7," at ",inputBudSum!B9," at ",inputBudSum!B11," for the purpose of hearing and")</f>
        <v>will meet on  at  at  for the purpose of hearing and</v>
      </c>
      <c r="B6" s="1012"/>
      <c r="C6" s="1012"/>
      <c r="D6" s="1012"/>
      <c r="E6" s="1012"/>
      <c r="F6" s="1012"/>
      <c r="G6" s="1012"/>
      <c r="H6" s="1012"/>
    </row>
    <row r="7" spans="1:8" ht="15.75">
      <c r="A7" s="1012" t="s">
        <v>586</v>
      </c>
      <c r="B7" s="1012"/>
      <c r="C7" s="1012"/>
      <c r="D7" s="1012"/>
      <c r="E7" s="1012"/>
      <c r="F7" s="1012"/>
      <c r="G7" s="1012"/>
      <c r="H7" s="1012"/>
    </row>
    <row r="8" spans="1:8" ht="15.75">
      <c r="A8" s="1012" t="str">
        <f>CONCATENATE("Detailed budget information is available at ",inputBudSum!B14," and will be available at this hearing.")</f>
        <v>Detailed budget information is available at  and will be available at this hearing.</v>
      </c>
      <c r="B8" s="1012"/>
      <c r="C8" s="1012"/>
      <c r="D8" s="1012"/>
      <c r="E8" s="1012"/>
      <c r="F8" s="1012"/>
      <c r="G8" s="1012"/>
      <c r="H8" s="1012"/>
    </row>
    <row r="9" spans="1:8" ht="15.75">
      <c r="A9" s="20" t="s">
        <v>207</v>
      </c>
      <c r="B9" s="9"/>
      <c r="C9" s="9"/>
      <c r="D9" s="9"/>
      <c r="E9" s="9"/>
      <c r="F9" s="9"/>
      <c r="G9" s="9"/>
      <c r="H9" s="9"/>
    </row>
    <row r="10" spans="1:8" ht="15.75">
      <c r="A10" s="21" t="str">
        <f>CONCATENATE("Proposed Budget ",H1," Expenditures and Amount of ",D13," Ad Valorem Tax establish the maximum limits of the ",H1," budget.")</f>
        <v>Proposed Budget 0 Expenditures and Amount of Current Year Estimate for -1 Ad Valorem Tax establish the maximum limits of the 0 budget.</v>
      </c>
      <c r="B10" s="22"/>
      <c r="C10" s="22"/>
      <c r="D10" s="22"/>
      <c r="E10" s="22"/>
      <c r="F10" s="22"/>
      <c r="G10" s="22"/>
      <c r="H10" s="22"/>
    </row>
    <row r="11" spans="1:8" ht="15.75">
      <c r="A11" s="8" t="s">
        <v>263</v>
      </c>
      <c r="B11" s="9"/>
      <c r="C11" s="9"/>
      <c r="D11" s="9"/>
      <c r="E11" s="9"/>
      <c r="F11" s="9"/>
      <c r="G11" s="9"/>
      <c r="H11" s="9"/>
    </row>
    <row r="12" spans="1:8" ht="15.75">
      <c r="A12" s="6"/>
      <c r="B12" s="23"/>
      <c r="C12" s="23"/>
      <c r="D12" s="23"/>
      <c r="E12" s="23"/>
      <c r="F12" s="23"/>
      <c r="G12" s="23"/>
      <c r="H12" s="23"/>
    </row>
    <row r="13" spans="1:8" ht="15.75">
      <c r="A13" s="6"/>
      <c r="B13" s="24" t="str">
        <f>CONCATENATE("Prior Year Actual for ",H1-2,"")</f>
        <v>Prior Year Actual for -2</v>
      </c>
      <c r="C13" s="12"/>
      <c r="D13" s="24" t="str">
        <f>CONCATENATE("Current Year Estimate for ",H1-1,"")</f>
        <v>Current Year Estimate for -1</v>
      </c>
      <c r="E13" s="12"/>
      <c r="F13" s="10" t="str">
        <f>CONCATENATE("Proposed Budget for ",H1,"")</f>
        <v>Proposed Budget for 0</v>
      </c>
      <c r="G13" s="11"/>
      <c r="H13" s="12"/>
    </row>
    <row r="14" spans="1:8" ht="22.5" customHeight="1">
      <c r="A14" s="6"/>
      <c r="B14" s="13"/>
      <c r="C14" s="13" t="s">
        <v>162</v>
      </c>
      <c r="D14" s="13"/>
      <c r="E14" s="13" t="s">
        <v>162</v>
      </c>
      <c r="F14" s="13" t="s">
        <v>46</v>
      </c>
      <c r="G14" s="31" t="str">
        <f>CONCATENATE("Amount of ",H1-1,"")</f>
        <v>Amount of -1</v>
      </c>
      <c r="H14" s="13" t="s">
        <v>5</v>
      </c>
    </row>
    <row r="15" spans="1:8" ht="17.25" customHeight="1">
      <c r="A15" s="25" t="s">
        <v>168</v>
      </c>
      <c r="B15" s="14" t="s">
        <v>131</v>
      </c>
      <c r="C15" s="14" t="s">
        <v>169</v>
      </c>
      <c r="D15" s="14" t="s">
        <v>3</v>
      </c>
      <c r="E15" s="14" t="s">
        <v>169</v>
      </c>
      <c r="F15" s="14" t="s">
        <v>627</v>
      </c>
      <c r="G15" s="19" t="s">
        <v>148</v>
      </c>
      <c r="H15" s="14" t="s">
        <v>169</v>
      </c>
    </row>
    <row r="16" spans="1:8" ht="15.75">
      <c r="A16" s="4" t="s">
        <v>116</v>
      </c>
      <c r="B16" s="32" t="str">
        <f>IF((general!$C$61)&lt;&gt;0,general!$C$61,"  ")</f>
        <v>  </v>
      </c>
      <c r="C16" s="37" t="str">
        <f>IF(inputPrYr!D54&gt;0,inputPrYr!D54,"  ")</f>
        <v>  </v>
      </c>
      <c r="D16" s="32" t="str">
        <f>IF((general!$D$61)&lt;&gt;0,general!$D$61,"  ")</f>
        <v>  </v>
      </c>
      <c r="E16" s="37" t="str">
        <f>IF(inputOth!D24&gt;0,inputOth!D24,"  ")</f>
        <v>  </v>
      </c>
      <c r="F16" s="32" t="str">
        <f>IF((general!$E$61)&lt;&gt;0,general!$E$61,"  ")</f>
        <v>  </v>
      </c>
      <c r="G16" s="32" t="str">
        <f>IF((general!$E$68)&lt;&gt;0,(general!$E$68),"  ")</f>
        <v>  </v>
      </c>
      <c r="H16" s="37" t="str">
        <f>IF((general!E68&gt;0),ROUND(G16/$F$37*1000,3),"  ")</f>
        <v>  </v>
      </c>
    </row>
    <row r="17" spans="1:8" ht="15.75">
      <c r="A17" s="4" t="s">
        <v>98</v>
      </c>
      <c r="B17" s="32" t="str">
        <f>IF((DebtService!C55)&lt;&gt;0,DebtService!C55,"  ")</f>
        <v>  </v>
      </c>
      <c r="C17" s="37" t="str">
        <f>IF(inputPrYr!D55&gt;0,inputPrYr!D55,"  ")</f>
        <v>  </v>
      </c>
      <c r="D17" s="32" t="str">
        <f>IF((DebtService!D55)&lt;&gt;0,DebtService!D55,"  ")</f>
        <v>  </v>
      </c>
      <c r="E17" s="37" t="str">
        <f>IF(inputOth!D25&gt;0,inputOth!D25,"  ")</f>
        <v>  </v>
      </c>
      <c r="F17" s="32" t="str">
        <f>IF((DebtService!E55)&lt;&gt;0,DebtService!E55,"  ")</f>
        <v>  </v>
      </c>
      <c r="G17" s="32" t="str">
        <f>IF((DebtService!E62)&lt;&gt;0,(DebtService!E62),"  ")</f>
        <v>  </v>
      </c>
      <c r="H17" s="37" t="str">
        <f>IF((DebtService!E62),ROUND(G17/$F$37*1000,3),"  ")</f>
        <v>  </v>
      </c>
    </row>
    <row r="18" spans="1:8" ht="15.75">
      <c r="A18" s="5" t="str">
        <f>IF((inputPrYr!$B24&gt;"  "),(inputPrYr!$B24),"  ")</f>
        <v>Library</v>
      </c>
      <c r="B18" s="32" t="str">
        <f>IF(('Library-Rec'!C35)&lt;&gt;0,'Library-Rec'!C35,"  ")</f>
        <v>  </v>
      </c>
      <c r="C18" s="37" t="str">
        <f>IF(inputPrYr!D56&gt;0,inputPrYr!D56,"  ")</f>
        <v>  </v>
      </c>
      <c r="D18" s="32" t="str">
        <f>IF(('Library-Rec'!D35)&lt;&gt;0,'Library-Rec'!D35,"  ")</f>
        <v>  </v>
      </c>
      <c r="E18" s="37" t="str">
        <f>IF(inputOth!D26&gt;0,inputOth!D26,"  ")</f>
        <v>  </v>
      </c>
      <c r="F18" s="32" t="str">
        <f>IF(('Library-Rec'!E35)&lt;&gt;0,'Library-Rec'!E35,"  ")</f>
        <v>  </v>
      </c>
      <c r="G18" s="32" t="str">
        <f>IF(('Library-Rec'!E42)&lt;&gt;0,'Library-Rec'!E42,"  ")</f>
        <v>  </v>
      </c>
      <c r="H18" s="37" t="str">
        <f>IF('Library-Rec'!E42&gt;0,ROUND(G18/$F$37*1000,3),"  ")</f>
        <v>  </v>
      </c>
    </row>
    <row r="19" spans="1:8" ht="15.75">
      <c r="A19" s="5" t="str">
        <f>IF((inputPrYr!$B26&gt;"  "),(inputPrYr!$B26),"  ")</f>
        <v>  </v>
      </c>
      <c r="B19" s="32" t="str">
        <f>IF(('levy page9'!$C$35)&lt;&gt;0,('levy page9'!$C$35),"  ")</f>
        <v>  </v>
      </c>
      <c r="C19" s="37" t="str">
        <f>IF(inputPrYr!D57&gt;0,inputPrYr!D57,"  ")</f>
        <v>  </v>
      </c>
      <c r="D19" s="32" t="str">
        <f>IF(('levy page9'!$D$35)&lt;&gt;0,('levy page9'!$D$35),"  ")</f>
        <v>  </v>
      </c>
      <c r="E19" s="37" t="str">
        <f>IF(inputOth!D27&gt;0,inputOth!D27,"  ")</f>
        <v>  </v>
      </c>
      <c r="F19" s="32" t="str">
        <f>IF(('levy page9'!$E$35)&lt;&gt;0,('levy page9'!$E$35),"  ")</f>
        <v>  </v>
      </c>
      <c r="G19" s="32" t="str">
        <f>IF(('levy page9'!$E$42)&lt;&gt;0,('levy page9'!$E$42),"  ")</f>
        <v>  </v>
      </c>
      <c r="H19" s="37" t="str">
        <f>IF('levy page9'!E42&gt;0,ROUND(G19/$F$37*1000,3),"  ")</f>
        <v>  </v>
      </c>
    </row>
    <row r="20" spans="1:13" ht="15.75">
      <c r="A20" s="5" t="str">
        <f>IF((inputPrYr!$B27&gt;"  "),(inputPrYr!$B27),"  ")</f>
        <v>  </v>
      </c>
      <c r="B20" s="32" t="str">
        <f>IF(('levy page9'!$C$71)&lt;&gt;0,('levy page9'!$C$71),"  ")</f>
        <v>  </v>
      </c>
      <c r="C20" s="37" t="str">
        <f>IF(inputPrYr!D58&gt;0,inputPrYr!D58,"  ")</f>
        <v>  </v>
      </c>
      <c r="D20" s="32" t="str">
        <f>IF(('levy page9'!$D$71)&lt;&gt;0,('levy page9'!$D$71),"  ")</f>
        <v>  </v>
      </c>
      <c r="E20" s="37" t="str">
        <f>IF(inputOth!D28&gt;0,inputOth!D28,"  ")</f>
        <v>  </v>
      </c>
      <c r="F20" s="32" t="str">
        <f>IF(('levy page9'!$E$71)&lt;&gt;0,('levy page9'!$E$71),"  ")</f>
        <v>  </v>
      </c>
      <c r="G20" s="32" t="str">
        <f>IF(('levy page9'!$E$78)&lt;&gt;0,('levy page9'!$E$78),"  ")</f>
        <v>  </v>
      </c>
      <c r="H20" s="37" t="str">
        <f>IF('levy page9'!E78&gt;0,ROUND(G20/$F$37*1000,3),"  ")</f>
        <v>  </v>
      </c>
      <c r="J20" s="1017" t="str">
        <f>CONCATENATE("Estimated Value Of One Mill For ",H1,"")</f>
        <v>Estimated Value Of One Mill For 0</v>
      </c>
      <c r="K20" s="1014"/>
      <c r="L20" s="1014"/>
      <c r="M20" s="1022"/>
    </row>
    <row r="21" spans="1:13" ht="15.75">
      <c r="A21" s="5" t="str">
        <f>IF((inputPrYr!$B28&gt;"  "),(inputPrYr!$B28),"  ")</f>
        <v>  </v>
      </c>
      <c r="B21" s="32" t="str">
        <f>IF(('levy page10'!$C$35)&lt;&gt;0,('levy page10'!$C$35),"  ")</f>
        <v>  </v>
      </c>
      <c r="C21" s="37" t="str">
        <f>IF(inputPrYr!D59&gt;0,inputPrYr!D59,"  ")</f>
        <v>  </v>
      </c>
      <c r="D21" s="32" t="str">
        <f>IF(('levy page10'!$D$35)&lt;&gt;0,('levy page10'!$D$35),"  ")</f>
        <v>  </v>
      </c>
      <c r="E21" s="37" t="str">
        <f>IF(inputOth!D29&gt;0,inputOth!D29,"  ")</f>
        <v>  </v>
      </c>
      <c r="F21" s="32" t="str">
        <f>IF(('levy page10'!$E$35)&lt;&gt;0,('levy page10'!$E$35),"  ")</f>
        <v>  </v>
      </c>
      <c r="G21" s="32" t="str">
        <f>IF(('levy page10'!$E$42)&lt;&gt;0,('levy page10'!$E$42),"  ")</f>
        <v>  </v>
      </c>
      <c r="H21" s="37" t="str">
        <f>IF('levy page10'!E42&gt;0,ROUND(G21/$F$37*1000,3),"  ")</f>
        <v>  </v>
      </c>
      <c r="J21" s="489"/>
      <c r="K21" s="490"/>
      <c r="L21" s="490"/>
      <c r="M21" s="491"/>
    </row>
    <row r="22" spans="1:13" ht="15.75">
      <c r="A22" s="5" t="str">
        <f>IF((inputPrYr!$B29&gt;"  "),(inputPrYr!$B29),"  ")</f>
        <v>  </v>
      </c>
      <c r="B22" s="32" t="str">
        <f>IF(('levy page10'!$C$74)&lt;&gt;0,('levy page10'!$C$74),"  ")</f>
        <v>  </v>
      </c>
      <c r="C22" s="37" t="str">
        <f>IF(inputPrYr!D60&gt;0,inputPrYr!D60,"  ")</f>
        <v>  </v>
      </c>
      <c r="D22" s="32" t="str">
        <f>IF(('levy page10'!$D$74)&lt;&gt;0,('levy page10'!$D$74),"  ")</f>
        <v>  </v>
      </c>
      <c r="E22" s="37" t="str">
        <f>IF(inputOth!D30&gt;0,inputOth!D30,"  ")</f>
        <v>  </v>
      </c>
      <c r="F22" s="32" t="str">
        <f>IF(('levy page10'!$E$74)&lt;&gt;0,('levy page10'!$E$74),"  ")</f>
        <v>  </v>
      </c>
      <c r="G22" s="32" t="str">
        <f>IF(('levy page10'!$E$81)&lt;&gt;0,('levy page10'!$E$81),"  ")</f>
        <v>  </v>
      </c>
      <c r="H22" s="37" t="str">
        <f>IF('levy page10'!E81&gt;0,ROUND(G22/$F$37*1000,3),"  ")</f>
        <v>  </v>
      </c>
      <c r="J22" s="492" t="s">
        <v>664</v>
      </c>
      <c r="K22" s="493"/>
      <c r="L22" s="493"/>
      <c r="M22" s="779">
        <f>ROUND(F37/1000,0)</f>
        <v>0</v>
      </c>
    </row>
    <row r="23" spans="1:8" ht="15.75">
      <c r="A23" s="5" t="str">
        <f>IF((inputPrYr!$B35&gt;"  "),(inputPrYr!$B35),"  ")</f>
        <v>Special Highway</v>
      </c>
      <c r="B23" s="32" t="str">
        <f>IF((SpecHwy!$C$24)&lt;&gt;0,(SpecHwy!$C$24),"  ")</f>
        <v>  </v>
      </c>
      <c r="C23" s="26"/>
      <c r="D23" s="32" t="str">
        <f>IF((SpecHwy!$D$24)&lt;&gt;0,(SpecHwy!$D$24),"  ")</f>
        <v>  </v>
      </c>
      <c r="E23" s="26"/>
      <c r="F23" s="32" t="str">
        <f>IF((SpecHwy!$E$24)&lt;&gt;0,(SpecHwy!$E$24),"  ")</f>
        <v>  </v>
      </c>
      <c r="G23" s="26"/>
      <c r="H23" s="26"/>
    </row>
    <row r="24" spans="1:13" ht="15.75">
      <c r="A24" s="5" t="str">
        <f>IF((inputPrYr!$B36&gt;"  "),(inputPrYr!$B36),"  ")</f>
        <v>  </v>
      </c>
      <c r="B24" s="32" t="str">
        <f>IF((SpecHwy!$C$58)&lt;&gt;0,(SpecHwy!$C$58),"  ")</f>
        <v>  </v>
      </c>
      <c r="C24" s="26"/>
      <c r="D24" s="32" t="str">
        <f>IF((SpecHwy!$D$58)&lt;&gt;0,(SpecHwy!$D$58),"  ")</f>
        <v>  </v>
      </c>
      <c r="E24" s="26"/>
      <c r="F24" s="32" t="str">
        <f>IF((SpecHwy!$E$58)&lt;&gt;0,(SpecHwy!$E$58),"  ")</f>
        <v>  </v>
      </c>
      <c r="G24" s="26"/>
      <c r="H24" s="26"/>
      <c r="J24" s="1017" t="str">
        <f>CONCATENATE("Want The Mill Rate The Same As For ",H1-1,"?")</f>
        <v>Want The Mill Rate The Same As For -1?</v>
      </c>
      <c r="K24" s="1014"/>
      <c r="L24" s="1014"/>
      <c r="M24" s="1022"/>
    </row>
    <row r="25" spans="1:13" ht="15.75">
      <c r="A25" s="5" t="str">
        <f>IF((inputPrYr!$B37&gt;"  "),(inputPrYr!$B37),"  ")</f>
        <v>  </v>
      </c>
      <c r="B25" s="32">
        <f>IF(('no levy page12'!$C$30)&lt;&gt;0,('no levy page12'!$C$30),"")</f>
      </c>
      <c r="C25" s="26"/>
      <c r="D25" s="32">
        <f>IF(('no levy page12'!$D$30)&lt;&gt;0,('no levy page12'!$D$30),"")</f>
      </c>
      <c r="E25" s="26"/>
      <c r="F25" s="32">
        <f>IF(('no levy page12'!$E$30)&lt;&gt;0,('no levy page12'!$E$30),"")</f>
      </c>
      <c r="G25" s="26"/>
      <c r="H25" s="26"/>
      <c r="J25" s="496"/>
      <c r="K25" s="490"/>
      <c r="L25" s="490"/>
      <c r="M25" s="497"/>
    </row>
    <row r="26" spans="1:13" ht="15.75">
      <c r="A26" s="5" t="str">
        <f>IF((inputPrYr!$B38&gt;"  "),(inputPrYr!$B38),"  ")</f>
        <v>  </v>
      </c>
      <c r="B26" s="32">
        <f>IF(('no levy page12'!$C$61)&lt;&gt;0,('no levy page12'!$C$61),"")</f>
      </c>
      <c r="C26" s="26"/>
      <c r="D26" s="32">
        <f>IF(('no levy page12'!$D$61)&lt;&gt;0,('no levy page12'!$D$61),"")</f>
      </c>
      <c r="E26" s="26"/>
      <c r="F26" s="32">
        <f>IF(('no levy page12'!$E$61)&lt;&gt;0,('no levy page12'!$E$61),"")</f>
      </c>
      <c r="G26" s="26"/>
      <c r="H26" s="26"/>
      <c r="J26" s="496" t="str">
        <f>CONCATENATE("",H1-1," Mill Rate Was:")</f>
        <v>-1 Mill Rate Was:</v>
      </c>
      <c r="K26" s="490"/>
      <c r="L26" s="490"/>
      <c r="M26" s="498">
        <f>E31</f>
        <v>0</v>
      </c>
    </row>
    <row r="27" spans="1:13" ht="15.75">
      <c r="A27" s="5" t="str">
        <f>IF((inputPrYr!$B39&gt;"  "),(inputPrYr!$B39),"  ")</f>
        <v>  </v>
      </c>
      <c r="B27" s="32">
        <f>IF(('no levy page13'!$C$28)&lt;&gt;0,('no levy page13'!$C$28),"")</f>
      </c>
      <c r="C27" s="26"/>
      <c r="D27" s="32">
        <f>IF(('no levy page13'!$D$28)&lt;&gt;0,('no levy page13'!$D$28),"")</f>
      </c>
      <c r="E27" s="26"/>
      <c r="F27" s="32">
        <f>IF(('no levy page13'!$E$28)&lt;&gt;0,('no levy page13'!$E$28),"")</f>
      </c>
      <c r="G27" s="26"/>
      <c r="H27" s="26"/>
      <c r="J27" s="499" t="str">
        <f>CONCATENATE("",H1," Tax Levy Fund Expenditures Must Be")</f>
        <v>0 Tax Levy Fund Expenditures Must Be</v>
      </c>
      <c r="K27" s="500"/>
      <c r="L27" s="500"/>
      <c r="M27" s="497"/>
    </row>
    <row r="28" spans="1:13" ht="15.75">
      <c r="A28" s="5" t="str">
        <f>IF((inputPrYr!$B40&gt;"  "),(inputPrYr!$B40),"  ")</f>
        <v>  </v>
      </c>
      <c r="B28" s="32">
        <f>IF(('no levy page13'!$C$60)&lt;&gt;0,('no levy page13'!$C$60),"")</f>
      </c>
      <c r="C28" s="26"/>
      <c r="D28" s="32">
        <f>IF(('no levy page13'!$D$60)&lt;&gt;0,('no levy page13'!$D$60),"")</f>
      </c>
      <c r="E28" s="26"/>
      <c r="F28" s="32">
        <f>IF(('no levy page13'!$E$60)&lt;&gt;0,('no levy page13'!$E$60),"")</f>
      </c>
      <c r="G28" s="26"/>
      <c r="H28" s="26"/>
      <c r="J28" s="499">
        <f>IF(M28&gt;0,"Increased By:","")</f>
      </c>
      <c r="K28" s="500"/>
      <c r="L28" s="500"/>
      <c r="M28" s="591">
        <f>IF(M35&lt;0,M35*-1,0)</f>
        <v>0</v>
      </c>
    </row>
    <row r="29" spans="1:13" ht="15.75">
      <c r="A29" s="5" t="str">
        <f>IF((inputPrYr!$B42&gt;"  "),(inputPrYr!$B42),"  ")</f>
        <v>  </v>
      </c>
      <c r="B29" s="32">
        <f>IF((Sinnolevy14!$C$49)&lt;&gt;0,(Sinnolevy14!$C$49),"")</f>
      </c>
      <c r="C29" s="26"/>
      <c r="D29" s="32">
        <f>IF((Sinnolevy14!$D$49)&lt;&gt;0,(Sinnolevy14!$D$49),"")</f>
      </c>
      <c r="E29" s="26"/>
      <c r="F29" s="32">
        <f>IF((Sinnolevy14!$E$49)&lt;&gt;0,(Sinnolevy14!$E$49),"")</f>
      </c>
      <c r="G29" s="26"/>
      <c r="H29" s="26"/>
      <c r="J29" s="501">
        <f>IF(M29&lt;0,"Reduced By:","")</f>
      </c>
      <c r="K29" s="502"/>
      <c r="L29" s="502"/>
      <c r="M29" s="592">
        <f>IF(M35&gt;0,M35*-1,0)</f>
        <v>0</v>
      </c>
    </row>
    <row r="30" spans="1:13" ht="16.5" thickBot="1">
      <c r="A30" s="5" t="str">
        <f>IF((inputPrYr!$B45&gt;"  "),(nonbud!$A3),"  ")</f>
        <v>  </v>
      </c>
      <c r="B30" s="477" t="str">
        <f>IF((nonbud!$K$28)&lt;&gt;0,(nonbud!$K$28),"  ")</f>
        <v>  </v>
      </c>
      <c r="C30" s="478"/>
      <c r="D30" s="477"/>
      <c r="E30" s="478"/>
      <c r="F30" s="477"/>
      <c r="G30" s="478"/>
      <c r="H30" s="478"/>
      <c r="J30" s="503"/>
      <c r="K30" s="503"/>
      <c r="L30" s="503"/>
      <c r="M30" s="503"/>
    </row>
    <row r="31" spans="1:13" ht="15.75">
      <c r="A31" s="4" t="s">
        <v>625</v>
      </c>
      <c r="B31" s="475">
        <f>SUM(B16:B30)</f>
        <v>0</v>
      </c>
      <c r="C31" s="476">
        <f>SUM(C16:C22)</f>
        <v>0</v>
      </c>
      <c r="D31" s="475">
        <f>SUM(D16:D30)</f>
        <v>0</v>
      </c>
      <c r="E31" s="476">
        <f>SUM(E16:E22)</f>
        <v>0</v>
      </c>
      <c r="F31" s="475">
        <f>SUM(F16:F30)</f>
        <v>0</v>
      </c>
      <c r="G31" s="475">
        <f>SUM(G16:G24)</f>
        <v>0</v>
      </c>
      <c r="H31" s="476">
        <f>SUM(H16:H30)</f>
        <v>0</v>
      </c>
      <c r="J31" s="1017" t="str">
        <f>CONCATENATE("Impact On Keeping The Same Mill Rate As For ",H1-1,"")</f>
        <v>Impact On Keeping The Same Mill Rate As For -1</v>
      </c>
      <c r="K31" s="1020"/>
      <c r="L31" s="1020"/>
      <c r="M31" s="1021"/>
    </row>
    <row r="32" spans="1:13" ht="15.75">
      <c r="A32" s="5" t="str">
        <f>IF((inputPrYr!$B32&gt;"  "),(inputPrYr!$B32),"  ")</f>
        <v>Recreation</v>
      </c>
      <c r="B32" s="32" t="str">
        <f>IF(('Library-Rec'!$C$74)&lt;&gt;0,('Library-Rec'!$C$74),"  ")</f>
        <v>  </v>
      </c>
      <c r="C32" s="444">
        <f>IF(inputPrYr!D61&gt;0,inputPrYr!D61,"")</f>
      </c>
      <c r="D32" s="32" t="str">
        <f>IF(('Library-Rec'!$D$74)&lt;&gt;0,('Library-Rec'!$D$74),"  ")</f>
        <v>  </v>
      </c>
      <c r="E32" s="45">
        <f>IF(inputOth!D31&gt;0,inputOth!D31,"")</f>
      </c>
      <c r="F32" s="32" t="str">
        <f>IF(('Library-Rec'!$E$74)&lt;&gt;0,('Library-Rec'!$E$74),"  ")</f>
        <v>  </v>
      </c>
      <c r="G32" s="32" t="str">
        <f>IF(('Library-Rec'!$E$81)&lt;&gt;0,('Library-Rec'!$E$81),"  ")</f>
        <v>  </v>
      </c>
      <c r="H32" s="37">
        <f>IF(('Library-Rec'!E81&gt;0),ROUND(G32/$F$37*1000,3),0)</f>
        <v>0</v>
      </c>
      <c r="I32" s="442">
        <f>IF(H32&gt;inputOth!E6,"Exceed Limit","")</f>
      </c>
      <c r="J32" s="496"/>
      <c r="K32" s="490"/>
      <c r="L32" s="490"/>
      <c r="M32" s="497"/>
    </row>
    <row r="33" spans="1:13" ht="15.75">
      <c r="A33" s="4" t="s">
        <v>628</v>
      </c>
      <c r="B33" s="42">
        <f aca="true" t="shared" si="0" ref="B33:H33">SUM(B31:B32)</f>
        <v>0</v>
      </c>
      <c r="C33" s="443">
        <f t="shared" si="0"/>
        <v>0</v>
      </c>
      <c r="D33" s="42">
        <f t="shared" si="0"/>
        <v>0</v>
      </c>
      <c r="E33" s="443">
        <f t="shared" si="0"/>
        <v>0</v>
      </c>
      <c r="F33" s="42">
        <f t="shared" si="0"/>
        <v>0</v>
      </c>
      <c r="G33" s="42">
        <f t="shared" si="0"/>
        <v>0</v>
      </c>
      <c r="H33" s="43">
        <f t="shared" si="0"/>
        <v>0</v>
      </c>
      <c r="J33" s="496" t="str">
        <f>CONCATENATE("",H1," Ad Valorem Tax Revenue:")</f>
        <v>0 Ad Valorem Tax Revenue:</v>
      </c>
      <c r="K33" s="490"/>
      <c r="L33" s="490"/>
      <c r="M33" s="491">
        <f>G31</f>
        <v>0</v>
      </c>
    </row>
    <row r="34" spans="1:13" ht="15.75">
      <c r="A34" s="7" t="s">
        <v>170</v>
      </c>
      <c r="B34" s="32">
        <f>Transfers!$C$24</f>
        <v>0</v>
      </c>
      <c r="C34" s="39"/>
      <c r="D34" s="32">
        <f>Transfers!$D$24</f>
        <v>0</v>
      </c>
      <c r="E34" s="40"/>
      <c r="F34" s="32">
        <f>Transfers!$E$24</f>
        <v>0</v>
      </c>
      <c r="G34" s="35"/>
      <c r="H34" s="35"/>
      <c r="J34" s="496" t="str">
        <f>CONCATENATE("",H1-1," Ad Valorem Tax Revenue:")</f>
        <v>-1 Ad Valorem Tax Revenue:</v>
      </c>
      <c r="K34" s="490"/>
      <c r="L34" s="490"/>
      <c r="M34" s="504">
        <f>ROUND(F37*M26/1000,0)</f>
        <v>0</v>
      </c>
    </row>
    <row r="35" spans="1:13" ht="16.5" thickBot="1">
      <c r="A35" s="56" t="s">
        <v>171</v>
      </c>
      <c r="B35" s="44">
        <f>B33-B34</f>
        <v>0</v>
      </c>
      <c r="C35" s="18"/>
      <c r="D35" s="59">
        <f>D33-D34</f>
        <v>0</v>
      </c>
      <c r="E35" s="30"/>
      <c r="F35" s="59">
        <f>F33-F34</f>
        <v>0</v>
      </c>
      <c r="G35" s="35"/>
      <c r="H35" s="35"/>
      <c r="J35" s="501" t="s">
        <v>666</v>
      </c>
      <c r="K35" s="502"/>
      <c r="L35" s="502"/>
      <c r="M35" s="494">
        <f>M33-M34</f>
        <v>0</v>
      </c>
    </row>
    <row r="36" spans="1:13" ht="16.5" thickTop="1">
      <c r="A36" s="7" t="s">
        <v>172</v>
      </c>
      <c r="B36" s="57">
        <f>inputPrYr!E64</f>
        <v>0</v>
      </c>
      <c r="C36" s="35"/>
      <c r="D36" s="57">
        <f>inputPrYr!E30+inputPrYr!E32</f>
        <v>0</v>
      </c>
      <c r="E36" s="35"/>
      <c r="F36" s="58" t="s">
        <v>137</v>
      </c>
      <c r="G36" s="35"/>
      <c r="H36" s="35"/>
      <c r="I36" s="487"/>
      <c r="J36" s="495"/>
      <c r="K36" s="495"/>
      <c r="L36" s="495"/>
      <c r="M36" s="503"/>
    </row>
    <row r="37" spans="1:13" ht="15.75">
      <c r="A37" s="7" t="s">
        <v>173</v>
      </c>
      <c r="B37" s="32">
        <f>inputPrYr!E65</f>
        <v>0</v>
      </c>
      <c r="C37" s="35"/>
      <c r="D37" s="32">
        <f>inputOth!E34</f>
        <v>0</v>
      </c>
      <c r="E37" s="35"/>
      <c r="F37" s="32">
        <f>inputOth!E9</f>
        <v>0</v>
      </c>
      <c r="G37" s="35"/>
      <c r="H37" s="35"/>
      <c r="J37" s="1017" t="s">
        <v>720</v>
      </c>
      <c r="K37" s="1018"/>
      <c r="L37" s="1018"/>
      <c r="M37" s="1019"/>
    </row>
    <row r="38" spans="1:13" ht="15.75">
      <c r="A38" s="7" t="s">
        <v>174</v>
      </c>
      <c r="B38" s="6"/>
      <c r="C38" s="6"/>
      <c r="D38" s="6"/>
      <c r="E38" s="6"/>
      <c r="F38" s="6"/>
      <c r="G38" s="6"/>
      <c r="H38" s="6"/>
      <c r="J38" s="496"/>
      <c r="K38" s="490"/>
      <c r="L38" s="490"/>
      <c r="M38" s="497"/>
    </row>
    <row r="39" spans="1:13" ht="15.75">
      <c r="A39" s="7" t="s">
        <v>175</v>
      </c>
      <c r="B39" s="565">
        <f>$H$1-3</f>
        <v>-3</v>
      </c>
      <c r="C39" s="6"/>
      <c r="D39" s="565">
        <f>$H$1-2</f>
        <v>-2</v>
      </c>
      <c r="E39" s="6"/>
      <c r="F39" s="565">
        <f>$H$1-1</f>
        <v>-1</v>
      </c>
      <c r="G39" s="6"/>
      <c r="H39" s="6"/>
      <c r="J39" s="496" t="str">
        <f>CONCATENATE("Current ",H1," Estimated Mill Rate:")</f>
        <v>Current 0 Estimated Mill Rate:</v>
      </c>
      <c r="K39" s="490"/>
      <c r="L39" s="490"/>
      <c r="M39" s="498">
        <f>H31</f>
        <v>0</v>
      </c>
    </row>
    <row r="40" spans="1:13" ht="15.75">
      <c r="A40" s="7" t="s">
        <v>176</v>
      </c>
      <c r="B40" s="32">
        <f>inputPrYr!D68</f>
        <v>0</v>
      </c>
      <c r="C40" s="6"/>
      <c r="D40" s="32">
        <f>inputPrYr!E68</f>
        <v>0</v>
      </c>
      <c r="E40" s="6"/>
      <c r="F40" s="32">
        <f>debt!G20</f>
        <v>0</v>
      </c>
      <c r="G40" s="6"/>
      <c r="H40" s="6"/>
      <c r="J40" s="496" t="str">
        <f>CONCATENATE("Desired ",H1," Mill Rate:")</f>
        <v>Desired 0 Mill Rate:</v>
      </c>
      <c r="K40" s="490"/>
      <c r="L40" s="490"/>
      <c r="M40" s="488">
        <v>0</v>
      </c>
    </row>
    <row r="41" spans="1:13" ht="15.75">
      <c r="A41" s="7" t="s">
        <v>177</v>
      </c>
      <c r="B41" s="32">
        <f>inputPrYr!D69</f>
        <v>0</v>
      </c>
      <c r="C41" s="6"/>
      <c r="D41" s="32">
        <f>inputPrYr!E69</f>
        <v>0</v>
      </c>
      <c r="E41" s="6"/>
      <c r="F41" s="32">
        <f>debt!G30</f>
        <v>0</v>
      </c>
      <c r="G41" s="6"/>
      <c r="H41" s="6"/>
      <c r="J41" s="496" t="str">
        <f>CONCATENATE("",H1," Ad Valorem Tax:")</f>
        <v>0 Ad Valorem Tax:</v>
      </c>
      <c r="K41" s="490"/>
      <c r="L41" s="490"/>
      <c r="M41" s="504">
        <f>ROUND(F37*M40/1000,0)</f>
        <v>0</v>
      </c>
    </row>
    <row r="42" spans="1:13" ht="15.75">
      <c r="A42" s="27" t="s">
        <v>196</v>
      </c>
      <c r="B42" s="32">
        <f>inputPrYr!D70</f>
        <v>0</v>
      </c>
      <c r="C42" s="6"/>
      <c r="D42" s="32">
        <f>inputPrYr!E70</f>
        <v>0</v>
      </c>
      <c r="E42" s="6"/>
      <c r="F42" s="33">
        <f>debt!G38</f>
        <v>0</v>
      </c>
      <c r="G42" s="6"/>
      <c r="H42" s="6"/>
      <c r="J42" s="501" t="str">
        <f>CONCATENATE("",H1," Tax Levy Fund Exp. Changed By:")</f>
        <v>0 Tax Levy Fund Exp. Changed By:</v>
      </c>
      <c r="K42" s="502"/>
      <c r="L42" s="502"/>
      <c r="M42" s="494">
        <f>IF(M40=0,0,(M41-G31))</f>
        <v>0</v>
      </c>
    </row>
    <row r="43" spans="1:8" ht="15.75">
      <c r="A43" s="7" t="s">
        <v>264</v>
      </c>
      <c r="B43" s="32">
        <f>inputPrYr!D71</f>
        <v>0</v>
      </c>
      <c r="C43" s="6"/>
      <c r="D43" s="32">
        <f>inputPrYr!E71</f>
        <v>0</v>
      </c>
      <c r="E43" s="6"/>
      <c r="F43" s="32">
        <f>lpform!G32</f>
        <v>0</v>
      </c>
      <c r="G43" s="6"/>
      <c r="H43" s="6"/>
    </row>
    <row r="44" spans="1:8" ht="16.5" thickBot="1">
      <c r="A44" s="7" t="s">
        <v>178</v>
      </c>
      <c r="B44" s="44">
        <f>SUM(B40:B43)</f>
        <v>0</v>
      </c>
      <c r="C44" s="6"/>
      <c r="D44" s="44">
        <f>SUM(D40:D43)</f>
        <v>0</v>
      </c>
      <c r="E44" s="6"/>
      <c r="F44" s="44">
        <f>SUM(F40:F43)</f>
        <v>0</v>
      </c>
      <c r="G44" s="6"/>
      <c r="H44" s="6"/>
    </row>
    <row r="45" spans="1:8" ht="16.5" thickTop="1">
      <c r="A45" s="7" t="s">
        <v>179</v>
      </c>
      <c r="B45" s="6"/>
      <c r="C45" s="6"/>
      <c r="D45" s="6"/>
      <c r="E45" s="6"/>
      <c r="F45" s="6"/>
      <c r="G45" s="6"/>
      <c r="H45" s="6"/>
    </row>
    <row r="46" spans="1:8" ht="15.75">
      <c r="A46" s="6"/>
      <c r="B46" s="6"/>
      <c r="C46" s="6"/>
      <c r="D46" s="6"/>
      <c r="E46" s="6"/>
      <c r="F46" s="6"/>
      <c r="G46" s="6"/>
      <c r="H46" s="6"/>
    </row>
    <row r="47" spans="1:8" ht="15.75">
      <c r="A47" s="1023">
        <f>inputBudSum!B3</f>
        <v>0</v>
      </c>
      <c r="B47" s="1024"/>
      <c r="C47" s="472"/>
      <c r="D47" s="6"/>
      <c r="E47" s="6"/>
      <c r="F47" s="6"/>
      <c r="G47" s="6"/>
      <c r="H47" s="6"/>
    </row>
    <row r="48" spans="1:8" ht="15.75">
      <c r="A48" s="1013" t="str">
        <f>CONCATENATE("City Official Title: ",inputBudSum!B5,"")</f>
        <v>City Official Title: </v>
      </c>
      <c r="B48" s="1014"/>
      <c r="C48" s="471"/>
      <c r="D48" s="6"/>
      <c r="E48" s="6"/>
      <c r="F48" s="6"/>
      <c r="G48" s="6"/>
      <c r="H48" s="6"/>
    </row>
    <row r="49" spans="1:8" ht="15.75">
      <c r="A49" s="16"/>
      <c r="B49" s="35"/>
      <c r="C49" s="36"/>
      <c r="D49" s="6"/>
      <c r="E49" s="6"/>
      <c r="F49" s="6"/>
      <c r="G49" s="6"/>
      <c r="H49" s="6"/>
    </row>
    <row r="50" spans="1:8" ht="15.75">
      <c r="A50" s="6"/>
      <c r="B50" s="6"/>
      <c r="C50" s="6"/>
      <c r="D50" s="6"/>
      <c r="E50" s="6"/>
      <c r="F50" s="6"/>
      <c r="G50" s="6"/>
      <c r="H50" s="6"/>
    </row>
    <row r="51" spans="1:8" ht="15.75">
      <c r="A51" s="6"/>
      <c r="B51" s="6"/>
      <c r="C51" s="17" t="s">
        <v>180</v>
      </c>
      <c r="D51" s="747"/>
      <c r="E51" s="6"/>
      <c r="F51" s="6"/>
      <c r="G51" s="6"/>
      <c r="H51" s="6"/>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2">
    <mergeCell ref="J37:M37"/>
    <mergeCell ref="J31:M31"/>
    <mergeCell ref="J20:M20"/>
    <mergeCell ref="J24:M24"/>
    <mergeCell ref="A47:B47"/>
    <mergeCell ref="A7:H7"/>
    <mergeCell ref="A8:H8"/>
    <mergeCell ref="A48:B4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R136" sqref="R136"/>
    </sheetView>
  </sheetViews>
  <sheetFormatPr defaultColWidth="8.796875" defaultRowHeight="15"/>
  <cols>
    <col min="1" max="1" width="12.69921875" style="0" customWidth="1"/>
    <col min="2" max="2" width="18.09765625" style="0" customWidth="1"/>
    <col min="3" max="5" width="11.796875" style="0" customWidth="1"/>
  </cols>
  <sheetData>
    <row r="1" spans="1:6" ht="15.75">
      <c r="A1" s="49">
        <f>inputPrYr!D3</f>
        <v>0</v>
      </c>
      <c r="B1" s="3"/>
      <c r="C1" s="3"/>
      <c r="D1" s="3"/>
      <c r="E1" s="3"/>
      <c r="F1" s="3">
        <f>inputPrYr!C6</f>
        <v>0</v>
      </c>
    </row>
    <row r="2" spans="1:6" ht="15.75">
      <c r="A2" s="49"/>
      <c r="B2" s="3"/>
      <c r="C2" s="3"/>
      <c r="D2" s="3"/>
      <c r="E2" s="3"/>
      <c r="F2" s="3"/>
    </row>
    <row r="3" spans="1:6" ht="15.75">
      <c r="A3" s="3"/>
      <c r="B3" s="3"/>
      <c r="C3" s="3"/>
      <c r="D3" s="3"/>
      <c r="E3" s="3"/>
      <c r="F3" s="3"/>
    </row>
    <row r="4" spans="1:6" ht="15.75">
      <c r="A4" s="6"/>
      <c r="B4" s="1025" t="str">
        <f>CONCATENATE("",F1," Neighborhood Revitalization Rebate")</f>
        <v>0 Neighborhood Revitalization Rebate</v>
      </c>
      <c r="C4" s="1026"/>
      <c r="D4" s="1026"/>
      <c r="E4" s="1027"/>
      <c r="F4" s="3"/>
    </row>
    <row r="5" spans="1:6" ht="15.75">
      <c r="A5" s="6"/>
      <c r="B5" s="6"/>
      <c r="C5" s="6"/>
      <c r="D5" s="6"/>
      <c r="E5" s="6"/>
      <c r="F5" s="3"/>
    </row>
    <row r="6" spans="1:6" ht="51.75" customHeight="1">
      <c r="A6" s="6"/>
      <c r="B6" s="371" t="str">
        <f>CONCATENATE("Budgeted Funds                      for ",F1,"")</f>
        <v>Budgeted Funds                      for 0</v>
      </c>
      <c r="C6" s="371" t="str">
        <f>CONCATENATE("",F1-1," Ad Valorem before Rebate**")</f>
        <v>-1 Ad Valorem before Rebate**</v>
      </c>
      <c r="D6" s="372" t="str">
        <f>CONCATENATE("",F1-1," Mil Rate before Rebate")</f>
        <v>-1 Mil Rate before Rebate</v>
      </c>
      <c r="E6" s="373" t="str">
        <f>CONCATENATE("Estimate ",F1," NR Rebate")</f>
        <v>Estimate 0 NR Rebate</v>
      </c>
      <c r="F6" s="3"/>
    </row>
    <row r="7" spans="1:6" ht="15.75">
      <c r="A7" s="6"/>
      <c r="B7" s="4" t="s">
        <v>116</v>
      </c>
      <c r="C7" s="55"/>
      <c r="D7" s="45">
        <f aca="true" t="shared" si="0" ref="D7:D13">IF(C7&gt;0,C7/$D$20,"")</f>
      </c>
      <c r="E7" s="32">
        <f aca="true" t="shared" si="1" ref="E7:E14">IF(C7&gt;0,ROUND(D7*$D$24,0),0)</f>
        <v>0</v>
      </c>
      <c r="F7" s="3"/>
    </row>
    <row r="8" spans="1:6" ht="15.75">
      <c r="A8" s="6"/>
      <c r="B8" s="4" t="str">
        <f>inputPrYr!B23</f>
        <v>Debt Service</v>
      </c>
      <c r="C8" s="55"/>
      <c r="D8" s="45">
        <f t="shared" si="0"/>
      </c>
      <c r="E8" s="32">
        <f t="shared" si="1"/>
        <v>0</v>
      </c>
      <c r="F8" s="3"/>
    </row>
    <row r="9" spans="1:6" ht="15.75">
      <c r="A9" s="6"/>
      <c r="B9" s="4" t="str">
        <f>inputPrYr!B24</f>
        <v>Library</v>
      </c>
      <c r="C9" s="55"/>
      <c r="D9" s="45">
        <f t="shared" si="0"/>
      </c>
      <c r="E9" s="32">
        <f t="shared" si="1"/>
        <v>0</v>
      </c>
      <c r="F9" s="3"/>
    </row>
    <row r="10" spans="1:6" ht="15.75">
      <c r="A10" s="6"/>
      <c r="B10" s="5" t="str">
        <f>IF((inputPrYr!$B26&gt;"  "),(inputPrYr!$B26),"  ")</f>
        <v>  </v>
      </c>
      <c r="C10" s="55"/>
      <c r="D10" s="45">
        <f t="shared" si="0"/>
      </c>
      <c r="E10" s="32">
        <f t="shared" si="1"/>
        <v>0</v>
      </c>
      <c r="F10" s="3"/>
    </row>
    <row r="11" spans="1:6" ht="15.75">
      <c r="A11" s="6"/>
      <c r="B11" s="5" t="str">
        <f>IF((inputPrYr!$B27&gt;"  "),(inputPrYr!$B27),"  ")</f>
        <v>  </v>
      </c>
      <c r="C11" s="55"/>
      <c r="D11" s="45">
        <f t="shared" si="0"/>
      </c>
      <c r="E11" s="32">
        <f t="shared" si="1"/>
        <v>0</v>
      </c>
      <c r="F11" s="3"/>
    </row>
    <row r="12" spans="1:6" ht="15.75">
      <c r="A12" s="6"/>
      <c r="B12" s="5" t="str">
        <f>IF((inputPrYr!$B28&gt;"  "),(inputPrYr!$B28),"  ")</f>
        <v>  </v>
      </c>
      <c r="C12" s="55"/>
      <c r="D12" s="45">
        <f t="shared" si="0"/>
      </c>
      <c r="E12" s="32">
        <f t="shared" si="1"/>
        <v>0</v>
      </c>
      <c r="F12" s="3"/>
    </row>
    <row r="13" spans="1:6" ht="15.75">
      <c r="A13" s="6"/>
      <c r="B13" s="5" t="str">
        <f>IF((inputPrYr!$B29&gt;"  "),(inputPrYr!$B29),"  ")</f>
        <v>  </v>
      </c>
      <c r="C13" s="55"/>
      <c r="D13" s="45">
        <f t="shared" si="0"/>
      </c>
      <c r="E13" s="32">
        <f t="shared" si="1"/>
        <v>0</v>
      </c>
      <c r="F13" s="3"/>
    </row>
    <row r="14" spans="1:6" ht="15.75">
      <c r="A14" s="6"/>
      <c r="B14" s="5" t="str">
        <f>inputPrYr!B32</f>
        <v>Recreation</v>
      </c>
      <c r="C14" s="388"/>
      <c r="D14" s="45">
        <f>IF(C14&gt;0,C14/$D$20,"")</f>
      </c>
      <c r="E14" s="32">
        <f t="shared" si="1"/>
        <v>0</v>
      </c>
      <c r="F14" s="3"/>
    </row>
    <row r="15" spans="1:6" ht="16.5" thickBot="1">
      <c r="A15" s="6"/>
      <c r="B15" s="15" t="s">
        <v>143</v>
      </c>
      <c r="C15" s="34">
        <f>SUM(C7:C14)</f>
        <v>0</v>
      </c>
      <c r="D15" s="46">
        <f>SUM(D7:D14)</f>
        <v>0</v>
      </c>
      <c r="E15" s="34">
        <f>SUM(E7:E14)</f>
        <v>0</v>
      </c>
      <c r="F15" s="3"/>
    </row>
    <row r="16" spans="1:6" ht="16.5" thickTop="1">
      <c r="A16" s="6"/>
      <c r="B16" s="6"/>
      <c r="C16" s="6"/>
      <c r="D16" s="6"/>
      <c r="E16" s="6"/>
      <c r="F16" s="3"/>
    </row>
    <row r="17" spans="1:6" ht="15.75">
      <c r="A17" s="6"/>
      <c r="B17" s="6"/>
      <c r="C17" s="6"/>
      <c r="D17" s="6"/>
      <c r="E17" s="6"/>
      <c r="F17" s="3"/>
    </row>
    <row r="18" spans="1:6" ht="15.75">
      <c r="A18" s="1030" t="str">
        <f>CONCATENATE("",F1-1," July 1 Valuation:")</f>
        <v>-1 July 1 Valuation:</v>
      </c>
      <c r="B18" s="1029"/>
      <c r="C18" s="1030"/>
      <c r="D18" s="38">
        <f>inputOth!E9</f>
        <v>0</v>
      </c>
      <c r="E18" s="6"/>
      <c r="F18" s="3"/>
    </row>
    <row r="19" spans="1:6" ht="15.75">
      <c r="A19" s="6"/>
      <c r="B19" s="6"/>
      <c r="C19" s="6"/>
      <c r="D19" s="6"/>
      <c r="E19" s="6"/>
      <c r="F19" s="3"/>
    </row>
    <row r="20" spans="1:6" ht="15.75">
      <c r="A20" s="6"/>
      <c r="B20" s="1030" t="s">
        <v>309</v>
      </c>
      <c r="C20" s="1030"/>
      <c r="D20" s="50">
        <f>IF(D18&gt;0,(D18*0.001),"")</f>
      </c>
      <c r="E20" s="6"/>
      <c r="F20" s="3"/>
    </row>
    <row r="21" spans="1:6" ht="15.75">
      <c r="A21" s="6"/>
      <c r="B21" s="17"/>
      <c r="C21" s="17"/>
      <c r="D21" s="51"/>
      <c r="E21" s="6"/>
      <c r="F21" s="3"/>
    </row>
    <row r="22" spans="1:6" ht="15.75">
      <c r="A22" s="1028" t="s">
        <v>310</v>
      </c>
      <c r="B22" s="1027"/>
      <c r="C22" s="1027"/>
      <c r="D22" s="52">
        <f>inputOth!E20</f>
        <v>0</v>
      </c>
      <c r="E22" s="29"/>
      <c r="F22" s="29"/>
    </row>
    <row r="23" spans="1:6" ht="15">
      <c r="A23" s="29"/>
      <c r="B23" s="29"/>
      <c r="C23" s="29"/>
      <c r="D23" s="53"/>
      <c r="E23" s="29"/>
      <c r="F23" s="29"/>
    </row>
    <row r="24" spans="1:6" ht="15.75">
      <c r="A24" s="29"/>
      <c r="B24" s="1028" t="s">
        <v>311</v>
      </c>
      <c r="C24" s="1029"/>
      <c r="D24" s="54">
        <f>IF(D22&gt;0,(D22*0.001),"")</f>
      </c>
      <c r="E24" s="29"/>
      <c r="F24" s="29"/>
    </row>
    <row r="25" spans="1:6" ht="15">
      <c r="A25" s="29"/>
      <c r="B25" s="29"/>
      <c r="C25" s="29"/>
      <c r="D25" s="29"/>
      <c r="E25" s="29"/>
      <c r="F25" s="29"/>
    </row>
    <row r="26" spans="1:6" ht="15">
      <c r="A26" s="29"/>
      <c r="B26" s="29"/>
      <c r="C26" s="29"/>
      <c r="D26" s="29"/>
      <c r="E26" s="29"/>
      <c r="F26" s="29"/>
    </row>
    <row r="27" spans="1:6" ht="15.75">
      <c r="A27" s="370" t="str">
        <f>CONCATENATE("**This information comes from the ",F1," Budget Summary page.  See instructions tab #12 for completing")</f>
        <v>**This information comes from the 0 Budget Summary page.  See instructions tab #12 for completing</v>
      </c>
      <c r="B27" s="29"/>
      <c r="C27" s="29"/>
      <c r="D27" s="29"/>
      <c r="E27" s="29"/>
      <c r="F27" s="29"/>
    </row>
    <row r="28" spans="1:6" ht="15.75">
      <c r="A28" s="370" t="s">
        <v>588</v>
      </c>
      <c r="B28" s="29"/>
      <c r="C28" s="29"/>
      <c r="D28" s="29"/>
      <c r="E28" s="29"/>
      <c r="F28" s="29"/>
    </row>
    <row r="29" spans="1:6" ht="15.75">
      <c r="A29" s="370"/>
      <c r="B29" s="29"/>
      <c r="C29" s="29"/>
      <c r="D29" s="29"/>
      <c r="E29" s="29"/>
      <c r="F29" s="29"/>
    </row>
    <row r="30" spans="1:6" ht="15.75">
      <c r="A30" s="370"/>
      <c r="B30" s="29"/>
      <c r="C30" s="29"/>
      <c r="D30" s="29"/>
      <c r="E30" s="29"/>
      <c r="F30" s="29"/>
    </row>
    <row r="31" spans="1:6" ht="15">
      <c r="A31" s="29"/>
      <c r="B31" s="29"/>
      <c r="C31" s="29"/>
      <c r="D31" s="29"/>
      <c r="E31" s="29"/>
      <c r="F31" s="53"/>
    </row>
    <row r="32" spans="1:6" ht="15">
      <c r="A32" s="29"/>
      <c r="B32" s="29"/>
      <c r="C32" s="29"/>
      <c r="D32" s="29"/>
      <c r="E32" s="29"/>
      <c r="F32" s="29"/>
    </row>
    <row r="33" spans="1:6" ht="15.75">
      <c r="A33" s="29"/>
      <c r="B33" s="41" t="s">
        <v>161</v>
      </c>
      <c r="C33" s="747"/>
      <c r="D33" s="29"/>
      <c r="E33" s="29"/>
      <c r="F33" s="29"/>
    </row>
  </sheetData>
  <sheetProtection sheet="1"/>
  <mergeCells count="5">
    <mergeCell ref="B4:E4"/>
    <mergeCell ref="B24:C24"/>
    <mergeCell ref="A18:C18"/>
    <mergeCell ref="B20:C20"/>
    <mergeCell ref="A22:C22"/>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K20" sqref="K20"/>
    </sheetView>
  </sheetViews>
  <sheetFormatPr defaultColWidth="8.7968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3">
        <f>inputPrYr!$D$3</f>
        <v>0</v>
      </c>
      <c r="B1" s="124"/>
      <c r="C1" s="124"/>
      <c r="D1" s="124"/>
      <c r="E1" s="125">
        <f>inputPrYr!C6</f>
        <v>0</v>
      </c>
    </row>
    <row r="2" spans="1:5" ht="15">
      <c r="A2" s="124"/>
      <c r="B2" s="124"/>
      <c r="C2" s="124"/>
      <c r="D2" s="124"/>
      <c r="E2" s="124"/>
    </row>
    <row r="3" spans="1:5" ht="15.75">
      <c r="A3" s="941" t="s">
        <v>986</v>
      </c>
      <c r="B3" s="942"/>
      <c r="C3" s="942"/>
      <c r="D3" s="942"/>
      <c r="E3" s="942"/>
    </row>
    <row r="4" spans="1:5" ht="15.75">
      <c r="A4" s="82"/>
      <c r="B4" s="82"/>
      <c r="C4" s="82"/>
      <c r="D4" s="82"/>
      <c r="E4" s="82"/>
    </row>
    <row r="5" spans="1:5" ht="15.75">
      <c r="A5" s="959" t="s">
        <v>611</v>
      </c>
      <c r="B5" s="960"/>
      <c r="C5" s="82"/>
      <c r="D5" s="411" t="s">
        <v>612</v>
      </c>
      <c r="E5" s="410" t="s">
        <v>613</v>
      </c>
    </row>
    <row r="6" spans="1:5" ht="15.75">
      <c r="A6" s="82" t="s">
        <v>614</v>
      </c>
      <c r="B6" s="769"/>
      <c r="C6" s="409"/>
      <c r="D6" s="171" t="s">
        <v>609</v>
      </c>
      <c r="E6" s="560"/>
    </row>
    <row r="7" spans="1:5" ht="15.75">
      <c r="A7" s="82"/>
      <c r="B7" s="82"/>
      <c r="C7" s="82"/>
      <c r="D7" s="82"/>
      <c r="E7" s="82"/>
    </row>
    <row r="8" spans="1:5" ht="15.75">
      <c r="A8" s="770" t="s">
        <v>988</v>
      </c>
      <c r="B8" s="771"/>
      <c r="C8" s="74"/>
      <c r="D8" s="74"/>
      <c r="E8" s="91"/>
    </row>
    <row r="9" spans="1:5" ht="15.75">
      <c r="A9" s="126" t="str">
        <f>CONCATENATE("Total Assessed Valuation for ",E1-1,"")</f>
        <v>Total Assessed Valuation for -1</v>
      </c>
      <c r="B9" s="114"/>
      <c r="C9" s="114"/>
      <c r="D9" s="114"/>
      <c r="E9" s="90"/>
    </row>
    <row r="10" spans="1:5" ht="15.75">
      <c r="A10" s="126" t="str">
        <f>CONCATENATE("New Improvements for ",E1-1,"")</f>
        <v>New Improvements for -1</v>
      </c>
      <c r="B10" s="114"/>
      <c r="C10" s="114"/>
      <c r="D10" s="114"/>
      <c r="E10" s="127"/>
    </row>
    <row r="11" spans="1:5" ht="15.75">
      <c r="A11" s="126" t="str">
        <f>CONCATENATE("Personal Property - ",E1-1,"")</f>
        <v>Personal Property - -1</v>
      </c>
      <c r="B11" s="114"/>
      <c r="C11" s="114"/>
      <c r="D11" s="114"/>
      <c r="E11" s="127"/>
    </row>
    <row r="12" spans="1:5" ht="15.75">
      <c r="A12" s="128" t="s">
        <v>257</v>
      </c>
      <c r="B12" s="114"/>
      <c r="C12" s="114"/>
      <c r="D12" s="114"/>
      <c r="E12" s="109"/>
    </row>
    <row r="13" spans="1:5" ht="15.75">
      <c r="A13" s="126" t="s">
        <v>249</v>
      </c>
      <c r="B13" s="114"/>
      <c r="C13" s="114"/>
      <c r="D13" s="114"/>
      <c r="E13" s="127"/>
    </row>
    <row r="14" spans="1:5" ht="15.75">
      <c r="A14" s="126" t="s">
        <v>250</v>
      </c>
      <c r="B14" s="114"/>
      <c r="C14" s="114"/>
      <c r="D14" s="114"/>
      <c r="E14" s="127"/>
    </row>
    <row r="15" spans="1:5" ht="15.75">
      <c r="A15" s="126" t="s">
        <v>251</v>
      </c>
      <c r="B15" s="114"/>
      <c r="C15" s="114"/>
      <c r="D15" s="114"/>
      <c r="E15" s="127"/>
    </row>
    <row r="16" spans="1:5" ht="15.75">
      <c r="A16" s="126" t="str">
        <f>CONCATENATE("Property that has changed in use for ",E1-1,"")</f>
        <v>Property that has changed in use for -1</v>
      </c>
      <c r="B16" s="114"/>
      <c r="C16" s="114"/>
      <c r="D16" s="114"/>
      <c r="E16" s="127"/>
    </row>
    <row r="17" spans="1:5" ht="15.75">
      <c r="A17" s="126" t="str">
        <f>CONCATENATE("Personal Property - ",E1-2,"")</f>
        <v>Personal Property - -2</v>
      </c>
      <c r="B17" s="114"/>
      <c r="C17" s="114"/>
      <c r="D17" s="114"/>
      <c r="E17" s="127"/>
    </row>
    <row r="18" spans="1:5" ht="15.75">
      <c r="A18" s="126" t="s">
        <v>1083</v>
      </c>
      <c r="B18" s="114"/>
      <c r="C18" s="114"/>
      <c r="D18" s="114"/>
      <c r="E18" s="127"/>
    </row>
    <row r="19" spans="1:5" ht="15.75">
      <c r="A19" s="126" t="str">
        <f>CONCATENATE("Gross earnings (intangible) tax estimate for ",E1,"")</f>
        <v>Gross earnings (intangible) tax estimate for 0</v>
      </c>
      <c r="B19" s="114"/>
      <c r="C19" s="114"/>
      <c r="D19" s="115"/>
      <c r="E19" s="90"/>
    </row>
    <row r="20" spans="1:5" ht="15.75">
      <c r="A20" s="126" t="s">
        <v>43</v>
      </c>
      <c r="B20" s="114"/>
      <c r="C20" s="114"/>
      <c r="D20" s="114"/>
      <c r="E20" s="120"/>
    </row>
    <row r="21" spans="1:5" ht="15.75">
      <c r="A21" s="102"/>
      <c r="B21" s="99"/>
      <c r="C21" s="99"/>
      <c r="D21" s="99"/>
      <c r="E21" s="104"/>
    </row>
    <row r="22" spans="1:5" ht="15.75">
      <c r="A22" s="102" t="str">
        <f>CONCATENATE("Actual Tax Rates for the ",E1-1," Budget:")</f>
        <v>Actual Tax Rates for the -1 Budget:</v>
      </c>
      <c r="B22" s="99"/>
      <c r="C22" s="99"/>
      <c r="D22" s="99"/>
      <c r="E22" s="104"/>
    </row>
    <row r="23" spans="1:5" ht="15.75">
      <c r="A23" s="954" t="s">
        <v>135</v>
      </c>
      <c r="B23" s="944"/>
      <c r="C23" s="124"/>
      <c r="D23" s="129" t="s">
        <v>184</v>
      </c>
      <c r="E23" s="104"/>
    </row>
    <row r="24" spans="1:5" ht="15.75">
      <c r="A24" s="94" t="str">
        <f>inputPrYr!B22</f>
        <v>General</v>
      </c>
      <c r="B24" s="95"/>
      <c r="C24" s="99"/>
      <c r="D24" s="743"/>
      <c r="E24" s="104"/>
    </row>
    <row r="25" spans="1:5" ht="15.75">
      <c r="A25" s="94" t="str">
        <f>inputPrYr!B23</f>
        <v>Debt Service</v>
      </c>
      <c r="B25" s="114"/>
      <c r="C25" s="99"/>
      <c r="D25" s="743"/>
      <c r="E25" s="104"/>
    </row>
    <row r="26" spans="1:5" ht="15.75">
      <c r="A26" s="94" t="str">
        <f>inputPrYr!B24</f>
        <v>Library</v>
      </c>
      <c r="B26" s="114"/>
      <c r="C26" s="99"/>
      <c r="D26" s="743"/>
      <c r="E26" s="104"/>
    </row>
    <row r="27" spans="1:5" ht="15.75">
      <c r="A27" s="126">
        <f>inputPrYr!B26</f>
        <v>0</v>
      </c>
      <c r="B27" s="114"/>
      <c r="C27" s="99"/>
      <c r="D27" s="743"/>
      <c r="E27" s="104"/>
    </row>
    <row r="28" spans="1:5" ht="15.75">
      <c r="A28" s="126">
        <f>inputPrYr!B27</f>
        <v>0</v>
      </c>
      <c r="B28" s="114"/>
      <c r="C28" s="99"/>
      <c r="D28" s="743"/>
      <c r="E28" s="104"/>
    </row>
    <row r="29" spans="1:5" ht="15.75">
      <c r="A29" s="126">
        <f>inputPrYr!B28</f>
        <v>0</v>
      </c>
      <c r="B29" s="114"/>
      <c r="C29" s="99"/>
      <c r="D29" s="743"/>
      <c r="E29" s="104"/>
    </row>
    <row r="30" spans="1:5" ht="15.75">
      <c r="A30" s="126">
        <f>inputPrYr!B29</f>
        <v>0</v>
      </c>
      <c r="B30" s="130"/>
      <c r="C30" s="99"/>
      <c r="D30" s="744"/>
      <c r="E30" s="104"/>
    </row>
    <row r="31" spans="1:5" ht="15.75">
      <c r="A31" s="126" t="str">
        <f>inputPrYr!B32</f>
        <v>Recreation</v>
      </c>
      <c r="B31" s="130"/>
      <c r="C31" s="99"/>
      <c r="D31" s="743"/>
      <c r="E31" s="104"/>
    </row>
    <row r="32" spans="1:5" ht="15.75">
      <c r="A32" s="131"/>
      <c r="B32" s="89" t="s">
        <v>120</v>
      </c>
      <c r="C32" s="132"/>
      <c r="D32" s="112">
        <f>SUM(D24:D31)</f>
        <v>0</v>
      </c>
      <c r="E32" s="131"/>
    </row>
    <row r="33" spans="1:5" ht="15">
      <c r="A33" s="131"/>
      <c r="B33" s="131"/>
      <c r="C33" s="131"/>
      <c r="D33" s="131"/>
      <c r="E33" s="131"/>
    </row>
    <row r="34" spans="1:5" ht="15.75">
      <c r="A34" s="95" t="str">
        <f>CONCATENATE("Final Assessed Valuation from the November 1, ",E1-2," Abstract")</f>
        <v>Final Assessed Valuation from the November 1, -2 Abstract</v>
      </c>
      <c r="B34" s="133"/>
      <c r="C34" s="133"/>
      <c r="D34" s="133"/>
      <c r="E34" s="120"/>
    </row>
    <row r="35" spans="1:5" ht="15">
      <c r="A35" s="131"/>
      <c r="B35" s="131"/>
      <c r="C35" s="131"/>
      <c r="D35" s="131"/>
      <c r="E35" s="131"/>
    </row>
    <row r="36" spans="1:5" ht="15.75">
      <c r="A36" s="772" t="s">
        <v>258</v>
      </c>
      <c r="B36" s="113"/>
      <c r="C36" s="113"/>
      <c r="D36" s="773"/>
      <c r="E36" s="91"/>
    </row>
    <row r="37" spans="1:5" ht="15.75">
      <c r="A37" s="94" t="s">
        <v>121</v>
      </c>
      <c r="B37" s="95"/>
      <c r="C37" s="95"/>
      <c r="D37" s="134"/>
      <c r="E37" s="90"/>
    </row>
    <row r="38" spans="1:5" ht="15.75">
      <c r="A38" s="126" t="s">
        <v>122</v>
      </c>
      <c r="B38" s="114"/>
      <c r="C38" s="114"/>
      <c r="D38" s="135"/>
      <c r="E38" s="90"/>
    </row>
    <row r="39" spans="1:5" ht="15.75">
      <c r="A39" s="126" t="s">
        <v>211</v>
      </c>
      <c r="B39" s="114"/>
      <c r="C39" s="114"/>
      <c r="D39" s="135"/>
      <c r="E39" s="90"/>
    </row>
    <row r="40" spans="1:5" ht="15.75">
      <c r="A40" s="126" t="s">
        <v>990</v>
      </c>
      <c r="B40" s="114"/>
      <c r="C40" s="114"/>
      <c r="D40" s="135"/>
      <c r="E40" s="90"/>
    </row>
    <row r="41" spans="1:5" ht="15.75">
      <c r="A41" s="126" t="s">
        <v>991</v>
      </c>
      <c r="B41" s="114"/>
      <c r="C41" s="114"/>
      <c r="D41" s="135"/>
      <c r="E41" s="90"/>
    </row>
    <row r="42" spans="1:5" ht="15.75">
      <c r="A42" s="126" t="s">
        <v>108</v>
      </c>
      <c r="B42" s="114"/>
      <c r="C42" s="114"/>
      <c r="D42" s="135"/>
      <c r="E42" s="90"/>
    </row>
    <row r="43" spans="1:5" ht="15.75">
      <c r="A43" s="126" t="s">
        <v>110</v>
      </c>
      <c r="B43" s="114"/>
      <c r="C43" s="114"/>
      <c r="D43" s="135"/>
      <c r="E43" s="90"/>
    </row>
    <row r="44" spans="1:5" ht="15.75">
      <c r="A44" s="74" t="s">
        <v>248</v>
      </c>
      <c r="B44" s="74"/>
      <c r="C44" s="74"/>
      <c r="D44" s="74"/>
      <c r="E44" s="74"/>
    </row>
    <row r="45" spans="1:5" ht="15.75">
      <c r="A45" s="76" t="s">
        <v>142</v>
      </c>
      <c r="B45" s="80"/>
      <c r="C45" s="80"/>
      <c r="D45" s="74"/>
      <c r="E45" s="74"/>
    </row>
    <row r="46" spans="1:5" ht="15.75">
      <c r="A46" s="102" t="str">
        <f>CONCATENATE("Actual Delinquency for ",E1-3," Tax - (e.g. rate .01213 = 1.213%;  key in 1.2)")</f>
        <v>Actual Delinquency for -3 Tax - (e.g. rate .01213 = 1.213%;  key in 1.2)</v>
      </c>
      <c r="B46" s="99"/>
      <c r="C46" s="99"/>
      <c r="D46" s="99"/>
      <c r="E46" s="74"/>
    </row>
    <row r="47" spans="1:5" ht="15.75">
      <c r="A47" s="94" t="s">
        <v>859</v>
      </c>
      <c r="B47" s="102"/>
      <c r="C47" s="99"/>
      <c r="D47" s="99"/>
      <c r="E47" s="608"/>
    </row>
    <row r="48" spans="1:5" ht="15.75">
      <c r="A48" s="136" t="s">
        <v>7</v>
      </c>
      <c r="B48" s="136"/>
      <c r="C48" s="137"/>
      <c r="D48" s="137"/>
      <c r="E48" s="138"/>
    </row>
    <row r="49" spans="1:5" ht="15.75">
      <c r="A49" s="74"/>
      <c r="B49" s="74"/>
      <c r="C49" s="74"/>
      <c r="D49" s="74"/>
      <c r="E49" s="74"/>
    </row>
    <row r="50" spans="1:5" ht="15.75">
      <c r="A50" s="775" t="s">
        <v>42</v>
      </c>
      <c r="B50" s="776"/>
      <c r="C50" s="777"/>
      <c r="D50" s="777"/>
      <c r="E50" s="778"/>
    </row>
    <row r="51" spans="1:5" ht="15.75">
      <c r="A51" s="139" t="str">
        <f>CONCATENATE("",E1," State Distribution for Kansas Gas Tax")</f>
        <v>0 State Distribution for Kansas Gas Tax</v>
      </c>
      <c r="B51" s="140"/>
      <c r="C51" s="140"/>
      <c r="D51" s="141"/>
      <c r="E51" s="774"/>
    </row>
    <row r="52" spans="1:5" ht="15.75">
      <c r="A52" s="142" t="str">
        <f>CONCATENATE("",E1," County Transfers for Gas***")</f>
        <v>0 County Transfers for Gas***</v>
      </c>
      <c r="B52" s="143"/>
      <c r="C52" s="143"/>
      <c r="D52" s="144"/>
      <c r="E52" s="120"/>
    </row>
    <row r="53" spans="1:5" ht="15.75">
      <c r="A53" s="142" t="str">
        <f>CONCATENATE("Adjusted ",E1-1," State Distribution for Kansas Gas Tax")</f>
        <v>Adjusted -1 State Distribution for Kansas Gas Tax</v>
      </c>
      <c r="B53" s="143"/>
      <c r="C53" s="143"/>
      <c r="D53" s="144"/>
      <c r="E53" s="120"/>
    </row>
    <row r="54" spans="1:5" ht="15.75">
      <c r="A54" s="142" t="str">
        <f>CONCATENATE("Adjusted ",E1-1," County Transfers for Gas***")</f>
        <v>Adjusted -1 County Transfers for Gas***</v>
      </c>
      <c r="B54" s="143"/>
      <c r="C54" s="143"/>
      <c r="D54" s="144"/>
      <c r="E54" s="120"/>
    </row>
    <row r="55" spans="1:5" ht="18" customHeight="1">
      <c r="A55" s="955" t="s">
        <v>13</v>
      </c>
      <c r="B55" s="956"/>
      <c r="C55" s="956"/>
      <c r="D55" s="956"/>
      <c r="E55" s="956"/>
    </row>
    <row r="56" spans="1:5" ht="15">
      <c r="A56" s="145" t="s">
        <v>14</v>
      </c>
      <c r="B56" s="145"/>
      <c r="C56" s="145"/>
      <c r="D56" s="145"/>
      <c r="E56" s="145"/>
    </row>
    <row r="57" spans="1:5" ht="15">
      <c r="A57" s="124"/>
      <c r="B57" s="124"/>
      <c r="C57" s="124"/>
      <c r="D57" s="124"/>
      <c r="E57" s="124"/>
    </row>
    <row r="58" spans="1:5" ht="15.75">
      <c r="A58" s="957" t="str">
        <f>CONCATENATE("From the ",E1-2," Budget Certificate Page")</f>
        <v>From the -2 Budget Certificate Page</v>
      </c>
      <c r="B58" s="958"/>
      <c r="C58" s="124"/>
      <c r="D58" s="124"/>
      <c r="E58" s="124"/>
    </row>
    <row r="59" spans="1:5" ht="15.75">
      <c r="A59" s="146"/>
      <c r="B59" s="146" t="str">
        <f>CONCATENATE("",E1-2," Expenditure Amounts")</f>
        <v>-2 Expenditure Amounts</v>
      </c>
      <c r="C59" s="952" t="str">
        <f>CONCATENATE("Note: If the ",E1-2," budget was amended, then the")</f>
        <v>Note: If the -2 budget was amended, then the</v>
      </c>
      <c r="D59" s="953"/>
      <c r="E59" s="953"/>
    </row>
    <row r="60" spans="1:5" ht="15.75">
      <c r="A60" s="147" t="s">
        <v>47</v>
      </c>
      <c r="B60" s="147" t="s">
        <v>46</v>
      </c>
      <c r="C60" s="148" t="s">
        <v>44</v>
      </c>
      <c r="D60" s="149"/>
      <c r="E60" s="149"/>
    </row>
    <row r="61" spans="1:5" ht="15.75">
      <c r="A61" s="150" t="str">
        <f>inputPrYr!B22</f>
        <v>General</v>
      </c>
      <c r="B61" s="120"/>
      <c r="C61" s="148" t="s">
        <v>45</v>
      </c>
      <c r="D61" s="149"/>
      <c r="E61" s="149"/>
    </row>
    <row r="62" spans="1:5" ht="15.75">
      <c r="A62" s="150" t="str">
        <f>inputPrYr!B23</f>
        <v>Debt Service</v>
      </c>
      <c r="B62" s="120"/>
      <c r="C62" s="148"/>
      <c r="D62" s="149"/>
      <c r="E62" s="149"/>
    </row>
    <row r="63" spans="1:5" ht="15.75">
      <c r="A63" s="150" t="str">
        <f>inputPrYr!B24</f>
        <v>Library</v>
      </c>
      <c r="B63" s="120"/>
      <c r="C63" s="148"/>
      <c r="D63" s="149"/>
      <c r="E63" s="149"/>
    </row>
    <row r="64" spans="1:5" ht="15.75">
      <c r="A64" s="150">
        <f>inputPrYr!B26</f>
        <v>0</v>
      </c>
      <c r="B64" s="120"/>
      <c r="C64" s="124"/>
      <c r="D64" s="124"/>
      <c r="E64" s="124"/>
    </row>
    <row r="65" spans="1:5" ht="15.75">
      <c r="A65" s="150">
        <f>inputPrYr!B27</f>
        <v>0</v>
      </c>
      <c r="B65" s="120"/>
      <c r="C65" s="124"/>
      <c r="D65" s="124"/>
      <c r="E65" s="124"/>
    </row>
    <row r="66" spans="1:5" ht="15.75">
      <c r="A66" s="150">
        <f>inputPrYr!B28</f>
        <v>0</v>
      </c>
      <c r="B66" s="120"/>
      <c r="C66" s="124"/>
      <c r="D66" s="124"/>
      <c r="E66" s="124"/>
    </row>
    <row r="67" spans="1:5" ht="15.75">
      <c r="A67" s="150">
        <f>inputPrYr!B29</f>
        <v>0</v>
      </c>
      <c r="B67" s="120"/>
      <c r="C67" s="124"/>
      <c r="D67" s="124"/>
      <c r="E67" s="124"/>
    </row>
    <row r="68" spans="1:5" ht="15.75">
      <c r="A68" s="150" t="str">
        <f>inputPrYr!B32</f>
        <v>Recreation</v>
      </c>
      <c r="B68" s="120"/>
      <c r="C68" s="124"/>
      <c r="D68" s="124"/>
      <c r="E68" s="124"/>
    </row>
    <row r="69" spans="1:5" ht="15.75">
      <c r="A69" s="150" t="str">
        <f>inputPrYr!B35</f>
        <v>Special Highway</v>
      </c>
      <c r="B69" s="120"/>
      <c r="C69" s="124"/>
      <c r="D69" s="124"/>
      <c r="E69" s="124"/>
    </row>
    <row r="70" spans="1:5" ht="15.75">
      <c r="A70" s="150">
        <f>inputPrYr!B36</f>
        <v>0</v>
      </c>
      <c r="B70" s="120"/>
      <c r="C70" s="124"/>
      <c r="D70" s="124"/>
      <c r="E70" s="124"/>
    </row>
    <row r="71" spans="1:5" ht="15.75">
      <c r="A71" s="150">
        <f>inputPrYr!B37</f>
        <v>0</v>
      </c>
      <c r="B71" s="120"/>
      <c r="C71" s="124"/>
      <c r="D71" s="124"/>
      <c r="E71" s="124"/>
    </row>
    <row r="72" spans="1:5" ht="15.75">
      <c r="A72" s="150">
        <f>inputPrYr!B38</f>
        <v>0</v>
      </c>
      <c r="B72" s="120"/>
      <c r="C72" s="124"/>
      <c r="D72" s="124"/>
      <c r="E72" s="124"/>
    </row>
    <row r="73" spans="1:5" ht="15.75">
      <c r="A73" s="150">
        <f>inputPrYr!B39</f>
        <v>0</v>
      </c>
      <c r="B73" s="120"/>
      <c r="C73" s="124"/>
      <c r="D73" s="124"/>
      <c r="E73" s="124"/>
    </row>
    <row r="74" spans="1:5" ht="15.75">
      <c r="A74" s="150">
        <f>inputPrYr!B40</f>
        <v>0</v>
      </c>
      <c r="B74" s="120"/>
      <c r="C74" s="124"/>
      <c r="D74" s="124"/>
      <c r="E74" s="124"/>
    </row>
    <row r="75" spans="1:5" ht="15.75">
      <c r="A75" s="150">
        <f>inputPrYr!B42</f>
        <v>0</v>
      </c>
      <c r="B75" s="120"/>
      <c r="C75" s="124"/>
      <c r="D75" s="124"/>
      <c r="E75" s="124"/>
    </row>
  </sheetData>
  <sheetProtection/>
  <mergeCells count="6">
    <mergeCell ref="C59:E59"/>
    <mergeCell ref="A23:B23"/>
    <mergeCell ref="A55:E55"/>
    <mergeCell ref="A3:E3"/>
    <mergeCell ref="A58:B58"/>
    <mergeCell ref="A5:B5"/>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6">
      <selection activeCell="N136" sqref="N136"/>
    </sheetView>
  </sheetViews>
  <sheetFormatPr defaultColWidth="8.796875" defaultRowHeight="15"/>
  <cols>
    <col min="1" max="1" width="71.296875" style="0" customWidth="1"/>
  </cols>
  <sheetData>
    <row r="3" spans="1:12" ht="15">
      <c r="A3" s="359" t="s">
        <v>426</v>
      </c>
      <c r="B3" s="359"/>
      <c r="C3" s="359"/>
      <c r="D3" s="359"/>
      <c r="E3" s="359"/>
      <c r="F3" s="359"/>
      <c r="G3" s="359"/>
      <c r="H3" s="359"/>
      <c r="I3" s="359"/>
      <c r="J3" s="359"/>
      <c r="K3" s="359"/>
      <c r="L3" s="359"/>
    </row>
    <row r="5" ht="15">
      <c r="A5" s="358" t="s">
        <v>427</v>
      </c>
    </row>
    <row r="6" ht="15">
      <c r="A6" s="358" t="str">
        <f>CONCATENATE(inputPrYr!C6-2," 'total expenditures' exceed your ",inputPrYr!C6-2," 'budget authority.'")</f>
        <v>-2 'total expenditures' exceed your -2 'budget authority.'</v>
      </c>
    </row>
    <row r="7" ht="15">
      <c r="A7" s="358"/>
    </row>
    <row r="8" ht="15">
      <c r="A8" s="358" t="s">
        <v>428</v>
      </c>
    </row>
    <row r="9" ht="15">
      <c r="A9" s="358" t="s">
        <v>429</v>
      </c>
    </row>
    <row r="10" ht="15">
      <c r="A10" s="358" t="s">
        <v>430</v>
      </c>
    </row>
    <row r="11" ht="15">
      <c r="A11" s="358"/>
    </row>
    <row r="12" ht="15">
      <c r="A12" s="358"/>
    </row>
    <row r="13" ht="15">
      <c r="A13" s="357" t="s">
        <v>431</v>
      </c>
    </row>
    <row r="15" ht="15">
      <c r="A15" s="358" t="s">
        <v>432</v>
      </c>
    </row>
    <row r="16" ht="15">
      <c r="A16" s="358" t="str">
        <f>CONCATENATE("(i.e. an audit has not been completed, or the ",inputPrYr!C6," adopted")</f>
        <v>(i.e. an audit has not been completed, or the  adopted</v>
      </c>
    </row>
    <row r="17" ht="15">
      <c r="A17" s="358" t="s">
        <v>433</v>
      </c>
    </row>
    <row r="18" ht="15">
      <c r="A18" s="358" t="s">
        <v>434</v>
      </c>
    </row>
    <row r="19" ht="15">
      <c r="A19" s="358" t="s">
        <v>435</v>
      </c>
    </row>
    <row r="21" ht="15">
      <c r="A21" s="357" t="s">
        <v>436</v>
      </c>
    </row>
    <row r="22" ht="15">
      <c r="A22" s="357"/>
    </row>
    <row r="23" ht="15">
      <c r="A23" s="358" t="s">
        <v>437</v>
      </c>
    </row>
    <row r="24" ht="15">
      <c r="A24" s="358" t="s">
        <v>438</v>
      </c>
    </row>
    <row r="25" ht="15">
      <c r="A25" s="358" t="str">
        <f>CONCATENATE("particular fund.  If your ",inputPrYr!C6-2," budget was amended, did you")</f>
        <v>particular fund.  If your -2 budget was amended, did you</v>
      </c>
    </row>
    <row r="26" ht="15">
      <c r="A26" s="358" t="s">
        <v>439</v>
      </c>
    </row>
    <row r="27" ht="15">
      <c r="A27" s="358"/>
    </row>
    <row r="28" ht="15">
      <c r="A28" s="358" t="str">
        <f>CONCATENATE("Next, look to see if any of your ",inputPrYr!C6-2," expenditures can be")</f>
        <v>Next, look to see if any of your -2 expenditures can be</v>
      </c>
    </row>
    <row r="29" ht="15">
      <c r="A29" s="358" t="s">
        <v>440</v>
      </c>
    </row>
    <row r="30" ht="15">
      <c r="A30" s="358" t="s">
        <v>441</v>
      </c>
    </row>
    <row r="31" ht="15">
      <c r="A31" s="358" t="s">
        <v>442</v>
      </c>
    </row>
    <row r="32" ht="15">
      <c r="A32" s="358"/>
    </row>
    <row r="33" ht="15">
      <c r="A33" s="358" t="str">
        <f>CONCATENATE("Additionally, do your ",inputPrYr!C6-2," receipts contain a reimbursement")</f>
        <v>Additionally, do your -2 receipts contain a reimbursement</v>
      </c>
    </row>
    <row r="34" ht="15">
      <c r="A34" s="358" t="s">
        <v>443</v>
      </c>
    </row>
    <row r="35" ht="15">
      <c r="A35" s="358" t="s">
        <v>444</v>
      </c>
    </row>
    <row r="36" ht="15">
      <c r="A36" s="358"/>
    </row>
    <row r="37" ht="15">
      <c r="A37" s="358" t="s">
        <v>445</v>
      </c>
    </row>
    <row r="38" ht="15">
      <c r="A38" s="358" t="s">
        <v>446</v>
      </c>
    </row>
    <row r="39" ht="15">
      <c r="A39" s="358" t="s">
        <v>447</v>
      </c>
    </row>
    <row r="40" ht="15">
      <c r="A40" s="358" t="s">
        <v>448</v>
      </c>
    </row>
    <row r="41" ht="15">
      <c r="A41" s="358" t="s">
        <v>449</v>
      </c>
    </row>
    <row r="42" ht="15">
      <c r="A42" s="358" t="s">
        <v>450</v>
      </c>
    </row>
    <row r="43" ht="15">
      <c r="A43" s="358" t="s">
        <v>451</v>
      </c>
    </row>
    <row r="44" ht="15">
      <c r="A44" s="358" t="s">
        <v>452</v>
      </c>
    </row>
    <row r="45" ht="15">
      <c r="A45" s="358"/>
    </row>
    <row r="46" ht="15">
      <c r="A46" s="358" t="s">
        <v>453</v>
      </c>
    </row>
    <row r="47" ht="15">
      <c r="A47" s="358" t="s">
        <v>454</v>
      </c>
    </row>
    <row r="48" ht="15">
      <c r="A48" s="358" t="s">
        <v>455</v>
      </c>
    </row>
    <row r="49" ht="15">
      <c r="A49" s="358"/>
    </row>
    <row r="50" ht="15">
      <c r="A50" s="358" t="s">
        <v>456</v>
      </c>
    </row>
    <row r="51" ht="15">
      <c r="A51" s="358" t="s">
        <v>457</v>
      </c>
    </row>
    <row r="52" ht="15">
      <c r="A52" s="358" t="s">
        <v>458</v>
      </c>
    </row>
    <row r="53" ht="15">
      <c r="A53" s="358"/>
    </row>
    <row r="54" ht="15">
      <c r="A54" s="357" t="s">
        <v>459</v>
      </c>
    </row>
    <row r="55" ht="15">
      <c r="A55" s="358"/>
    </row>
    <row r="56" ht="15">
      <c r="A56" s="358" t="s">
        <v>460</v>
      </c>
    </row>
    <row r="57" ht="15">
      <c r="A57" s="358" t="s">
        <v>461</v>
      </c>
    </row>
    <row r="58" ht="15">
      <c r="A58" s="358" t="s">
        <v>462</v>
      </c>
    </row>
    <row r="59" ht="15">
      <c r="A59" s="358" t="s">
        <v>463</v>
      </c>
    </row>
    <row r="60" ht="15">
      <c r="A60" s="358" t="s">
        <v>464</v>
      </c>
    </row>
    <row r="61" ht="15">
      <c r="A61" s="358" t="s">
        <v>465</v>
      </c>
    </row>
    <row r="62" ht="15">
      <c r="A62" s="358" t="s">
        <v>466</v>
      </c>
    </row>
    <row r="63" ht="15">
      <c r="A63" s="358" t="s">
        <v>467</v>
      </c>
    </row>
    <row r="64" ht="15">
      <c r="A64" s="358" t="s">
        <v>468</v>
      </c>
    </row>
    <row r="65" ht="15">
      <c r="A65" s="358" t="s">
        <v>469</v>
      </c>
    </row>
    <row r="66" ht="15">
      <c r="A66" s="358" t="s">
        <v>470</v>
      </c>
    </row>
    <row r="67" ht="15">
      <c r="A67" s="358" t="s">
        <v>471</v>
      </c>
    </row>
    <row r="68" ht="15">
      <c r="A68" s="358" t="s">
        <v>472</v>
      </c>
    </row>
    <row r="69" ht="15">
      <c r="A69" s="358"/>
    </row>
    <row r="70" ht="15">
      <c r="A70" s="358" t="s">
        <v>473</v>
      </c>
    </row>
    <row r="71" ht="15">
      <c r="A71" s="358" t="s">
        <v>474</v>
      </c>
    </row>
    <row r="72" ht="15">
      <c r="A72" s="358" t="s">
        <v>475</v>
      </c>
    </row>
    <row r="73" ht="15">
      <c r="A73" s="358"/>
    </row>
    <row r="74" ht="15">
      <c r="A74" s="357" t="str">
        <f>CONCATENATE("What if the ",inputPrYr!C6-2," financial records have been closed?")</f>
        <v>What if the -2 financial records have been closed?</v>
      </c>
    </row>
    <row r="76" ht="15">
      <c r="A76" s="358" t="s">
        <v>476</v>
      </c>
    </row>
    <row r="77" ht="15">
      <c r="A77" s="358" t="str">
        <f>CONCATENATE("(i.e. an audit for ",inputPrYr!C6-2," has been completed, or the ",inputPrYr!C6)</f>
        <v>(i.e. an audit for -2 has been completed, or the </v>
      </c>
    </row>
    <row r="78" ht="15">
      <c r="A78" s="358" t="s">
        <v>477</v>
      </c>
    </row>
    <row r="79" ht="15">
      <c r="A79" s="358" t="s">
        <v>478</v>
      </c>
    </row>
    <row r="80" ht="15">
      <c r="A80" s="358"/>
    </row>
    <row r="81" ht="15">
      <c r="A81" s="358" t="s">
        <v>479</v>
      </c>
    </row>
    <row r="82" ht="15">
      <c r="A82" s="358" t="s">
        <v>480</v>
      </c>
    </row>
    <row r="83" ht="15">
      <c r="A83" s="358" t="s">
        <v>481</v>
      </c>
    </row>
    <row r="84" ht="15">
      <c r="A84" s="358"/>
    </row>
    <row r="85" ht="15">
      <c r="A85" s="358" t="s">
        <v>425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49" sqref="N149"/>
    </sheetView>
  </sheetViews>
  <sheetFormatPr defaultColWidth="8.796875" defaultRowHeight="15"/>
  <cols>
    <col min="1" max="1" width="71.296875" style="0" customWidth="1"/>
  </cols>
  <sheetData>
    <row r="3" spans="1:10" ht="15">
      <c r="A3" s="359" t="s">
        <v>370</v>
      </c>
      <c r="B3" s="359"/>
      <c r="C3" s="359"/>
      <c r="D3" s="359"/>
      <c r="E3" s="359"/>
      <c r="F3" s="359"/>
      <c r="G3" s="359"/>
      <c r="H3" s="360"/>
      <c r="I3" s="360"/>
      <c r="J3" s="360"/>
    </row>
    <row r="5" ht="15">
      <c r="A5" s="358" t="s">
        <v>371</v>
      </c>
    </row>
    <row r="6" ht="15">
      <c r="A6" t="str">
        <f>CONCATENATE(inputPrYr!C6-2," expenditures show that you finished the year with a ")</f>
        <v>-2 expenditures show that you finished the year with a </v>
      </c>
    </row>
    <row r="7" ht="15">
      <c r="A7" t="s">
        <v>372</v>
      </c>
    </row>
    <row r="9" ht="15">
      <c r="A9" t="s">
        <v>373</v>
      </c>
    </row>
    <row r="10" ht="15">
      <c r="A10" t="s">
        <v>374</v>
      </c>
    </row>
    <row r="11" ht="15">
      <c r="A11" t="s">
        <v>375</v>
      </c>
    </row>
    <row r="13" ht="15">
      <c r="A13" s="357" t="s">
        <v>376</v>
      </c>
    </row>
    <row r="14" ht="15">
      <c r="A14" s="357"/>
    </row>
    <row r="15" ht="15">
      <c r="A15" s="358" t="s">
        <v>377</v>
      </c>
    </row>
    <row r="16" ht="15">
      <c r="A16" s="358" t="s">
        <v>378</v>
      </c>
    </row>
    <row r="17" ht="15">
      <c r="A17" s="358" t="s">
        <v>379</v>
      </c>
    </row>
    <row r="18" ht="15">
      <c r="A18" s="358"/>
    </row>
    <row r="19" ht="15">
      <c r="A19" s="357" t="s">
        <v>380</v>
      </c>
    </row>
    <row r="20" ht="15">
      <c r="A20" s="357"/>
    </row>
    <row r="21" ht="15">
      <c r="A21" s="358" t="s">
        <v>381</v>
      </c>
    </row>
    <row r="22" ht="15">
      <c r="A22" s="358" t="s">
        <v>382</v>
      </c>
    </row>
    <row r="23" ht="15">
      <c r="A23" s="358" t="s">
        <v>383</v>
      </c>
    </row>
    <row r="24" ht="15">
      <c r="A24" s="358"/>
    </row>
    <row r="25" ht="15">
      <c r="A25" s="357" t="s">
        <v>384</v>
      </c>
    </row>
    <row r="26" ht="15">
      <c r="A26" s="357"/>
    </row>
    <row r="27" ht="15">
      <c r="A27" s="358" t="s">
        <v>385</v>
      </c>
    </row>
    <row r="28" ht="15">
      <c r="A28" s="358" t="s">
        <v>386</v>
      </c>
    </row>
    <row r="29" ht="15">
      <c r="A29" s="358" t="s">
        <v>387</v>
      </c>
    </row>
    <row r="30" ht="15">
      <c r="A30" s="358"/>
    </row>
    <row r="31" ht="15">
      <c r="A31" s="357" t="s">
        <v>388</v>
      </c>
    </row>
    <row r="32" ht="15">
      <c r="A32" s="357"/>
    </row>
    <row r="33" spans="1:8" ht="15">
      <c r="A33" s="358" t="str">
        <f>CONCATENATE("If your financial records for ",inputPrYr!C6-2," are not closed")</f>
        <v>If your financial records for -2 are not closed</v>
      </c>
      <c r="B33" s="358"/>
      <c r="C33" s="358"/>
      <c r="D33" s="358"/>
      <c r="E33" s="358"/>
      <c r="F33" s="358"/>
      <c r="G33" s="358"/>
      <c r="H33" s="358"/>
    </row>
    <row r="34" spans="1:8" ht="15">
      <c r="A34" s="358" t="str">
        <f>CONCATENATE("(i.e. an audit has not been completed, or the ",inputPrYr!C6," adopted ")</f>
        <v>(i.e. an audit has not been completed, or the  adopted </v>
      </c>
      <c r="B34" s="358"/>
      <c r="C34" s="358"/>
      <c r="D34" s="358"/>
      <c r="E34" s="358"/>
      <c r="F34" s="358"/>
      <c r="G34" s="358"/>
      <c r="H34" s="358"/>
    </row>
    <row r="35" spans="1:8" ht="15">
      <c r="A35" s="358" t="s">
        <v>389</v>
      </c>
      <c r="B35" s="358"/>
      <c r="C35" s="358"/>
      <c r="D35" s="358"/>
      <c r="E35" s="358"/>
      <c r="F35" s="358"/>
      <c r="G35" s="358"/>
      <c r="H35" s="358"/>
    </row>
    <row r="36" spans="1:8" ht="15">
      <c r="A36" s="358" t="s">
        <v>390</v>
      </c>
      <c r="B36" s="358"/>
      <c r="C36" s="358"/>
      <c r="D36" s="358"/>
      <c r="E36" s="358"/>
      <c r="F36" s="358"/>
      <c r="G36" s="358"/>
      <c r="H36" s="358"/>
    </row>
    <row r="37" spans="1:8" ht="15">
      <c r="A37" s="358" t="s">
        <v>391</v>
      </c>
      <c r="B37" s="358"/>
      <c r="C37" s="358"/>
      <c r="D37" s="358"/>
      <c r="E37" s="358"/>
      <c r="F37" s="358"/>
      <c r="G37" s="358"/>
      <c r="H37" s="358"/>
    </row>
    <row r="38" spans="1:8" ht="15">
      <c r="A38" s="358" t="s">
        <v>392</v>
      </c>
      <c r="B38" s="358"/>
      <c r="C38" s="358"/>
      <c r="D38" s="358"/>
      <c r="E38" s="358"/>
      <c r="F38" s="358"/>
      <c r="G38" s="358"/>
      <c r="H38" s="358"/>
    </row>
    <row r="39" spans="1:8" ht="15">
      <c r="A39" s="358" t="s">
        <v>393</v>
      </c>
      <c r="B39" s="358"/>
      <c r="C39" s="358"/>
      <c r="D39" s="358"/>
      <c r="E39" s="358"/>
      <c r="F39" s="358"/>
      <c r="G39" s="358"/>
      <c r="H39" s="358"/>
    </row>
    <row r="40" spans="1:8" ht="15">
      <c r="A40" s="358"/>
      <c r="B40" s="358"/>
      <c r="C40" s="358"/>
      <c r="D40" s="358"/>
      <c r="E40" s="358"/>
      <c r="F40" s="358"/>
      <c r="G40" s="358"/>
      <c r="H40" s="358"/>
    </row>
    <row r="41" spans="1:8" ht="15">
      <c r="A41" s="358" t="s">
        <v>394</v>
      </c>
      <c r="B41" s="358"/>
      <c r="C41" s="358"/>
      <c r="D41" s="358"/>
      <c r="E41" s="358"/>
      <c r="F41" s="358"/>
      <c r="G41" s="358"/>
      <c r="H41" s="358"/>
    </row>
    <row r="42" spans="1:8" ht="15">
      <c r="A42" s="358" t="s">
        <v>395</v>
      </c>
      <c r="B42" s="358"/>
      <c r="C42" s="358"/>
      <c r="D42" s="358"/>
      <c r="E42" s="358"/>
      <c r="F42" s="358"/>
      <c r="G42" s="358"/>
      <c r="H42" s="358"/>
    </row>
    <row r="43" spans="1:8" ht="15">
      <c r="A43" s="358" t="s">
        <v>396</v>
      </c>
      <c r="B43" s="358"/>
      <c r="C43" s="358"/>
      <c r="D43" s="358"/>
      <c r="E43" s="358"/>
      <c r="F43" s="358"/>
      <c r="G43" s="358"/>
      <c r="H43" s="358"/>
    </row>
    <row r="44" spans="1:8" ht="15">
      <c r="A44" s="358" t="s">
        <v>397</v>
      </c>
      <c r="B44" s="358"/>
      <c r="C44" s="358"/>
      <c r="D44" s="358"/>
      <c r="E44" s="358"/>
      <c r="F44" s="358"/>
      <c r="G44" s="358"/>
      <c r="H44" s="358"/>
    </row>
    <row r="45" spans="1:8" ht="15">
      <c r="A45" s="358"/>
      <c r="B45" s="358"/>
      <c r="C45" s="358"/>
      <c r="D45" s="358"/>
      <c r="E45" s="358"/>
      <c r="F45" s="358"/>
      <c r="G45" s="358"/>
      <c r="H45" s="358"/>
    </row>
    <row r="46" spans="1:8" ht="15">
      <c r="A46" s="358" t="s">
        <v>398</v>
      </c>
      <c r="B46" s="358"/>
      <c r="C46" s="358"/>
      <c r="D46" s="358"/>
      <c r="E46" s="358"/>
      <c r="F46" s="358"/>
      <c r="G46" s="358"/>
      <c r="H46" s="358"/>
    </row>
    <row r="47" spans="1:8" ht="15">
      <c r="A47" s="358" t="s">
        <v>399</v>
      </c>
      <c r="B47" s="358"/>
      <c r="C47" s="358"/>
      <c r="D47" s="358"/>
      <c r="E47" s="358"/>
      <c r="F47" s="358"/>
      <c r="G47" s="358"/>
      <c r="H47" s="358"/>
    </row>
    <row r="48" spans="1:8" ht="15">
      <c r="A48" s="358" t="s">
        <v>400</v>
      </c>
      <c r="B48" s="358"/>
      <c r="C48" s="358"/>
      <c r="D48" s="358"/>
      <c r="E48" s="358"/>
      <c r="F48" s="358"/>
      <c r="G48" s="358"/>
      <c r="H48" s="358"/>
    </row>
    <row r="49" spans="1:8" ht="15">
      <c r="A49" s="358" t="s">
        <v>401</v>
      </c>
      <c r="B49" s="358"/>
      <c r="C49" s="358"/>
      <c r="D49" s="358"/>
      <c r="E49" s="358"/>
      <c r="F49" s="358"/>
      <c r="G49" s="358"/>
      <c r="H49" s="358"/>
    </row>
    <row r="50" spans="1:8" ht="15">
      <c r="A50" s="358" t="s">
        <v>402</v>
      </c>
      <c r="B50" s="358"/>
      <c r="C50" s="358"/>
      <c r="D50" s="358"/>
      <c r="E50" s="358"/>
      <c r="F50" s="358"/>
      <c r="G50" s="358"/>
      <c r="H50" s="358"/>
    </row>
    <row r="51" spans="1:8" ht="15">
      <c r="A51" s="358"/>
      <c r="B51" s="358"/>
      <c r="C51" s="358"/>
      <c r="D51" s="358"/>
      <c r="E51" s="358"/>
      <c r="F51" s="358"/>
      <c r="G51" s="358"/>
      <c r="H51" s="358"/>
    </row>
    <row r="52" spans="1:8" ht="15">
      <c r="A52" s="357" t="s">
        <v>403</v>
      </c>
      <c r="B52" s="357"/>
      <c r="C52" s="357"/>
      <c r="D52" s="357"/>
      <c r="E52" s="357"/>
      <c r="F52" s="357"/>
      <c r="G52" s="357"/>
      <c r="H52" s="358"/>
    </row>
    <row r="53" spans="1:8" ht="15">
      <c r="A53" s="357" t="s">
        <v>404</v>
      </c>
      <c r="B53" s="357"/>
      <c r="C53" s="357"/>
      <c r="D53" s="357"/>
      <c r="E53" s="357"/>
      <c r="F53" s="357"/>
      <c r="G53" s="357"/>
      <c r="H53" s="358"/>
    </row>
    <row r="54" spans="1:8" ht="15">
      <c r="A54" s="358"/>
      <c r="B54" s="358"/>
      <c r="C54" s="358"/>
      <c r="D54" s="358"/>
      <c r="E54" s="358"/>
      <c r="F54" s="358"/>
      <c r="G54" s="358"/>
      <c r="H54" s="358"/>
    </row>
    <row r="55" spans="1:8" ht="15">
      <c r="A55" s="358" t="s">
        <v>405</v>
      </c>
      <c r="B55" s="358"/>
      <c r="C55" s="358"/>
      <c r="D55" s="358"/>
      <c r="E55" s="358"/>
      <c r="F55" s="358"/>
      <c r="G55" s="358"/>
      <c r="H55" s="358"/>
    </row>
    <row r="56" spans="1:8" ht="15">
      <c r="A56" s="358" t="s">
        <v>406</v>
      </c>
      <c r="B56" s="358"/>
      <c r="C56" s="358"/>
      <c r="D56" s="358"/>
      <c r="E56" s="358"/>
      <c r="F56" s="358"/>
      <c r="G56" s="358"/>
      <c r="H56" s="358"/>
    </row>
    <row r="57" spans="1:8" ht="15">
      <c r="A57" s="358" t="s">
        <v>407</v>
      </c>
      <c r="B57" s="358"/>
      <c r="C57" s="358"/>
      <c r="D57" s="358"/>
      <c r="E57" s="358"/>
      <c r="F57" s="358"/>
      <c r="G57" s="358"/>
      <c r="H57" s="358"/>
    </row>
    <row r="58" spans="1:8" ht="15">
      <c r="A58" s="358" t="s">
        <v>408</v>
      </c>
      <c r="B58" s="358"/>
      <c r="C58" s="358"/>
      <c r="D58" s="358"/>
      <c r="E58" s="358"/>
      <c r="F58" s="358"/>
      <c r="G58" s="358"/>
      <c r="H58" s="358"/>
    </row>
    <row r="59" spans="1:8" ht="15">
      <c r="A59" s="358"/>
      <c r="B59" s="358"/>
      <c r="C59" s="358"/>
      <c r="D59" s="358"/>
      <c r="E59" s="358"/>
      <c r="F59" s="358"/>
      <c r="G59" s="358"/>
      <c r="H59" s="358"/>
    </row>
    <row r="60" spans="1:8" ht="15">
      <c r="A60" s="358" t="s">
        <v>409</v>
      </c>
      <c r="B60" s="358"/>
      <c r="C60" s="358"/>
      <c r="D60" s="358"/>
      <c r="E60" s="358"/>
      <c r="F60" s="358"/>
      <c r="G60" s="358"/>
      <c r="H60" s="358"/>
    </row>
    <row r="61" spans="1:8" ht="15">
      <c r="A61" s="358" t="s">
        <v>410</v>
      </c>
      <c r="B61" s="358"/>
      <c r="C61" s="358"/>
      <c r="D61" s="358"/>
      <c r="E61" s="358"/>
      <c r="F61" s="358"/>
      <c r="G61" s="358"/>
      <c r="H61" s="358"/>
    </row>
    <row r="62" spans="1:8" ht="15">
      <c r="A62" s="358" t="s">
        <v>411</v>
      </c>
      <c r="B62" s="358"/>
      <c r="C62" s="358"/>
      <c r="D62" s="358"/>
      <c r="E62" s="358"/>
      <c r="F62" s="358"/>
      <c r="G62" s="358"/>
      <c r="H62" s="358"/>
    </row>
    <row r="63" spans="1:8" ht="15">
      <c r="A63" s="358" t="s">
        <v>412</v>
      </c>
      <c r="B63" s="358"/>
      <c r="C63" s="358"/>
      <c r="D63" s="358"/>
      <c r="E63" s="358"/>
      <c r="F63" s="358"/>
      <c r="G63" s="358"/>
      <c r="H63" s="358"/>
    </row>
    <row r="64" spans="1:8" ht="15">
      <c r="A64" s="358" t="s">
        <v>413</v>
      </c>
      <c r="B64" s="358"/>
      <c r="C64" s="358"/>
      <c r="D64" s="358"/>
      <c r="E64" s="358"/>
      <c r="F64" s="358"/>
      <c r="G64" s="358"/>
      <c r="H64" s="358"/>
    </row>
    <row r="65" spans="1:8" ht="15">
      <c r="A65" s="358" t="s">
        <v>414</v>
      </c>
      <c r="B65" s="358"/>
      <c r="C65" s="358"/>
      <c r="D65" s="358"/>
      <c r="E65" s="358"/>
      <c r="F65" s="358"/>
      <c r="G65" s="358"/>
      <c r="H65" s="358"/>
    </row>
    <row r="66" spans="1:8" ht="15">
      <c r="A66" s="358"/>
      <c r="B66" s="358"/>
      <c r="C66" s="358"/>
      <c r="D66" s="358"/>
      <c r="E66" s="358"/>
      <c r="F66" s="358"/>
      <c r="G66" s="358"/>
      <c r="H66" s="358"/>
    </row>
    <row r="67" spans="1:8" ht="15">
      <c r="A67" s="358" t="s">
        <v>415</v>
      </c>
      <c r="B67" s="358"/>
      <c r="C67" s="358"/>
      <c r="D67" s="358"/>
      <c r="E67" s="358"/>
      <c r="F67" s="358"/>
      <c r="G67" s="358"/>
      <c r="H67" s="358"/>
    </row>
    <row r="68" spans="1:8" ht="15">
      <c r="A68" s="358" t="s">
        <v>416</v>
      </c>
      <c r="B68" s="358"/>
      <c r="C68" s="358"/>
      <c r="D68" s="358"/>
      <c r="E68" s="358"/>
      <c r="F68" s="358"/>
      <c r="G68" s="358"/>
      <c r="H68" s="358"/>
    </row>
    <row r="69" spans="1:8" ht="15">
      <c r="A69" s="358" t="s">
        <v>417</v>
      </c>
      <c r="B69" s="358"/>
      <c r="C69" s="358"/>
      <c r="D69" s="358"/>
      <c r="E69" s="358"/>
      <c r="F69" s="358"/>
      <c r="G69" s="358"/>
      <c r="H69" s="358"/>
    </row>
    <row r="70" spans="1:8" ht="15">
      <c r="A70" s="358" t="s">
        <v>418</v>
      </c>
      <c r="B70" s="358"/>
      <c r="C70" s="358"/>
      <c r="D70" s="358"/>
      <c r="E70" s="358"/>
      <c r="F70" s="358"/>
      <c r="G70" s="358"/>
      <c r="H70" s="358"/>
    </row>
    <row r="71" spans="1:8" ht="15">
      <c r="A71" s="358" t="s">
        <v>419</v>
      </c>
      <c r="B71" s="358"/>
      <c r="C71" s="358"/>
      <c r="D71" s="358"/>
      <c r="E71" s="358"/>
      <c r="F71" s="358"/>
      <c r="G71" s="358"/>
      <c r="H71" s="358"/>
    </row>
    <row r="72" spans="1:8" ht="15">
      <c r="A72" s="358" t="s">
        <v>420</v>
      </c>
      <c r="B72" s="358"/>
      <c r="C72" s="358"/>
      <c r="D72" s="358"/>
      <c r="E72" s="358"/>
      <c r="F72" s="358"/>
      <c r="G72" s="358"/>
      <c r="H72" s="358"/>
    </row>
    <row r="73" spans="1:8" ht="15">
      <c r="A73" s="358" t="s">
        <v>421</v>
      </c>
      <c r="B73" s="358"/>
      <c r="C73" s="358"/>
      <c r="D73" s="358"/>
      <c r="E73" s="358"/>
      <c r="F73" s="358"/>
      <c r="G73" s="358"/>
      <c r="H73" s="358"/>
    </row>
    <row r="74" spans="1:8" ht="15">
      <c r="A74" s="358"/>
      <c r="B74" s="358"/>
      <c r="C74" s="358"/>
      <c r="D74" s="358"/>
      <c r="E74" s="358"/>
      <c r="F74" s="358"/>
      <c r="G74" s="358"/>
      <c r="H74" s="358"/>
    </row>
    <row r="75" spans="1:8" ht="15">
      <c r="A75" s="358" t="s">
        <v>422</v>
      </c>
      <c r="B75" s="358"/>
      <c r="C75" s="358"/>
      <c r="D75" s="358"/>
      <c r="E75" s="358"/>
      <c r="F75" s="358"/>
      <c r="G75" s="358"/>
      <c r="H75" s="358"/>
    </row>
    <row r="76" spans="1:8" ht="15">
      <c r="A76" s="358" t="s">
        <v>423</v>
      </c>
      <c r="B76" s="358"/>
      <c r="C76" s="358"/>
      <c r="D76" s="358"/>
      <c r="E76" s="358"/>
      <c r="F76" s="358"/>
      <c r="G76" s="358"/>
      <c r="H76" s="358"/>
    </row>
    <row r="77" spans="1:8" ht="15">
      <c r="A77" s="358" t="s">
        <v>424</v>
      </c>
      <c r="B77" s="358"/>
      <c r="C77" s="358"/>
      <c r="D77" s="358"/>
      <c r="E77" s="358"/>
      <c r="F77" s="358"/>
      <c r="G77" s="358"/>
      <c r="H77" s="358"/>
    </row>
    <row r="78" spans="1:8" ht="15">
      <c r="A78" s="358"/>
      <c r="B78" s="358"/>
      <c r="C78" s="358"/>
      <c r="D78" s="358"/>
      <c r="E78" s="358"/>
      <c r="F78" s="358"/>
      <c r="G78" s="358"/>
      <c r="H78" s="358"/>
    </row>
    <row r="79" ht="15">
      <c r="A79" s="358" t="s">
        <v>425</v>
      </c>
    </row>
    <row r="80" ht="15">
      <c r="A80" s="357"/>
    </row>
    <row r="81" ht="15">
      <c r="A81" s="358"/>
    </row>
    <row r="82" ht="15">
      <c r="A82" s="358"/>
    </row>
    <row r="83" ht="15">
      <c r="A83" s="358"/>
    </row>
    <row r="84" ht="15">
      <c r="A84" s="358"/>
    </row>
    <row r="85" ht="15">
      <c r="A85" s="358"/>
    </row>
    <row r="86" ht="15">
      <c r="A86" s="358"/>
    </row>
    <row r="87" ht="15">
      <c r="A87" s="358"/>
    </row>
    <row r="88" ht="15">
      <c r="A88" s="358"/>
    </row>
    <row r="89" ht="15">
      <c r="A89" s="358"/>
    </row>
    <row r="90" ht="15">
      <c r="A90" s="358"/>
    </row>
    <row r="91" ht="15">
      <c r="A91" s="358"/>
    </row>
    <row r="92" ht="15">
      <c r="A92" s="358"/>
    </row>
    <row r="93" ht="15">
      <c r="A93" s="358"/>
    </row>
    <row r="94" ht="15">
      <c r="A94" s="358"/>
    </row>
    <row r="95" ht="15">
      <c r="A95" s="358"/>
    </row>
    <row r="96" ht="15">
      <c r="A96" s="358"/>
    </row>
    <row r="97" ht="15">
      <c r="A97" s="358"/>
    </row>
    <row r="98" ht="15">
      <c r="A98" s="358"/>
    </row>
    <row r="99" ht="15">
      <c r="A99" s="358"/>
    </row>
    <row r="100" ht="15">
      <c r="A100" s="358"/>
    </row>
    <row r="101" ht="15">
      <c r="A101" s="358"/>
    </row>
    <row r="103" ht="15">
      <c r="A103" s="358"/>
    </row>
    <row r="104" ht="15">
      <c r="A104" s="358"/>
    </row>
    <row r="105" ht="15">
      <c r="A105" s="358"/>
    </row>
    <row r="107" ht="15">
      <c r="A107" s="357"/>
    </row>
    <row r="108" ht="15">
      <c r="A108" s="357"/>
    </row>
    <row r="109" ht="15">
      <c r="A109" s="357"/>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17" sqref="N117"/>
    </sheetView>
  </sheetViews>
  <sheetFormatPr defaultColWidth="8.796875" defaultRowHeight="15"/>
  <cols>
    <col min="1" max="1" width="71.296875" style="0" customWidth="1"/>
  </cols>
  <sheetData>
    <row r="3" spans="1:12" ht="15">
      <c r="A3" s="359" t="s">
        <v>482</v>
      </c>
      <c r="B3" s="359"/>
      <c r="C3" s="359"/>
      <c r="D3" s="359"/>
      <c r="E3" s="359"/>
      <c r="F3" s="359"/>
      <c r="G3" s="359"/>
      <c r="H3" s="359"/>
      <c r="I3" s="359"/>
      <c r="J3" s="359"/>
      <c r="K3" s="359"/>
      <c r="L3" s="359"/>
    </row>
    <row r="4" spans="1:12" ht="15">
      <c r="A4" s="359"/>
      <c r="B4" s="359"/>
      <c r="C4" s="359"/>
      <c r="D4" s="359"/>
      <c r="E4" s="359"/>
      <c r="F4" s="359"/>
      <c r="G4" s="359"/>
      <c r="H4" s="359"/>
      <c r="I4" s="359"/>
      <c r="J4" s="359"/>
      <c r="K4" s="359"/>
      <c r="L4" s="359"/>
    </row>
    <row r="5" spans="1:12" ht="15">
      <c r="A5" s="358" t="s">
        <v>427</v>
      </c>
      <c r="I5" s="359"/>
      <c r="J5" s="359"/>
      <c r="K5" s="359"/>
      <c r="L5" s="359"/>
    </row>
    <row r="6" spans="1:12" ht="15">
      <c r="A6" s="358" t="str">
        <f>CONCATENATE("estimated ",inputPrYr!C6-1," 'total expenditures' exceed your ",inputPrYr!C6-1,"")</f>
        <v>estimated -1 'total expenditures' exceed your -1</v>
      </c>
      <c r="I6" s="359"/>
      <c r="J6" s="359"/>
      <c r="K6" s="359"/>
      <c r="L6" s="359"/>
    </row>
    <row r="7" spans="1:12" ht="15">
      <c r="A7" s="361" t="s">
        <v>483</v>
      </c>
      <c r="I7" s="359"/>
      <c r="J7" s="359"/>
      <c r="K7" s="359"/>
      <c r="L7" s="359"/>
    </row>
    <row r="8" spans="1:12" ht="15">
      <c r="A8" s="358"/>
      <c r="I8" s="359"/>
      <c r="J8" s="359"/>
      <c r="K8" s="359"/>
      <c r="L8" s="359"/>
    </row>
    <row r="9" spans="1:12" ht="15">
      <c r="A9" s="358" t="s">
        <v>484</v>
      </c>
      <c r="I9" s="359"/>
      <c r="J9" s="359"/>
      <c r="K9" s="359"/>
      <c r="L9" s="359"/>
    </row>
    <row r="10" spans="1:12" ht="15">
      <c r="A10" s="358" t="s">
        <v>485</v>
      </c>
      <c r="I10" s="359"/>
      <c r="J10" s="359"/>
      <c r="K10" s="359"/>
      <c r="L10" s="359"/>
    </row>
    <row r="11" spans="1:12" ht="15">
      <c r="A11" s="358" t="s">
        <v>486</v>
      </c>
      <c r="I11" s="359"/>
      <c r="J11" s="359"/>
      <c r="K11" s="359"/>
      <c r="L11" s="359"/>
    </row>
    <row r="12" spans="1:12" ht="15">
      <c r="A12" s="358" t="s">
        <v>487</v>
      </c>
      <c r="I12" s="359"/>
      <c r="J12" s="359"/>
      <c r="K12" s="359"/>
      <c r="L12" s="359"/>
    </row>
    <row r="13" spans="1:12" ht="15">
      <c r="A13" s="358" t="s">
        <v>488</v>
      </c>
      <c r="I13" s="359"/>
      <c r="J13" s="359"/>
      <c r="K13" s="359"/>
      <c r="L13" s="359"/>
    </row>
    <row r="14" spans="1:12" ht="15">
      <c r="A14" s="359"/>
      <c r="B14" s="359"/>
      <c r="C14" s="359"/>
      <c r="D14" s="359"/>
      <c r="E14" s="359"/>
      <c r="F14" s="359"/>
      <c r="G14" s="359"/>
      <c r="H14" s="359"/>
      <c r="I14" s="359"/>
      <c r="J14" s="359"/>
      <c r="K14" s="359"/>
      <c r="L14" s="359"/>
    </row>
    <row r="15" ht="15">
      <c r="A15" s="357" t="s">
        <v>489</v>
      </c>
    </row>
    <row r="16" ht="15">
      <c r="A16" s="357" t="s">
        <v>490</v>
      </c>
    </row>
    <row r="17" ht="15">
      <c r="A17" s="357"/>
    </row>
    <row r="18" spans="1:7" ht="15">
      <c r="A18" s="358" t="s">
        <v>491</v>
      </c>
      <c r="B18" s="358"/>
      <c r="C18" s="358"/>
      <c r="D18" s="358"/>
      <c r="E18" s="358"/>
      <c r="F18" s="358"/>
      <c r="G18" s="358"/>
    </row>
    <row r="19" spans="1:7" ht="15">
      <c r="A19" s="358" t="str">
        <f>CONCATENATE("your ",inputPrYr!C6-1," numbers to see what steps might be necessary to")</f>
        <v>your -1 numbers to see what steps might be necessary to</v>
      </c>
      <c r="B19" s="358"/>
      <c r="C19" s="358"/>
      <c r="D19" s="358"/>
      <c r="E19" s="358"/>
      <c r="F19" s="358"/>
      <c r="G19" s="358"/>
    </row>
    <row r="20" spans="1:7" ht="15">
      <c r="A20" s="358" t="s">
        <v>492</v>
      </c>
      <c r="B20" s="358"/>
      <c r="C20" s="358"/>
      <c r="D20" s="358"/>
      <c r="E20" s="358"/>
      <c r="F20" s="358"/>
      <c r="G20" s="358"/>
    </row>
    <row r="21" spans="1:7" ht="15">
      <c r="A21" s="358" t="s">
        <v>493</v>
      </c>
      <c r="B21" s="358"/>
      <c r="C21" s="358"/>
      <c r="D21" s="358"/>
      <c r="E21" s="358"/>
      <c r="F21" s="358"/>
      <c r="G21" s="358"/>
    </row>
    <row r="22" ht="15">
      <c r="A22" s="358"/>
    </row>
    <row r="23" ht="15">
      <c r="A23" s="357" t="s">
        <v>494</v>
      </c>
    </row>
    <row r="24" ht="15">
      <c r="A24" s="357"/>
    </row>
    <row r="25" ht="15">
      <c r="A25" s="358" t="s">
        <v>495</v>
      </c>
    </row>
    <row r="26" spans="1:6" ht="15">
      <c r="A26" s="358" t="s">
        <v>496</v>
      </c>
      <c r="B26" s="358"/>
      <c r="C26" s="358"/>
      <c r="D26" s="358"/>
      <c r="E26" s="358"/>
      <c r="F26" s="358"/>
    </row>
    <row r="27" spans="1:6" ht="15">
      <c r="A27" s="358" t="s">
        <v>497</v>
      </c>
      <c r="B27" s="358"/>
      <c r="C27" s="358"/>
      <c r="D27" s="358"/>
      <c r="E27" s="358"/>
      <c r="F27" s="358"/>
    </row>
    <row r="28" spans="1:6" ht="15">
      <c r="A28" s="358" t="s">
        <v>498</v>
      </c>
      <c r="B28" s="358"/>
      <c r="C28" s="358"/>
      <c r="D28" s="358"/>
      <c r="E28" s="358"/>
      <c r="F28" s="358"/>
    </row>
    <row r="29" spans="1:6" ht="15">
      <c r="A29" s="358"/>
      <c r="B29" s="358"/>
      <c r="C29" s="358"/>
      <c r="D29" s="358"/>
      <c r="E29" s="358"/>
      <c r="F29" s="358"/>
    </row>
    <row r="30" spans="1:7" ht="15">
      <c r="A30" s="357" t="s">
        <v>499</v>
      </c>
      <c r="B30" s="357"/>
      <c r="C30" s="357"/>
      <c r="D30" s="357"/>
      <c r="E30" s="357"/>
      <c r="F30" s="357"/>
      <c r="G30" s="357"/>
    </row>
    <row r="31" spans="1:7" ht="15">
      <c r="A31" s="357" t="s">
        <v>500</v>
      </c>
      <c r="B31" s="357"/>
      <c r="C31" s="357"/>
      <c r="D31" s="357"/>
      <c r="E31" s="357"/>
      <c r="F31" s="357"/>
      <c r="G31" s="357"/>
    </row>
    <row r="32" spans="1:6" ht="15">
      <c r="A32" s="358"/>
      <c r="B32" s="358"/>
      <c r="C32" s="358"/>
      <c r="D32" s="358"/>
      <c r="E32" s="358"/>
      <c r="F32" s="358"/>
    </row>
    <row r="33" spans="1:6" ht="15">
      <c r="A33" s="362" t="str">
        <f>CONCATENATE("Well, let's look to see if any of your ",inputPrYr!C6-1," expenditures can")</f>
        <v>Well, let's look to see if any of your -1 expenditures can</v>
      </c>
      <c r="B33" s="358"/>
      <c r="C33" s="358"/>
      <c r="D33" s="358"/>
      <c r="E33" s="358"/>
      <c r="F33" s="358"/>
    </row>
    <row r="34" spans="1:6" ht="15">
      <c r="A34" s="362" t="s">
        <v>501</v>
      </c>
      <c r="B34" s="358"/>
      <c r="C34" s="358"/>
      <c r="D34" s="358"/>
      <c r="E34" s="358"/>
      <c r="F34" s="358"/>
    </row>
    <row r="35" spans="1:6" ht="15">
      <c r="A35" s="362" t="s">
        <v>441</v>
      </c>
      <c r="B35" s="358"/>
      <c r="C35" s="358"/>
      <c r="D35" s="358"/>
      <c r="E35" s="358"/>
      <c r="F35" s="358"/>
    </row>
    <row r="36" spans="1:6" ht="15">
      <c r="A36" s="362" t="s">
        <v>442</v>
      </c>
      <c r="B36" s="358"/>
      <c r="C36" s="358"/>
      <c r="D36" s="358"/>
      <c r="E36" s="358"/>
      <c r="F36" s="358"/>
    </row>
    <row r="37" spans="1:6" ht="15">
      <c r="A37" s="362"/>
      <c r="B37" s="358"/>
      <c r="C37" s="358"/>
      <c r="D37" s="358"/>
      <c r="E37" s="358"/>
      <c r="F37" s="358"/>
    </row>
    <row r="38" spans="1:6" ht="15">
      <c r="A38" s="362" t="str">
        <f>CONCATENATE("Additionally, do your ",inputPrYr!C6-1," receipts contain a reimbursement")</f>
        <v>Additionally, do your -1 receipts contain a reimbursement</v>
      </c>
      <c r="B38" s="358"/>
      <c r="C38" s="358"/>
      <c r="D38" s="358"/>
      <c r="E38" s="358"/>
      <c r="F38" s="358"/>
    </row>
    <row r="39" spans="1:6" ht="15">
      <c r="A39" s="362" t="s">
        <v>443</v>
      </c>
      <c r="B39" s="358"/>
      <c r="C39" s="358"/>
      <c r="D39" s="358"/>
      <c r="E39" s="358"/>
      <c r="F39" s="358"/>
    </row>
    <row r="40" spans="1:6" ht="15">
      <c r="A40" s="362" t="s">
        <v>444</v>
      </c>
      <c r="B40" s="358"/>
      <c r="C40" s="358"/>
      <c r="D40" s="358"/>
      <c r="E40" s="358"/>
      <c r="F40" s="358"/>
    </row>
    <row r="41" spans="1:6" ht="15">
      <c r="A41" s="362"/>
      <c r="B41" s="358"/>
      <c r="C41" s="358"/>
      <c r="D41" s="358"/>
      <c r="E41" s="358"/>
      <c r="F41" s="358"/>
    </row>
    <row r="42" spans="1:6" ht="15">
      <c r="A42" s="362" t="s">
        <v>445</v>
      </c>
      <c r="B42" s="358"/>
      <c r="C42" s="358"/>
      <c r="D42" s="358"/>
      <c r="E42" s="358"/>
      <c r="F42" s="358"/>
    </row>
    <row r="43" spans="1:6" ht="15">
      <c r="A43" s="362" t="s">
        <v>446</v>
      </c>
      <c r="B43" s="358"/>
      <c r="C43" s="358"/>
      <c r="D43" s="358"/>
      <c r="E43" s="358"/>
      <c r="F43" s="358"/>
    </row>
    <row r="44" spans="1:6" ht="15">
      <c r="A44" s="362" t="s">
        <v>447</v>
      </c>
      <c r="B44" s="358"/>
      <c r="C44" s="358"/>
      <c r="D44" s="358"/>
      <c r="E44" s="358"/>
      <c r="F44" s="358"/>
    </row>
    <row r="45" spans="1:6" ht="15">
      <c r="A45" s="362" t="s">
        <v>502</v>
      </c>
      <c r="B45" s="358"/>
      <c r="C45" s="358"/>
      <c r="D45" s="358"/>
      <c r="E45" s="358"/>
      <c r="F45" s="358"/>
    </row>
    <row r="46" spans="1:6" ht="15">
      <c r="A46" s="362" t="s">
        <v>449</v>
      </c>
      <c r="B46" s="358"/>
      <c r="C46" s="358"/>
      <c r="D46" s="358"/>
      <c r="E46" s="358"/>
      <c r="F46" s="358"/>
    </row>
    <row r="47" spans="1:6" ht="15">
      <c r="A47" s="362" t="s">
        <v>503</v>
      </c>
      <c r="B47" s="358"/>
      <c r="C47" s="358"/>
      <c r="D47" s="358"/>
      <c r="E47" s="358"/>
      <c r="F47" s="358"/>
    </row>
    <row r="48" spans="1:6" ht="15">
      <c r="A48" s="362" t="s">
        <v>504</v>
      </c>
      <c r="B48" s="358"/>
      <c r="C48" s="358"/>
      <c r="D48" s="358"/>
      <c r="E48" s="358"/>
      <c r="F48" s="358"/>
    </row>
    <row r="49" spans="1:6" ht="15">
      <c r="A49" s="362" t="s">
        <v>452</v>
      </c>
      <c r="B49" s="358"/>
      <c r="C49" s="358"/>
      <c r="D49" s="358"/>
      <c r="E49" s="358"/>
      <c r="F49" s="358"/>
    </row>
    <row r="50" spans="1:6" ht="15">
      <c r="A50" s="362"/>
      <c r="B50" s="358"/>
      <c r="C50" s="358"/>
      <c r="D50" s="358"/>
      <c r="E50" s="358"/>
      <c r="F50" s="358"/>
    </row>
    <row r="51" spans="1:6" ht="15">
      <c r="A51" s="362" t="s">
        <v>453</v>
      </c>
      <c r="B51" s="358"/>
      <c r="C51" s="358"/>
      <c r="D51" s="358"/>
      <c r="E51" s="358"/>
      <c r="F51" s="358"/>
    </row>
    <row r="52" spans="1:6" ht="15">
      <c r="A52" s="362" t="s">
        <v>454</v>
      </c>
      <c r="B52" s="358"/>
      <c r="C52" s="358"/>
      <c r="D52" s="358"/>
      <c r="E52" s="358"/>
      <c r="F52" s="358"/>
    </row>
    <row r="53" spans="1:6" ht="15">
      <c r="A53" s="362" t="s">
        <v>455</v>
      </c>
      <c r="B53" s="358"/>
      <c r="C53" s="358"/>
      <c r="D53" s="358"/>
      <c r="E53" s="358"/>
      <c r="F53" s="358"/>
    </row>
    <row r="54" spans="1:6" ht="15">
      <c r="A54" s="362"/>
      <c r="B54" s="358"/>
      <c r="C54" s="358"/>
      <c r="D54" s="358"/>
      <c r="E54" s="358"/>
      <c r="F54" s="358"/>
    </row>
    <row r="55" spans="1:6" ht="15">
      <c r="A55" s="362" t="s">
        <v>505</v>
      </c>
      <c r="B55" s="358"/>
      <c r="C55" s="358"/>
      <c r="D55" s="358"/>
      <c r="E55" s="358"/>
      <c r="F55" s="358"/>
    </row>
    <row r="56" spans="1:6" ht="15">
      <c r="A56" s="362" t="s">
        <v>506</v>
      </c>
      <c r="B56" s="358"/>
      <c r="C56" s="358"/>
      <c r="D56" s="358"/>
      <c r="E56" s="358"/>
      <c r="F56" s="358"/>
    </row>
    <row r="57" spans="1:6" ht="15">
      <c r="A57" s="362" t="s">
        <v>507</v>
      </c>
      <c r="B57" s="358"/>
      <c r="C57" s="358"/>
      <c r="D57" s="358"/>
      <c r="E57" s="358"/>
      <c r="F57" s="358"/>
    </row>
    <row r="58" spans="1:6" ht="15">
      <c r="A58" s="362" t="s">
        <v>508</v>
      </c>
      <c r="B58" s="358"/>
      <c r="C58" s="358"/>
      <c r="D58" s="358"/>
      <c r="E58" s="358"/>
      <c r="F58" s="358"/>
    </row>
    <row r="59" spans="1:6" ht="15">
      <c r="A59" s="362" t="s">
        <v>509</v>
      </c>
      <c r="B59" s="358"/>
      <c r="C59" s="358"/>
      <c r="D59" s="358"/>
      <c r="E59" s="358"/>
      <c r="F59" s="358"/>
    </row>
    <row r="60" spans="1:6" ht="15">
      <c r="A60" s="362"/>
      <c r="B60" s="358"/>
      <c r="C60" s="358"/>
      <c r="D60" s="358"/>
      <c r="E60" s="358"/>
      <c r="F60" s="358"/>
    </row>
    <row r="61" spans="1:6" ht="15">
      <c r="A61" s="363" t="s">
        <v>510</v>
      </c>
      <c r="B61" s="358"/>
      <c r="C61" s="358"/>
      <c r="D61" s="358"/>
      <c r="E61" s="358"/>
      <c r="F61" s="358"/>
    </row>
    <row r="62" spans="1:6" ht="15">
      <c r="A62" s="363" t="s">
        <v>511</v>
      </c>
      <c r="B62" s="358"/>
      <c r="C62" s="358"/>
      <c r="D62" s="358"/>
      <c r="E62" s="358"/>
      <c r="F62" s="358"/>
    </row>
    <row r="63" spans="1:6" ht="15">
      <c r="A63" s="363" t="s">
        <v>512</v>
      </c>
      <c r="B63" s="358"/>
      <c r="C63" s="358"/>
      <c r="D63" s="358"/>
      <c r="E63" s="358"/>
      <c r="F63" s="358"/>
    </row>
    <row r="64" ht="15">
      <c r="A64" s="363" t="s">
        <v>513</v>
      </c>
    </row>
    <row r="65" ht="15">
      <c r="A65" s="363" t="s">
        <v>514</v>
      </c>
    </row>
    <row r="66" ht="15">
      <c r="A66" s="363" t="s">
        <v>515</v>
      </c>
    </row>
    <row r="68" ht="15">
      <c r="A68" s="358" t="s">
        <v>516</v>
      </c>
    </row>
    <row r="69" ht="15">
      <c r="A69" s="358" t="s">
        <v>517</v>
      </c>
    </row>
    <row r="70" ht="15">
      <c r="A70" s="358" t="s">
        <v>518</v>
      </c>
    </row>
    <row r="71" ht="15">
      <c r="A71" s="358" t="s">
        <v>519</v>
      </c>
    </row>
    <row r="72" ht="15">
      <c r="A72" s="358" t="s">
        <v>520</v>
      </c>
    </row>
    <row r="73" ht="15">
      <c r="A73" s="358" t="s">
        <v>521</v>
      </c>
    </row>
    <row r="75" ht="15">
      <c r="A75" s="358"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2" sqref="N112"/>
    </sheetView>
  </sheetViews>
  <sheetFormatPr defaultColWidth="8.796875" defaultRowHeight="15"/>
  <cols>
    <col min="1" max="1" width="71.296875" style="0" customWidth="1"/>
  </cols>
  <sheetData>
    <row r="3" spans="1:7" ht="15">
      <c r="A3" s="359" t="s">
        <v>522</v>
      </c>
      <c r="B3" s="359"/>
      <c r="C3" s="359"/>
      <c r="D3" s="359"/>
      <c r="E3" s="359"/>
      <c r="F3" s="359"/>
      <c r="G3" s="359"/>
    </row>
    <row r="4" spans="1:7" ht="15">
      <c r="A4" s="359"/>
      <c r="B4" s="359"/>
      <c r="C4" s="359"/>
      <c r="D4" s="359"/>
      <c r="E4" s="359"/>
      <c r="F4" s="359"/>
      <c r="G4" s="359"/>
    </row>
    <row r="5" ht="15">
      <c r="A5" s="358" t="s">
        <v>371</v>
      </c>
    </row>
    <row r="6" ht="15">
      <c r="A6" s="358" t="str">
        <f>CONCATENATE(inputPrYr!C6," estimated expenditures show that at the end of this year")</f>
        <v> estimated expenditures show that at the end of this year</v>
      </c>
    </row>
    <row r="7" ht="15">
      <c r="A7" s="358" t="s">
        <v>523</v>
      </c>
    </row>
    <row r="8" ht="15">
      <c r="A8" s="358" t="s">
        <v>524</v>
      </c>
    </row>
    <row r="10" ht="15">
      <c r="A10" t="s">
        <v>373</v>
      </c>
    </row>
    <row r="11" ht="15">
      <c r="A11" t="s">
        <v>374</v>
      </c>
    </row>
    <row r="12" ht="15">
      <c r="A12" t="s">
        <v>375</v>
      </c>
    </row>
    <row r="13" spans="1:7" ht="15">
      <c r="A13" s="359"/>
      <c r="B13" s="359"/>
      <c r="C13" s="359"/>
      <c r="D13" s="359"/>
      <c r="E13" s="359"/>
      <c r="F13" s="359"/>
      <c r="G13" s="359"/>
    </row>
    <row r="14" ht="15">
      <c r="A14" s="357" t="s">
        <v>525</v>
      </c>
    </row>
    <row r="15" ht="15">
      <c r="A15" s="358"/>
    </row>
    <row r="16" ht="15">
      <c r="A16" s="358" t="s">
        <v>526</v>
      </c>
    </row>
    <row r="17" ht="15">
      <c r="A17" s="358" t="s">
        <v>527</v>
      </c>
    </row>
    <row r="18" ht="15">
      <c r="A18" s="358" t="s">
        <v>528</v>
      </c>
    </row>
    <row r="19" ht="15">
      <c r="A19" s="358"/>
    </row>
    <row r="20" ht="15">
      <c r="A20" s="358" t="s">
        <v>529</v>
      </c>
    </row>
    <row r="21" ht="15">
      <c r="A21" s="358" t="s">
        <v>530</v>
      </c>
    </row>
    <row r="22" ht="15">
      <c r="A22" s="358" t="s">
        <v>531</v>
      </c>
    </row>
    <row r="23" ht="15">
      <c r="A23" s="358" t="s">
        <v>532</v>
      </c>
    </row>
    <row r="24" ht="15">
      <c r="A24" s="358"/>
    </row>
    <row r="25" ht="15">
      <c r="A25" s="357" t="s">
        <v>494</v>
      </c>
    </row>
    <row r="26" ht="15">
      <c r="A26" s="357"/>
    </row>
    <row r="27" ht="15">
      <c r="A27" s="358" t="s">
        <v>495</v>
      </c>
    </row>
    <row r="28" spans="1:6" ht="15">
      <c r="A28" s="358" t="s">
        <v>496</v>
      </c>
      <c r="B28" s="358"/>
      <c r="C28" s="358"/>
      <c r="D28" s="358"/>
      <c r="E28" s="358"/>
      <c r="F28" s="358"/>
    </row>
    <row r="29" spans="1:6" ht="15">
      <c r="A29" s="358" t="s">
        <v>497</v>
      </c>
      <c r="B29" s="358"/>
      <c r="C29" s="358"/>
      <c r="D29" s="358"/>
      <c r="E29" s="358"/>
      <c r="F29" s="358"/>
    </row>
    <row r="30" spans="1:6" ht="15">
      <c r="A30" s="358" t="s">
        <v>498</v>
      </c>
      <c r="B30" s="358"/>
      <c r="C30" s="358"/>
      <c r="D30" s="358"/>
      <c r="E30" s="358"/>
      <c r="F30" s="358"/>
    </row>
    <row r="31" ht="15">
      <c r="A31" s="358"/>
    </row>
    <row r="32" spans="1:7" ht="15">
      <c r="A32" s="357" t="s">
        <v>499</v>
      </c>
      <c r="B32" s="357"/>
      <c r="C32" s="357"/>
      <c r="D32" s="357"/>
      <c r="E32" s="357"/>
      <c r="F32" s="357"/>
      <c r="G32" s="357"/>
    </row>
    <row r="33" spans="1:7" ht="15">
      <c r="A33" s="357" t="s">
        <v>500</v>
      </c>
      <c r="B33" s="357"/>
      <c r="C33" s="357"/>
      <c r="D33" s="357"/>
      <c r="E33" s="357"/>
      <c r="F33" s="357"/>
      <c r="G33" s="357"/>
    </row>
    <row r="34" spans="1:7" ht="15">
      <c r="A34" s="357"/>
      <c r="B34" s="357"/>
      <c r="C34" s="357"/>
      <c r="D34" s="357"/>
      <c r="E34" s="357"/>
      <c r="F34" s="357"/>
      <c r="G34" s="357"/>
    </row>
    <row r="35" spans="1:7" ht="15">
      <c r="A35" s="358" t="s">
        <v>533</v>
      </c>
      <c r="B35" s="358"/>
      <c r="C35" s="358"/>
      <c r="D35" s="358"/>
      <c r="E35" s="358"/>
      <c r="F35" s="358"/>
      <c r="G35" s="358"/>
    </row>
    <row r="36" spans="1:7" ht="15">
      <c r="A36" s="358" t="s">
        <v>534</v>
      </c>
      <c r="B36" s="358"/>
      <c r="C36" s="358"/>
      <c r="D36" s="358"/>
      <c r="E36" s="358"/>
      <c r="F36" s="358"/>
      <c r="G36" s="358"/>
    </row>
    <row r="37" spans="1:7" ht="15">
      <c r="A37" s="358" t="s">
        <v>535</v>
      </c>
      <c r="B37" s="358"/>
      <c r="C37" s="358"/>
      <c r="D37" s="358"/>
      <c r="E37" s="358"/>
      <c r="F37" s="358"/>
      <c r="G37" s="358"/>
    </row>
    <row r="38" spans="1:7" ht="15">
      <c r="A38" s="358" t="s">
        <v>536</v>
      </c>
      <c r="B38" s="358"/>
      <c r="C38" s="358"/>
      <c r="D38" s="358"/>
      <c r="E38" s="358"/>
      <c r="F38" s="358"/>
      <c r="G38" s="358"/>
    </row>
    <row r="39" spans="1:7" ht="15">
      <c r="A39" s="358" t="s">
        <v>537</v>
      </c>
      <c r="B39" s="358"/>
      <c r="C39" s="358"/>
      <c r="D39" s="358"/>
      <c r="E39" s="358"/>
      <c r="F39" s="358"/>
      <c r="G39" s="358"/>
    </row>
    <row r="40" spans="1:7" ht="15">
      <c r="A40" s="357"/>
      <c r="B40" s="357"/>
      <c r="C40" s="357"/>
      <c r="D40" s="357"/>
      <c r="E40" s="357"/>
      <c r="F40" s="357"/>
      <c r="G40" s="357"/>
    </row>
    <row r="41" spans="1:6" ht="15">
      <c r="A41" s="362" t="str">
        <f>CONCATENATE("So, let's look to see if any of your ",inputPrYr!C6-1," expenditures can")</f>
        <v>So, let's look to see if any of your -1 expenditures can</v>
      </c>
      <c r="B41" s="358"/>
      <c r="C41" s="358"/>
      <c r="D41" s="358"/>
      <c r="E41" s="358"/>
      <c r="F41" s="358"/>
    </row>
    <row r="42" spans="1:6" ht="15">
      <c r="A42" s="362" t="s">
        <v>501</v>
      </c>
      <c r="B42" s="358"/>
      <c r="C42" s="358"/>
      <c r="D42" s="358"/>
      <c r="E42" s="358"/>
      <c r="F42" s="358"/>
    </row>
    <row r="43" spans="1:6" ht="15">
      <c r="A43" s="362" t="s">
        <v>441</v>
      </c>
      <c r="B43" s="358"/>
      <c r="C43" s="358"/>
      <c r="D43" s="358"/>
      <c r="E43" s="358"/>
      <c r="F43" s="358"/>
    </row>
    <row r="44" spans="1:6" ht="15">
      <c r="A44" s="362" t="s">
        <v>442</v>
      </c>
      <c r="B44" s="358"/>
      <c r="C44" s="358"/>
      <c r="D44" s="358"/>
      <c r="E44" s="358"/>
      <c r="F44" s="358"/>
    </row>
    <row r="45" ht="15">
      <c r="A45" s="358"/>
    </row>
    <row r="46" spans="1:6" ht="15">
      <c r="A46" s="362" t="str">
        <f>CONCATENATE("Additionally, do your ",inputPrYr!C6-1," receipts contain a reimbursement")</f>
        <v>Additionally, do your -1 receipts contain a reimbursement</v>
      </c>
      <c r="B46" s="358"/>
      <c r="C46" s="358"/>
      <c r="D46" s="358"/>
      <c r="E46" s="358"/>
      <c r="F46" s="358"/>
    </row>
    <row r="47" spans="1:6" ht="15">
      <c r="A47" s="362" t="s">
        <v>443</v>
      </c>
      <c r="B47" s="358"/>
      <c r="C47" s="358"/>
      <c r="D47" s="358"/>
      <c r="E47" s="358"/>
      <c r="F47" s="358"/>
    </row>
    <row r="48" spans="1:6" ht="15">
      <c r="A48" s="362" t="s">
        <v>444</v>
      </c>
      <c r="B48" s="358"/>
      <c r="C48" s="358"/>
      <c r="D48" s="358"/>
      <c r="E48" s="358"/>
      <c r="F48" s="358"/>
    </row>
    <row r="49" spans="1:7" ht="15">
      <c r="A49" s="358"/>
      <c r="B49" s="358"/>
      <c r="C49" s="358"/>
      <c r="D49" s="358"/>
      <c r="E49" s="358"/>
      <c r="F49" s="358"/>
      <c r="G49" s="358"/>
    </row>
    <row r="50" spans="1:7" ht="15">
      <c r="A50" s="358" t="s">
        <v>398</v>
      </c>
      <c r="B50" s="358"/>
      <c r="C50" s="358"/>
      <c r="D50" s="358"/>
      <c r="E50" s="358"/>
      <c r="F50" s="358"/>
      <c r="G50" s="358"/>
    </row>
    <row r="51" spans="1:7" ht="15">
      <c r="A51" s="358" t="s">
        <v>399</v>
      </c>
      <c r="B51" s="358"/>
      <c r="C51" s="358"/>
      <c r="D51" s="358"/>
      <c r="E51" s="358"/>
      <c r="F51" s="358"/>
      <c r="G51" s="358"/>
    </row>
    <row r="52" spans="1:7" ht="15">
      <c r="A52" s="358" t="s">
        <v>400</v>
      </c>
      <c r="B52" s="358"/>
      <c r="C52" s="358"/>
      <c r="D52" s="358"/>
      <c r="E52" s="358"/>
      <c r="F52" s="358"/>
      <c r="G52" s="358"/>
    </row>
    <row r="53" spans="1:7" ht="15">
      <c r="A53" s="358" t="s">
        <v>401</v>
      </c>
      <c r="B53" s="358"/>
      <c r="C53" s="358"/>
      <c r="D53" s="358"/>
      <c r="E53" s="358"/>
      <c r="F53" s="358"/>
      <c r="G53" s="358"/>
    </row>
    <row r="54" spans="1:7" ht="15">
      <c r="A54" s="358" t="s">
        <v>402</v>
      </c>
      <c r="B54" s="358"/>
      <c r="C54" s="358"/>
      <c r="D54" s="358"/>
      <c r="E54" s="358"/>
      <c r="F54" s="358"/>
      <c r="G54" s="358"/>
    </row>
    <row r="55" spans="1:7" ht="15">
      <c r="A55" s="358"/>
      <c r="B55" s="358"/>
      <c r="C55" s="358"/>
      <c r="D55" s="358"/>
      <c r="E55" s="358"/>
      <c r="F55" s="358"/>
      <c r="G55" s="358"/>
    </row>
    <row r="56" spans="1:6" ht="15">
      <c r="A56" s="362" t="s">
        <v>453</v>
      </c>
      <c r="B56" s="358"/>
      <c r="C56" s="358"/>
      <c r="D56" s="358"/>
      <c r="E56" s="358"/>
      <c r="F56" s="358"/>
    </row>
    <row r="57" spans="1:6" ht="15">
      <c r="A57" s="362" t="s">
        <v>454</v>
      </c>
      <c r="B57" s="358"/>
      <c r="C57" s="358"/>
      <c r="D57" s="358"/>
      <c r="E57" s="358"/>
      <c r="F57" s="358"/>
    </row>
    <row r="58" spans="1:6" ht="15">
      <c r="A58" s="362" t="s">
        <v>455</v>
      </c>
      <c r="B58" s="358"/>
      <c r="C58" s="358"/>
      <c r="D58" s="358"/>
      <c r="E58" s="358"/>
      <c r="F58" s="358"/>
    </row>
    <row r="59" spans="1:6" ht="15">
      <c r="A59" s="362"/>
      <c r="B59" s="358"/>
      <c r="C59" s="358"/>
      <c r="D59" s="358"/>
      <c r="E59" s="358"/>
      <c r="F59" s="358"/>
    </row>
    <row r="60" spans="1:7" ht="15">
      <c r="A60" s="358" t="s">
        <v>538</v>
      </c>
      <c r="B60" s="358"/>
      <c r="C60" s="358"/>
      <c r="D60" s="358"/>
      <c r="E60" s="358"/>
      <c r="F60" s="358"/>
      <c r="G60" s="358"/>
    </row>
    <row r="61" spans="1:7" ht="15">
      <c r="A61" s="358" t="s">
        <v>539</v>
      </c>
      <c r="B61" s="358"/>
      <c r="C61" s="358"/>
      <c r="D61" s="358"/>
      <c r="E61" s="358"/>
      <c r="F61" s="358"/>
      <c r="G61" s="358"/>
    </row>
    <row r="62" spans="1:7" ht="15">
      <c r="A62" s="358" t="s">
        <v>540</v>
      </c>
      <c r="B62" s="358"/>
      <c r="C62" s="358"/>
      <c r="D62" s="358"/>
      <c r="E62" s="358"/>
      <c r="F62" s="358"/>
      <c r="G62" s="358"/>
    </row>
    <row r="63" spans="1:7" ht="15">
      <c r="A63" s="358" t="s">
        <v>541</v>
      </c>
      <c r="B63" s="358"/>
      <c r="C63" s="358"/>
      <c r="D63" s="358"/>
      <c r="E63" s="358"/>
      <c r="F63" s="358"/>
      <c r="G63" s="358"/>
    </row>
    <row r="64" spans="1:7" ht="15">
      <c r="A64" s="358" t="s">
        <v>542</v>
      </c>
      <c r="B64" s="358"/>
      <c r="C64" s="358"/>
      <c r="D64" s="358"/>
      <c r="E64" s="358"/>
      <c r="F64" s="358"/>
      <c r="G64" s="358"/>
    </row>
    <row r="66" spans="1:6" ht="15">
      <c r="A66" s="362" t="s">
        <v>505</v>
      </c>
      <c r="B66" s="358"/>
      <c r="C66" s="358"/>
      <c r="D66" s="358"/>
      <c r="E66" s="358"/>
      <c r="F66" s="358"/>
    </row>
    <row r="67" spans="1:6" ht="15">
      <c r="A67" s="362" t="s">
        <v>506</v>
      </c>
      <c r="B67" s="358"/>
      <c r="C67" s="358"/>
      <c r="D67" s="358"/>
      <c r="E67" s="358"/>
      <c r="F67" s="358"/>
    </row>
    <row r="68" spans="1:6" ht="15">
      <c r="A68" s="362" t="s">
        <v>507</v>
      </c>
      <c r="B68" s="358"/>
      <c r="C68" s="358"/>
      <c r="D68" s="358"/>
      <c r="E68" s="358"/>
      <c r="F68" s="358"/>
    </row>
    <row r="69" spans="1:6" ht="15">
      <c r="A69" s="362" t="s">
        <v>508</v>
      </c>
      <c r="B69" s="358"/>
      <c r="C69" s="358"/>
      <c r="D69" s="358"/>
      <c r="E69" s="358"/>
      <c r="F69" s="358"/>
    </row>
    <row r="70" spans="1:6" ht="15">
      <c r="A70" s="362" t="s">
        <v>509</v>
      </c>
      <c r="B70" s="358"/>
      <c r="C70" s="358"/>
      <c r="D70" s="358"/>
      <c r="E70" s="358"/>
      <c r="F70" s="358"/>
    </row>
    <row r="71" ht="15">
      <c r="A71" s="358"/>
    </row>
    <row r="72" ht="15">
      <c r="A72" s="358" t="s">
        <v>425</v>
      </c>
    </row>
    <row r="73" ht="15">
      <c r="A73" s="358"/>
    </row>
    <row r="74" ht="15">
      <c r="A74" s="358"/>
    </row>
    <row r="75" ht="15">
      <c r="A75" s="358"/>
    </row>
    <row r="78" ht="15">
      <c r="A78" s="357"/>
    </row>
    <row r="80" ht="15">
      <c r="A80" s="358"/>
    </row>
    <row r="81" ht="15">
      <c r="A81" s="358"/>
    </row>
    <row r="82" ht="15">
      <c r="A82" s="358"/>
    </row>
    <row r="83" ht="15">
      <c r="A83" s="358"/>
    </row>
    <row r="84" ht="15">
      <c r="A84" s="358"/>
    </row>
    <row r="85" ht="15">
      <c r="A85" s="358"/>
    </row>
    <row r="86" ht="15">
      <c r="A86" s="358"/>
    </row>
    <row r="87" ht="15">
      <c r="A87" s="358"/>
    </row>
    <row r="88" ht="15">
      <c r="A88" s="358"/>
    </row>
    <row r="89" ht="15">
      <c r="A89" s="358"/>
    </row>
    <row r="90" ht="15">
      <c r="A90" s="358"/>
    </row>
    <row r="92" ht="15">
      <c r="A92" s="358"/>
    </row>
    <row r="93" ht="15">
      <c r="A93" s="358"/>
    </row>
    <row r="94" ht="15">
      <c r="A94" s="358"/>
    </row>
    <row r="95" ht="15">
      <c r="A95" s="358"/>
    </row>
    <row r="96" ht="15">
      <c r="A96" s="358"/>
    </row>
    <row r="97" ht="15">
      <c r="A97" s="358"/>
    </row>
    <row r="98" ht="15">
      <c r="A98" s="358"/>
    </row>
    <row r="99" ht="15">
      <c r="A99" s="358"/>
    </row>
    <row r="100" ht="15">
      <c r="A100" s="358"/>
    </row>
    <row r="101" ht="15">
      <c r="A101" s="358"/>
    </row>
    <row r="102" ht="15">
      <c r="A102" s="358"/>
    </row>
    <row r="103" ht="15">
      <c r="A103" s="358"/>
    </row>
    <row r="104" ht="15">
      <c r="A104" s="358"/>
    </row>
    <row r="105" ht="15">
      <c r="A105" s="358"/>
    </row>
    <row r="106" ht="15">
      <c r="A106" s="35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7">
      <selection activeCell="N91" sqref="N91"/>
    </sheetView>
  </sheetViews>
  <sheetFormatPr defaultColWidth="8.796875" defaultRowHeight="15"/>
  <cols>
    <col min="1" max="1" width="71.296875" style="0" customWidth="1"/>
  </cols>
  <sheetData>
    <row r="3" spans="1:7" ht="15">
      <c r="A3" s="359" t="s">
        <v>543</v>
      </c>
      <c r="B3" s="359"/>
      <c r="C3" s="359"/>
      <c r="D3" s="359"/>
      <c r="E3" s="359"/>
      <c r="F3" s="359"/>
      <c r="G3" s="359"/>
    </row>
    <row r="4" spans="1:7" ht="15">
      <c r="A4" s="359" t="s">
        <v>544</v>
      </c>
      <c r="B4" s="359"/>
      <c r="C4" s="359"/>
      <c r="D4" s="359"/>
      <c r="E4" s="359"/>
      <c r="F4" s="359"/>
      <c r="G4" s="359"/>
    </row>
    <row r="5" spans="1:7" ht="15">
      <c r="A5" s="359"/>
      <c r="B5" s="359"/>
      <c r="C5" s="359"/>
      <c r="D5" s="359"/>
      <c r="E5" s="359"/>
      <c r="F5" s="359"/>
      <c r="G5" s="359"/>
    </row>
    <row r="6" spans="1:7" ht="15">
      <c r="A6" s="359"/>
      <c r="B6" s="359"/>
      <c r="C6" s="359"/>
      <c r="D6" s="359"/>
      <c r="E6" s="359"/>
      <c r="F6" s="359"/>
      <c r="G6" s="359"/>
    </row>
    <row r="7" ht="15">
      <c r="A7" s="358" t="s">
        <v>427</v>
      </c>
    </row>
    <row r="8" ht="15">
      <c r="A8" s="358" t="str">
        <f>CONCATENATE("estimated ",inputPrYr!C6," 'total expenditures' exceed your ",inputPrYr!C6,"")</f>
        <v>estimated  'total expenditures' exceed your </v>
      </c>
    </row>
    <row r="9" ht="15">
      <c r="A9" s="361" t="s">
        <v>545</v>
      </c>
    </row>
    <row r="10" ht="15">
      <c r="A10" s="358"/>
    </row>
    <row r="11" ht="15">
      <c r="A11" s="358" t="s">
        <v>546</v>
      </c>
    </row>
    <row r="12" ht="15">
      <c r="A12" s="358" t="s">
        <v>547</v>
      </c>
    </row>
    <row r="13" ht="15">
      <c r="A13" s="358" t="s">
        <v>548</v>
      </c>
    </row>
    <row r="14" ht="15">
      <c r="A14" s="358"/>
    </row>
    <row r="15" ht="15">
      <c r="A15" s="357" t="s">
        <v>549</v>
      </c>
    </row>
    <row r="16" spans="1:7" ht="15">
      <c r="A16" s="359"/>
      <c r="B16" s="359"/>
      <c r="C16" s="359"/>
      <c r="D16" s="359"/>
      <c r="E16" s="359"/>
      <c r="F16" s="359"/>
      <c r="G16" s="359"/>
    </row>
    <row r="17" spans="1:8" ht="15">
      <c r="A17" s="364" t="s">
        <v>550</v>
      </c>
      <c r="B17" s="356"/>
      <c r="C17" s="356"/>
      <c r="D17" s="356"/>
      <c r="E17" s="356"/>
      <c r="F17" s="356"/>
      <c r="G17" s="356"/>
      <c r="H17" s="356"/>
    </row>
    <row r="18" spans="1:7" ht="15">
      <c r="A18" s="358" t="s">
        <v>551</v>
      </c>
      <c r="B18" s="365"/>
      <c r="C18" s="365"/>
      <c r="D18" s="365"/>
      <c r="E18" s="365"/>
      <c r="F18" s="365"/>
      <c r="G18" s="365"/>
    </row>
    <row r="19" ht="15">
      <c r="A19" s="358" t="s">
        <v>552</v>
      </c>
    </row>
    <row r="20" ht="15">
      <c r="A20" s="358" t="s">
        <v>553</v>
      </c>
    </row>
    <row r="22" ht="15">
      <c r="A22" s="357" t="s">
        <v>554</v>
      </c>
    </row>
    <row r="24" ht="15">
      <c r="A24" s="358" t="s">
        <v>555</v>
      </c>
    </row>
    <row r="25" ht="15">
      <c r="A25" s="358" t="s">
        <v>556</v>
      </c>
    </row>
    <row r="26" ht="15">
      <c r="A26" s="358" t="s">
        <v>557</v>
      </c>
    </row>
    <row r="28" ht="15">
      <c r="A28" s="357" t="s">
        <v>558</v>
      </c>
    </row>
    <row r="30" ht="15">
      <c r="A30" t="s">
        <v>559</v>
      </c>
    </row>
    <row r="31" ht="15">
      <c r="A31" t="s">
        <v>560</v>
      </c>
    </row>
    <row r="32" ht="15">
      <c r="A32" t="s">
        <v>561</v>
      </c>
    </row>
    <row r="33" ht="15">
      <c r="A33" s="358" t="s">
        <v>562</v>
      </c>
    </row>
    <row r="35" ht="15">
      <c r="A35" t="s">
        <v>563</v>
      </c>
    </row>
    <row r="36" ht="15">
      <c r="A36" t="s">
        <v>564</v>
      </c>
    </row>
    <row r="37" ht="15">
      <c r="A37" t="s">
        <v>565</v>
      </c>
    </row>
    <row r="38" ht="15">
      <c r="A38" t="s">
        <v>566</v>
      </c>
    </row>
    <row r="40" ht="15">
      <c r="A40" t="s">
        <v>567</v>
      </c>
    </row>
    <row r="41" ht="15">
      <c r="A41" t="s">
        <v>568</v>
      </c>
    </row>
    <row r="42" ht="15">
      <c r="A42" t="s">
        <v>569</v>
      </c>
    </row>
    <row r="43" ht="15">
      <c r="A43" t="s">
        <v>570</v>
      </c>
    </row>
    <row r="44" ht="15">
      <c r="A44" t="s">
        <v>571</v>
      </c>
    </row>
    <row r="45" ht="15">
      <c r="A45" t="s">
        <v>572</v>
      </c>
    </row>
    <row r="47" ht="15">
      <c r="A47" t="s">
        <v>573</v>
      </c>
    </row>
    <row r="48" ht="15">
      <c r="A48" t="s">
        <v>574</v>
      </c>
    </row>
    <row r="49" ht="15">
      <c r="A49" s="358" t="s">
        <v>575</v>
      </c>
    </row>
    <row r="50" ht="15">
      <c r="A50" s="358" t="s">
        <v>576</v>
      </c>
    </row>
    <row r="52" ht="15">
      <c r="A52"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V227" sqref="V227"/>
    </sheetView>
  </sheetViews>
  <sheetFormatPr defaultColWidth="8.796875" defaultRowHeight="15"/>
  <cols>
    <col min="1" max="1" width="7.59765625" style="510" customWidth="1"/>
    <col min="2" max="2" width="11.19921875" style="511" customWidth="1"/>
    <col min="3" max="3" width="7.3984375" style="511" customWidth="1"/>
    <col min="4" max="4" width="8.8984375" style="511" customWidth="1"/>
    <col min="5" max="5" width="1.59765625" style="511" customWidth="1"/>
    <col min="6" max="6" width="14.296875" style="511" customWidth="1"/>
    <col min="7" max="7" width="2.59765625" style="511" customWidth="1"/>
    <col min="8" max="8" width="9.796875" style="511" customWidth="1"/>
    <col min="9" max="9" width="2" style="511" customWidth="1"/>
    <col min="10" max="10" width="8.59765625" style="511" customWidth="1"/>
    <col min="11" max="11" width="11.69921875" style="511" customWidth="1"/>
    <col min="12" max="12" width="7.59765625" style="510" customWidth="1"/>
    <col min="13" max="14" width="8.8984375" style="510" customWidth="1"/>
    <col min="15" max="15" width="9.8984375" style="510" bestFit="1" customWidth="1"/>
    <col min="16" max="16384" width="8.8984375" style="510" customWidth="1"/>
  </cols>
  <sheetData>
    <row r="1" spans="1:12" ht="14.25">
      <c r="A1" s="556"/>
      <c r="B1" s="556"/>
      <c r="C1" s="556"/>
      <c r="D1" s="556"/>
      <c r="E1" s="556"/>
      <c r="F1" s="556"/>
      <c r="G1" s="556"/>
      <c r="H1" s="556"/>
      <c r="I1" s="556"/>
      <c r="J1" s="556"/>
      <c r="K1" s="556"/>
      <c r="L1" s="556"/>
    </row>
    <row r="2" spans="1:12" ht="14.25">
      <c r="A2" s="556"/>
      <c r="B2" s="556"/>
      <c r="C2" s="556"/>
      <c r="D2" s="556"/>
      <c r="E2" s="556"/>
      <c r="F2" s="556"/>
      <c r="G2" s="556"/>
      <c r="H2" s="556"/>
      <c r="I2" s="556"/>
      <c r="J2" s="556"/>
      <c r="K2" s="556"/>
      <c r="L2" s="556"/>
    </row>
    <row r="3" spans="1:12" ht="14.25">
      <c r="A3" s="556"/>
      <c r="B3" s="556"/>
      <c r="C3" s="556"/>
      <c r="D3" s="556"/>
      <c r="E3" s="556"/>
      <c r="F3" s="556"/>
      <c r="G3" s="556"/>
      <c r="H3" s="556"/>
      <c r="I3" s="556"/>
      <c r="J3" s="556"/>
      <c r="K3" s="556"/>
      <c r="L3" s="556"/>
    </row>
    <row r="4" spans="1:12" ht="14.25">
      <c r="A4" s="556"/>
      <c r="L4" s="556"/>
    </row>
    <row r="5" spans="1:12" ht="15" customHeight="1">
      <c r="A5" s="556"/>
      <c r="L5" s="556"/>
    </row>
    <row r="6" spans="1:12" ht="33" customHeight="1">
      <c r="A6" s="556"/>
      <c r="B6" s="1041" t="s">
        <v>989</v>
      </c>
      <c r="C6" s="1049"/>
      <c r="D6" s="1049"/>
      <c r="E6" s="1049"/>
      <c r="F6" s="1049"/>
      <c r="G6" s="1049"/>
      <c r="H6" s="1049"/>
      <c r="I6" s="1049"/>
      <c r="J6" s="1049"/>
      <c r="K6" s="1049"/>
      <c r="L6" s="557"/>
    </row>
    <row r="7" spans="1:12" ht="40.5" customHeight="1">
      <c r="A7" s="556"/>
      <c r="B7" s="1057" t="s">
        <v>667</v>
      </c>
      <c r="C7" s="1058"/>
      <c r="D7" s="1058"/>
      <c r="E7" s="1058"/>
      <c r="F7" s="1058"/>
      <c r="G7" s="1058"/>
      <c r="H7" s="1058"/>
      <c r="I7" s="1058"/>
      <c r="J7" s="1058"/>
      <c r="K7" s="1058"/>
      <c r="L7" s="556"/>
    </row>
    <row r="8" spans="1:12" ht="14.25">
      <c r="A8" s="556"/>
      <c r="B8" s="1050" t="s">
        <v>668</v>
      </c>
      <c r="C8" s="1050"/>
      <c r="D8" s="1050"/>
      <c r="E8" s="1050"/>
      <c r="F8" s="1050"/>
      <c r="G8" s="1050"/>
      <c r="H8" s="1050"/>
      <c r="I8" s="1050"/>
      <c r="J8" s="1050"/>
      <c r="K8" s="1050"/>
      <c r="L8" s="556"/>
    </row>
    <row r="9" spans="1:12" ht="14.25">
      <c r="A9" s="556"/>
      <c r="L9" s="556"/>
    </row>
    <row r="10" spans="1:12" ht="14.25">
      <c r="A10" s="556"/>
      <c r="B10" s="1050" t="s">
        <v>669</v>
      </c>
      <c r="C10" s="1050"/>
      <c r="D10" s="1050"/>
      <c r="E10" s="1050"/>
      <c r="F10" s="1050"/>
      <c r="G10" s="1050"/>
      <c r="H10" s="1050"/>
      <c r="I10" s="1050"/>
      <c r="J10" s="1050"/>
      <c r="K10" s="1050"/>
      <c r="L10" s="556"/>
    </row>
    <row r="11" spans="1:12" ht="14.25">
      <c r="A11" s="556"/>
      <c r="B11" s="601"/>
      <c r="C11" s="601"/>
      <c r="D11" s="601"/>
      <c r="E11" s="601"/>
      <c r="F11" s="601"/>
      <c r="G11" s="601"/>
      <c r="H11" s="601"/>
      <c r="I11" s="601"/>
      <c r="J11" s="601"/>
      <c r="K11" s="601"/>
      <c r="L11" s="556"/>
    </row>
    <row r="12" spans="1:12" ht="32.25" customHeight="1">
      <c r="A12" s="556"/>
      <c r="B12" s="1042" t="s">
        <v>670</v>
      </c>
      <c r="C12" s="1042"/>
      <c r="D12" s="1042"/>
      <c r="E12" s="1042"/>
      <c r="F12" s="1042"/>
      <c r="G12" s="1042"/>
      <c r="H12" s="1042"/>
      <c r="I12" s="1042"/>
      <c r="J12" s="1042"/>
      <c r="K12" s="1042"/>
      <c r="L12" s="556"/>
    </row>
    <row r="13" spans="1:12" ht="14.25">
      <c r="A13" s="556"/>
      <c r="L13" s="556"/>
    </row>
    <row r="14" spans="1:12" ht="14.25">
      <c r="A14" s="556"/>
      <c r="B14" s="505" t="s">
        <v>671</v>
      </c>
      <c r="L14" s="556"/>
    </row>
    <row r="15" spans="1:12" ht="14.25">
      <c r="A15" s="556"/>
      <c r="L15" s="556"/>
    </row>
    <row r="16" spans="1:12" ht="14.25">
      <c r="A16" s="556"/>
      <c r="B16" s="511" t="s">
        <v>672</v>
      </c>
      <c r="L16" s="556"/>
    </row>
    <row r="17" spans="1:12" ht="14.25">
      <c r="A17" s="556"/>
      <c r="B17" s="511" t="s">
        <v>673</v>
      </c>
      <c r="L17" s="556"/>
    </row>
    <row r="18" spans="1:12" ht="14.25">
      <c r="A18" s="556"/>
      <c r="L18" s="556"/>
    </row>
    <row r="19" spans="1:12" ht="14.25">
      <c r="A19" s="556"/>
      <c r="B19" s="505" t="s">
        <v>783</v>
      </c>
      <c r="L19" s="556"/>
    </row>
    <row r="20" spans="1:12" ht="14.25">
      <c r="A20" s="556"/>
      <c r="B20" s="505"/>
      <c r="L20" s="556"/>
    </row>
    <row r="21" spans="1:12" ht="14.25">
      <c r="A21" s="556"/>
      <c r="B21" s="511" t="s">
        <v>784</v>
      </c>
      <c r="L21" s="556"/>
    </row>
    <row r="22" spans="1:12" ht="14.25">
      <c r="A22" s="556"/>
      <c r="L22" s="556"/>
    </row>
    <row r="23" spans="1:12" ht="14.25">
      <c r="A23" s="556"/>
      <c r="B23" s="511" t="s">
        <v>674</v>
      </c>
      <c r="E23" s="511" t="s">
        <v>675</v>
      </c>
      <c r="F23" s="1036">
        <v>312000000</v>
      </c>
      <c r="G23" s="1036"/>
      <c r="L23" s="556"/>
    </row>
    <row r="24" spans="1:12" ht="14.25">
      <c r="A24" s="556"/>
      <c r="L24" s="556"/>
    </row>
    <row r="25" spans="1:12" ht="14.25">
      <c r="A25" s="556"/>
      <c r="C25" s="1059">
        <f>F23</f>
        <v>312000000</v>
      </c>
      <c r="D25" s="1059"/>
      <c r="E25" s="511" t="s">
        <v>676</v>
      </c>
      <c r="F25" s="512">
        <v>1000</v>
      </c>
      <c r="G25" s="512" t="s">
        <v>675</v>
      </c>
      <c r="H25" s="748">
        <f>F23/F25</f>
        <v>312000</v>
      </c>
      <c r="L25" s="556"/>
    </row>
    <row r="26" spans="1:12" ht="15" thickBot="1">
      <c r="A26" s="556"/>
      <c r="L26" s="556"/>
    </row>
    <row r="27" spans="1:12" ht="14.25">
      <c r="A27" s="556"/>
      <c r="B27" s="506" t="s">
        <v>671</v>
      </c>
      <c r="C27" s="513"/>
      <c r="D27" s="513"/>
      <c r="E27" s="513"/>
      <c r="F27" s="513"/>
      <c r="G27" s="513"/>
      <c r="H27" s="513"/>
      <c r="I27" s="513"/>
      <c r="J27" s="513"/>
      <c r="K27" s="514"/>
      <c r="L27" s="556"/>
    </row>
    <row r="28" spans="1:12" ht="14.25">
      <c r="A28" s="556"/>
      <c r="B28" s="515">
        <f>F23</f>
        <v>312000000</v>
      </c>
      <c r="C28" s="516" t="s">
        <v>677</v>
      </c>
      <c r="D28" s="516"/>
      <c r="E28" s="516" t="s">
        <v>676</v>
      </c>
      <c r="F28" s="606">
        <v>1000</v>
      </c>
      <c r="G28" s="606" t="s">
        <v>675</v>
      </c>
      <c r="H28" s="749">
        <f>B28/F28</f>
        <v>312000</v>
      </c>
      <c r="I28" s="516" t="s">
        <v>678</v>
      </c>
      <c r="J28" s="516"/>
      <c r="K28" s="517"/>
      <c r="L28" s="556"/>
    </row>
    <row r="29" spans="1:12" ht="15" thickBot="1">
      <c r="A29" s="556"/>
      <c r="B29" s="518"/>
      <c r="C29" s="519"/>
      <c r="D29" s="519"/>
      <c r="E29" s="519"/>
      <c r="F29" s="519"/>
      <c r="G29" s="519"/>
      <c r="H29" s="519"/>
      <c r="I29" s="519"/>
      <c r="J29" s="519"/>
      <c r="K29" s="520"/>
      <c r="L29" s="556"/>
    </row>
    <row r="30" spans="1:12" ht="40.5" customHeight="1">
      <c r="A30" s="556"/>
      <c r="B30" s="1038" t="s">
        <v>667</v>
      </c>
      <c r="C30" s="1038"/>
      <c r="D30" s="1038"/>
      <c r="E30" s="1038"/>
      <c r="F30" s="1038"/>
      <c r="G30" s="1038"/>
      <c r="H30" s="1038"/>
      <c r="I30" s="1038"/>
      <c r="J30" s="1038"/>
      <c r="K30" s="1038"/>
      <c r="L30" s="556"/>
    </row>
    <row r="31" spans="1:12" ht="14.25">
      <c r="A31" s="556"/>
      <c r="B31" s="1050" t="s">
        <v>679</v>
      </c>
      <c r="C31" s="1050"/>
      <c r="D31" s="1050"/>
      <c r="E31" s="1050"/>
      <c r="F31" s="1050"/>
      <c r="G31" s="1050"/>
      <c r="H31" s="1050"/>
      <c r="I31" s="1050"/>
      <c r="J31" s="1050"/>
      <c r="K31" s="1050"/>
      <c r="L31" s="556"/>
    </row>
    <row r="32" spans="1:12" ht="14.25">
      <c r="A32" s="556"/>
      <c r="L32" s="556"/>
    </row>
    <row r="33" spans="1:12" ht="14.25">
      <c r="A33" s="556"/>
      <c r="B33" s="1050" t="s">
        <v>680</v>
      </c>
      <c r="C33" s="1050"/>
      <c r="D33" s="1050"/>
      <c r="E33" s="1050"/>
      <c r="F33" s="1050"/>
      <c r="G33" s="1050"/>
      <c r="H33" s="1050"/>
      <c r="I33" s="1050"/>
      <c r="J33" s="1050"/>
      <c r="K33" s="1050"/>
      <c r="L33" s="556"/>
    </row>
    <row r="34" spans="1:12" ht="14.25">
      <c r="A34" s="556"/>
      <c r="L34" s="556"/>
    </row>
    <row r="35" spans="1:12" ht="89.25" customHeight="1">
      <c r="A35" s="556"/>
      <c r="B35" s="1042" t="s">
        <v>681</v>
      </c>
      <c r="C35" s="1040"/>
      <c r="D35" s="1040"/>
      <c r="E35" s="1040"/>
      <c r="F35" s="1040"/>
      <c r="G35" s="1040"/>
      <c r="H35" s="1040"/>
      <c r="I35" s="1040"/>
      <c r="J35" s="1040"/>
      <c r="K35" s="1040"/>
      <c r="L35" s="556"/>
    </row>
    <row r="36" spans="1:12" ht="14.25">
      <c r="A36" s="556"/>
      <c r="L36" s="556"/>
    </row>
    <row r="37" spans="1:12" ht="14.25">
      <c r="A37" s="556"/>
      <c r="B37" s="505" t="s">
        <v>682</v>
      </c>
      <c r="L37" s="556"/>
    </row>
    <row r="38" spans="1:12" ht="14.25">
      <c r="A38" s="556"/>
      <c r="L38" s="556"/>
    </row>
    <row r="39" spans="1:12" ht="14.25">
      <c r="A39" s="556"/>
      <c r="B39" s="511" t="s">
        <v>715</v>
      </c>
      <c r="L39" s="556"/>
    </row>
    <row r="40" spans="1:12" ht="14.25">
      <c r="A40" s="556"/>
      <c r="L40" s="556"/>
    </row>
    <row r="41" spans="1:12" ht="14.25">
      <c r="A41" s="556"/>
      <c r="C41" s="1051">
        <v>312000000</v>
      </c>
      <c r="D41" s="1051"/>
      <c r="E41" s="511" t="s">
        <v>676</v>
      </c>
      <c r="F41" s="512">
        <v>1000</v>
      </c>
      <c r="G41" s="512" t="s">
        <v>675</v>
      </c>
      <c r="H41" s="750">
        <f>C41/F41</f>
        <v>312000</v>
      </c>
      <c r="L41" s="556"/>
    </row>
    <row r="42" spans="1:12" ht="14.25">
      <c r="A42" s="556"/>
      <c r="L42" s="556"/>
    </row>
    <row r="43" spans="1:12" ht="14.25">
      <c r="A43" s="556"/>
      <c r="B43" s="511" t="s">
        <v>716</v>
      </c>
      <c r="L43" s="556"/>
    </row>
    <row r="44" spans="1:12" ht="14.25">
      <c r="A44" s="556"/>
      <c r="L44" s="556"/>
    </row>
    <row r="45" spans="1:12" ht="14.25">
      <c r="A45" s="556"/>
      <c r="B45" s="511" t="s">
        <v>683</v>
      </c>
      <c r="L45" s="556"/>
    </row>
    <row r="46" spans="1:12" ht="15" thickBot="1">
      <c r="A46" s="556"/>
      <c r="L46" s="556"/>
    </row>
    <row r="47" spans="1:12" ht="14.25">
      <c r="A47" s="556"/>
      <c r="B47" s="521" t="s">
        <v>671</v>
      </c>
      <c r="C47" s="513"/>
      <c r="D47" s="513"/>
      <c r="E47" s="513"/>
      <c r="F47" s="513"/>
      <c r="G47" s="513"/>
      <c r="H47" s="513"/>
      <c r="I47" s="513"/>
      <c r="J47" s="513"/>
      <c r="K47" s="514"/>
      <c r="L47" s="556"/>
    </row>
    <row r="48" spans="1:12" ht="14.25">
      <c r="A48" s="556"/>
      <c r="B48" s="1052">
        <v>312000000</v>
      </c>
      <c r="C48" s="1036"/>
      <c r="D48" s="516" t="s">
        <v>684</v>
      </c>
      <c r="E48" s="516" t="s">
        <v>676</v>
      </c>
      <c r="F48" s="606">
        <v>1000</v>
      </c>
      <c r="G48" s="606" t="s">
        <v>675</v>
      </c>
      <c r="H48" s="749">
        <f>B48/F48</f>
        <v>312000</v>
      </c>
      <c r="I48" s="516" t="s">
        <v>685</v>
      </c>
      <c r="J48" s="516"/>
      <c r="K48" s="517"/>
      <c r="L48" s="556"/>
    </row>
    <row r="49" spans="1:12" ht="14.25">
      <c r="A49" s="556"/>
      <c r="B49" s="522"/>
      <c r="C49" s="516"/>
      <c r="D49" s="516"/>
      <c r="E49" s="516"/>
      <c r="F49" s="516"/>
      <c r="G49" s="516"/>
      <c r="H49" s="516"/>
      <c r="I49" s="516"/>
      <c r="J49" s="516"/>
      <c r="K49" s="517"/>
      <c r="L49" s="556"/>
    </row>
    <row r="50" spans="1:12" ht="14.25">
      <c r="A50" s="556"/>
      <c r="B50" s="523">
        <v>50000</v>
      </c>
      <c r="C50" s="516" t="s">
        <v>686</v>
      </c>
      <c r="D50" s="516"/>
      <c r="E50" s="516" t="s">
        <v>676</v>
      </c>
      <c r="F50" s="749">
        <f>H48</f>
        <v>312000</v>
      </c>
      <c r="G50" s="1053" t="s">
        <v>687</v>
      </c>
      <c r="H50" s="1054"/>
      <c r="I50" s="606" t="s">
        <v>675</v>
      </c>
      <c r="J50" s="524">
        <f>B50/F50</f>
        <v>0.16025641025641027</v>
      </c>
      <c r="K50" s="517"/>
      <c r="L50" s="556"/>
    </row>
    <row r="51" spans="1:15" ht="15" thickBot="1">
      <c r="A51" s="556"/>
      <c r="B51" s="518"/>
      <c r="C51" s="519"/>
      <c r="D51" s="519"/>
      <c r="E51" s="519"/>
      <c r="F51" s="519"/>
      <c r="G51" s="519"/>
      <c r="H51" s="519"/>
      <c r="I51" s="1055" t="s">
        <v>688</v>
      </c>
      <c r="J51" s="1055"/>
      <c r="K51" s="1056"/>
      <c r="L51" s="556"/>
      <c r="O51" s="581"/>
    </row>
    <row r="52" spans="1:12" ht="40.5" customHeight="1">
      <c r="A52" s="556"/>
      <c r="B52" s="1038" t="s">
        <v>667</v>
      </c>
      <c r="C52" s="1038"/>
      <c r="D52" s="1038"/>
      <c r="E52" s="1038"/>
      <c r="F52" s="1038"/>
      <c r="G52" s="1038"/>
      <c r="H52" s="1038"/>
      <c r="I52" s="1038"/>
      <c r="J52" s="1038"/>
      <c r="K52" s="1038"/>
      <c r="L52" s="556"/>
    </row>
    <row r="53" spans="1:12" ht="14.25">
      <c r="A53" s="556"/>
      <c r="B53" s="1050" t="s">
        <v>689</v>
      </c>
      <c r="C53" s="1050"/>
      <c r="D53" s="1050"/>
      <c r="E53" s="1050"/>
      <c r="F53" s="1050"/>
      <c r="G53" s="1050"/>
      <c r="H53" s="1050"/>
      <c r="I53" s="1050"/>
      <c r="J53" s="1050"/>
      <c r="K53" s="1050"/>
      <c r="L53" s="556"/>
    </row>
    <row r="54" spans="1:12" ht="14.25">
      <c r="A54" s="556"/>
      <c r="B54" s="601"/>
      <c r="C54" s="601"/>
      <c r="D54" s="601"/>
      <c r="E54" s="601"/>
      <c r="F54" s="601"/>
      <c r="G54" s="601"/>
      <c r="H54" s="601"/>
      <c r="I54" s="601"/>
      <c r="J54" s="601"/>
      <c r="K54" s="601"/>
      <c r="L54" s="556"/>
    </row>
    <row r="55" spans="1:12" ht="14.25">
      <c r="A55" s="556"/>
      <c r="B55" s="1041" t="s">
        <v>690</v>
      </c>
      <c r="C55" s="1041"/>
      <c r="D55" s="1041"/>
      <c r="E55" s="1041"/>
      <c r="F55" s="1041"/>
      <c r="G55" s="1041"/>
      <c r="H55" s="1041"/>
      <c r="I55" s="1041"/>
      <c r="J55" s="1041"/>
      <c r="K55" s="1041"/>
      <c r="L55" s="556"/>
    </row>
    <row r="56" spans="1:12" ht="15" customHeight="1">
      <c r="A56" s="556"/>
      <c r="L56" s="556"/>
    </row>
    <row r="57" spans="1:24" ht="74.25" customHeight="1">
      <c r="A57" s="556"/>
      <c r="B57" s="1042" t="s">
        <v>691</v>
      </c>
      <c r="C57" s="1040"/>
      <c r="D57" s="1040"/>
      <c r="E57" s="1040"/>
      <c r="F57" s="1040"/>
      <c r="G57" s="1040"/>
      <c r="H57" s="1040"/>
      <c r="I57" s="1040"/>
      <c r="J57" s="1040"/>
      <c r="K57" s="1040"/>
      <c r="L57" s="556"/>
      <c r="M57" s="507"/>
      <c r="N57" s="525"/>
      <c r="O57" s="525"/>
      <c r="P57" s="525"/>
      <c r="Q57" s="525"/>
      <c r="R57" s="525"/>
      <c r="S57" s="525"/>
      <c r="T57" s="525"/>
      <c r="U57" s="525"/>
      <c r="V57" s="525"/>
      <c r="W57" s="525"/>
      <c r="X57" s="525"/>
    </row>
    <row r="58" spans="1:24" ht="15" customHeight="1">
      <c r="A58" s="556"/>
      <c r="B58" s="1042"/>
      <c r="C58" s="1040"/>
      <c r="D58" s="1040"/>
      <c r="E58" s="1040"/>
      <c r="F58" s="1040"/>
      <c r="G58" s="1040"/>
      <c r="H58" s="1040"/>
      <c r="I58" s="1040"/>
      <c r="J58" s="1040"/>
      <c r="K58" s="1040"/>
      <c r="L58" s="556"/>
      <c r="M58" s="507"/>
      <c r="N58" s="525"/>
      <c r="O58" s="525"/>
      <c r="P58" s="525"/>
      <c r="Q58" s="525"/>
      <c r="R58" s="525"/>
      <c r="S58" s="525"/>
      <c r="T58" s="525"/>
      <c r="U58" s="525"/>
      <c r="V58" s="525"/>
      <c r="W58" s="525"/>
      <c r="X58" s="525"/>
    </row>
    <row r="59" spans="1:24" ht="14.25">
      <c r="A59" s="556"/>
      <c r="B59" s="505" t="s">
        <v>682</v>
      </c>
      <c r="L59" s="556"/>
      <c r="M59" s="525"/>
      <c r="N59" s="525"/>
      <c r="O59" s="525"/>
      <c r="P59" s="525"/>
      <c r="Q59" s="525"/>
      <c r="R59" s="525"/>
      <c r="S59" s="525"/>
      <c r="T59" s="525"/>
      <c r="U59" s="525"/>
      <c r="V59" s="525"/>
      <c r="W59" s="525"/>
      <c r="X59" s="525"/>
    </row>
    <row r="60" spans="1:24" ht="14.25">
      <c r="A60" s="556"/>
      <c r="L60" s="556"/>
      <c r="M60" s="525"/>
      <c r="N60" s="525"/>
      <c r="O60" s="525"/>
      <c r="P60" s="525"/>
      <c r="Q60" s="525"/>
      <c r="R60" s="525"/>
      <c r="S60" s="525"/>
      <c r="T60" s="525"/>
      <c r="U60" s="525"/>
      <c r="V60" s="525"/>
      <c r="W60" s="525"/>
      <c r="X60" s="525"/>
    </row>
    <row r="61" spans="1:24" ht="14.25">
      <c r="A61" s="556"/>
      <c r="B61" s="511" t="s">
        <v>717</v>
      </c>
      <c r="L61" s="556"/>
      <c r="M61" s="525"/>
      <c r="N61" s="525"/>
      <c r="O61" s="525"/>
      <c r="P61" s="525"/>
      <c r="Q61" s="525"/>
      <c r="R61" s="525"/>
      <c r="S61" s="525"/>
      <c r="T61" s="525"/>
      <c r="U61" s="525"/>
      <c r="V61" s="525"/>
      <c r="W61" s="525"/>
      <c r="X61" s="525"/>
    </row>
    <row r="62" spans="1:24" ht="14.25">
      <c r="A62" s="556"/>
      <c r="B62" s="511" t="s">
        <v>785</v>
      </c>
      <c r="L62" s="556"/>
      <c r="M62" s="525"/>
      <c r="N62" s="525"/>
      <c r="O62" s="525"/>
      <c r="P62" s="525"/>
      <c r="Q62" s="525"/>
      <c r="R62" s="525"/>
      <c r="S62" s="525"/>
      <c r="T62" s="525"/>
      <c r="U62" s="525"/>
      <c r="V62" s="525"/>
      <c r="W62" s="525"/>
      <c r="X62" s="525"/>
    </row>
    <row r="63" spans="1:24" ht="14.25">
      <c r="A63" s="556"/>
      <c r="B63" s="511" t="s">
        <v>786</v>
      </c>
      <c r="L63" s="556"/>
      <c r="M63" s="525"/>
      <c r="N63" s="525"/>
      <c r="O63" s="525"/>
      <c r="P63" s="525"/>
      <c r="Q63" s="525"/>
      <c r="R63" s="525"/>
      <c r="S63" s="525"/>
      <c r="T63" s="525"/>
      <c r="U63" s="525"/>
      <c r="V63" s="525"/>
      <c r="W63" s="525"/>
      <c r="X63" s="525"/>
    </row>
    <row r="64" spans="1:24" ht="14.25">
      <c r="A64" s="556"/>
      <c r="L64" s="556"/>
      <c r="M64" s="525"/>
      <c r="N64" s="525"/>
      <c r="O64" s="525"/>
      <c r="P64" s="525"/>
      <c r="Q64" s="525"/>
      <c r="R64" s="525"/>
      <c r="S64" s="525"/>
      <c r="T64" s="525"/>
      <c r="U64" s="525"/>
      <c r="V64" s="525"/>
      <c r="W64" s="525"/>
      <c r="X64" s="525"/>
    </row>
    <row r="65" spans="1:24" ht="14.25">
      <c r="A65" s="556"/>
      <c r="B65" s="511" t="s">
        <v>718</v>
      </c>
      <c r="L65" s="556"/>
      <c r="M65" s="525"/>
      <c r="N65" s="525"/>
      <c r="O65" s="525"/>
      <c r="P65" s="525"/>
      <c r="Q65" s="525"/>
      <c r="R65" s="525"/>
      <c r="S65" s="525"/>
      <c r="T65" s="525"/>
      <c r="U65" s="525"/>
      <c r="V65" s="525"/>
      <c r="W65" s="525"/>
      <c r="X65" s="525"/>
    </row>
    <row r="66" spans="1:24" ht="14.25">
      <c r="A66" s="556"/>
      <c r="B66" s="511" t="s">
        <v>692</v>
      </c>
      <c r="L66" s="556"/>
      <c r="M66" s="525"/>
      <c r="N66" s="525"/>
      <c r="O66" s="525"/>
      <c r="P66" s="525"/>
      <c r="Q66" s="525"/>
      <c r="R66" s="525"/>
      <c r="S66" s="525"/>
      <c r="T66" s="525"/>
      <c r="U66" s="525"/>
      <c r="V66" s="525"/>
      <c r="W66" s="525"/>
      <c r="X66" s="525"/>
    </row>
    <row r="67" spans="1:24" ht="14.25">
      <c r="A67" s="556"/>
      <c r="L67" s="556"/>
      <c r="M67" s="525"/>
      <c r="N67" s="525"/>
      <c r="O67" s="525"/>
      <c r="P67" s="525"/>
      <c r="Q67" s="525"/>
      <c r="R67" s="525"/>
      <c r="S67" s="525"/>
      <c r="T67" s="525"/>
      <c r="U67" s="525"/>
      <c r="V67" s="525"/>
      <c r="W67" s="525"/>
      <c r="X67" s="525"/>
    </row>
    <row r="68" spans="1:24" ht="14.25">
      <c r="A68" s="556"/>
      <c r="B68" s="511" t="s">
        <v>719</v>
      </c>
      <c r="L68" s="556"/>
      <c r="M68" s="508"/>
      <c r="N68" s="526"/>
      <c r="O68" s="526"/>
      <c r="P68" s="526"/>
      <c r="Q68" s="526"/>
      <c r="R68" s="526"/>
      <c r="S68" s="526"/>
      <c r="T68" s="526"/>
      <c r="U68" s="526"/>
      <c r="V68" s="526"/>
      <c r="W68" s="526"/>
      <c r="X68" s="525"/>
    </row>
    <row r="69" spans="1:24" ht="14.25">
      <c r="A69" s="556"/>
      <c r="B69" s="511" t="s">
        <v>787</v>
      </c>
      <c r="L69" s="556"/>
      <c r="M69" s="525"/>
      <c r="N69" s="525"/>
      <c r="O69" s="525"/>
      <c r="P69" s="525"/>
      <c r="Q69" s="525"/>
      <c r="R69" s="525"/>
      <c r="S69" s="525"/>
      <c r="T69" s="525"/>
      <c r="U69" s="525"/>
      <c r="V69" s="525"/>
      <c r="W69" s="525"/>
      <c r="X69" s="525"/>
    </row>
    <row r="70" spans="1:24" ht="14.25">
      <c r="A70" s="556"/>
      <c r="B70" s="511" t="s">
        <v>788</v>
      </c>
      <c r="L70" s="556"/>
      <c r="M70" s="525"/>
      <c r="N70" s="525"/>
      <c r="O70" s="525"/>
      <c r="P70" s="525"/>
      <c r="Q70" s="525"/>
      <c r="R70" s="525"/>
      <c r="S70" s="525"/>
      <c r="T70" s="525"/>
      <c r="U70" s="525"/>
      <c r="V70" s="525"/>
      <c r="W70" s="525"/>
      <c r="X70" s="525"/>
    </row>
    <row r="71" spans="1:12" ht="15" thickBot="1">
      <c r="A71" s="556"/>
      <c r="B71" s="516"/>
      <c r="C71" s="516"/>
      <c r="D71" s="516"/>
      <c r="E71" s="516"/>
      <c r="F71" s="516"/>
      <c r="G71" s="516"/>
      <c r="H71" s="516"/>
      <c r="I71" s="516"/>
      <c r="J71" s="516"/>
      <c r="K71" s="516"/>
      <c r="L71" s="556"/>
    </row>
    <row r="72" spans="1:12" ht="14.25">
      <c r="A72" s="556"/>
      <c r="B72" s="506" t="s">
        <v>671</v>
      </c>
      <c r="C72" s="513"/>
      <c r="D72" s="513"/>
      <c r="E72" s="513"/>
      <c r="F72" s="513"/>
      <c r="G72" s="513"/>
      <c r="H72" s="513"/>
      <c r="I72" s="513"/>
      <c r="J72" s="513"/>
      <c r="K72" s="514"/>
      <c r="L72" s="558"/>
    </row>
    <row r="73" spans="1:12" ht="14.25">
      <c r="A73" s="556"/>
      <c r="B73" s="522"/>
      <c r="C73" s="516" t="s">
        <v>677</v>
      </c>
      <c r="D73" s="516"/>
      <c r="E73" s="516"/>
      <c r="F73" s="516"/>
      <c r="G73" s="516"/>
      <c r="H73" s="516"/>
      <c r="I73" s="516"/>
      <c r="J73" s="516"/>
      <c r="K73" s="517"/>
      <c r="L73" s="558"/>
    </row>
    <row r="74" spans="1:12" ht="14.25">
      <c r="A74" s="556"/>
      <c r="B74" s="522" t="s">
        <v>693</v>
      </c>
      <c r="C74" s="1036">
        <v>312000000</v>
      </c>
      <c r="D74" s="1036"/>
      <c r="E74" s="606" t="s">
        <v>676</v>
      </c>
      <c r="F74" s="606">
        <v>1000</v>
      </c>
      <c r="G74" s="606" t="s">
        <v>675</v>
      </c>
      <c r="H74" s="742">
        <f>C74/F74</f>
        <v>312000</v>
      </c>
      <c r="I74" s="516" t="s">
        <v>694</v>
      </c>
      <c r="J74" s="516"/>
      <c r="K74" s="517"/>
      <c r="L74" s="558"/>
    </row>
    <row r="75" spans="1:12" ht="14.25">
      <c r="A75" s="556"/>
      <c r="B75" s="522"/>
      <c r="C75" s="516"/>
      <c r="D75" s="516"/>
      <c r="E75" s="606"/>
      <c r="F75" s="516"/>
      <c r="G75" s="516"/>
      <c r="H75" s="516"/>
      <c r="I75" s="516"/>
      <c r="J75" s="516"/>
      <c r="K75" s="517"/>
      <c r="L75" s="558"/>
    </row>
    <row r="76" spans="1:12" ht="14.25">
      <c r="A76" s="556"/>
      <c r="B76" s="522"/>
      <c r="C76" s="516" t="s">
        <v>695</v>
      </c>
      <c r="D76" s="516"/>
      <c r="E76" s="606"/>
      <c r="F76" s="516" t="s">
        <v>694</v>
      </c>
      <c r="G76" s="516"/>
      <c r="H76" s="516"/>
      <c r="I76" s="516"/>
      <c r="J76" s="516"/>
      <c r="K76" s="517"/>
      <c r="L76" s="558"/>
    </row>
    <row r="77" spans="1:12" ht="14.25">
      <c r="A77" s="556"/>
      <c r="B77" s="522" t="s">
        <v>698</v>
      </c>
      <c r="C77" s="1036">
        <v>50000</v>
      </c>
      <c r="D77" s="1036"/>
      <c r="E77" s="606" t="s">
        <v>676</v>
      </c>
      <c r="F77" s="742">
        <f>H74</f>
        <v>312000</v>
      </c>
      <c r="G77" s="606" t="s">
        <v>675</v>
      </c>
      <c r="H77" s="524">
        <f>C77/F77</f>
        <v>0.16025641025641027</v>
      </c>
      <c r="I77" s="516" t="s">
        <v>696</v>
      </c>
      <c r="J77" s="516"/>
      <c r="K77" s="517"/>
      <c r="L77" s="558"/>
    </row>
    <row r="78" spans="1:12" ht="14.25">
      <c r="A78" s="556"/>
      <c r="B78" s="522"/>
      <c r="C78" s="516"/>
      <c r="D78" s="516"/>
      <c r="E78" s="606"/>
      <c r="F78" s="516"/>
      <c r="G78" s="516"/>
      <c r="H78" s="516"/>
      <c r="I78" s="516"/>
      <c r="J78" s="516"/>
      <c r="K78" s="517"/>
      <c r="L78" s="558"/>
    </row>
    <row r="79" spans="1:12" ht="14.25">
      <c r="A79" s="556"/>
      <c r="B79" s="527"/>
      <c r="C79" s="528" t="s">
        <v>697</v>
      </c>
      <c r="D79" s="528"/>
      <c r="E79" s="599"/>
      <c r="F79" s="528"/>
      <c r="G79" s="528"/>
      <c r="H79" s="528"/>
      <c r="I79" s="528"/>
      <c r="J79" s="528"/>
      <c r="K79" s="529"/>
      <c r="L79" s="558"/>
    </row>
    <row r="80" spans="1:12" ht="14.25">
      <c r="A80" s="556"/>
      <c r="B80" s="522" t="s">
        <v>753</v>
      </c>
      <c r="C80" s="1036">
        <v>100000</v>
      </c>
      <c r="D80" s="1036"/>
      <c r="E80" s="606" t="s">
        <v>137</v>
      </c>
      <c r="F80" s="606">
        <v>0.115</v>
      </c>
      <c r="G80" s="606" t="s">
        <v>675</v>
      </c>
      <c r="H80" s="604">
        <f>C80*F80</f>
        <v>11500</v>
      </c>
      <c r="I80" s="516" t="s">
        <v>699</v>
      </c>
      <c r="J80" s="516"/>
      <c r="K80" s="517"/>
      <c r="L80" s="558"/>
    </row>
    <row r="81" spans="1:12" ht="14.25">
      <c r="A81" s="556"/>
      <c r="B81" s="522"/>
      <c r="C81" s="516"/>
      <c r="D81" s="516"/>
      <c r="E81" s="606"/>
      <c r="F81" s="516"/>
      <c r="G81" s="516"/>
      <c r="H81" s="516"/>
      <c r="I81" s="516"/>
      <c r="J81" s="516"/>
      <c r="K81" s="517"/>
      <c r="L81" s="558"/>
    </row>
    <row r="82" spans="1:12" ht="14.25">
      <c r="A82" s="556"/>
      <c r="B82" s="527"/>
      <c r="C82" s="528" t="s">
        <v>700</v>
      </c>
      <c r="D82" s="528"/>
      <c r="E82" s="599"/>
      <c r="F82" s="528" t="s">
        <v>696</v>
      </c>
      <c r="G82" s="528"/>
      <c r="H82" s="528"/>
      <c r="I82" s="528"/>
      <c r="J82" s="528" t="s">
        <v>701</v>
      </c>
      <c r="K82" s="529"/>
      <c r="L82" s="558"/>
    </row>
    <row r="83" spans="1:12" ht="14.25">
      <c r="A83" s="556"/>
      <c r="B83" s="522" t="s">
        <v>754</v>
      </c>
      <c r="C83" s="1034">
        <f>H80</f>
        <v>11500</v>
      </c>
      <c r="D83" s="1034"/>
      <c r="E83" s="606" t="s">
        <v>137</v>
      </c>
      <c r="F83" s="524">
        <f>H77</f>
        <v>0.16025641025641027</v>
      </c>
      <c r="G83" s="606" t="s">
        <v>676</v>
      </c>
      <c r="H83" s="606">
        <v>1000</v>
      </c>
      <c r="I83" s="606" t="s">
        <v>675</v>
      </c>
      <c r="J83" s="605">
        <f>C83*F83/H83</f>
        <v>1.842948717948718</v>
      </c>
      <c r="K83" s="517"/>
      <c r="L83" s="558"/>
    </row>
    <row r="84" spans="1:12" ht="15" thickBot="1">
      <c r="A84" s="556"/>
      <c r="B84" s="518"/>
      <c r="C84" s="530"/>
      <c r="D84" s="530"/>
      <c r="E84" s="531"/>
      <c r="F84" s="532"/>
      <c r="G84" s="531"/>
      <c r="H84" s="531"/>
      <c r="I84" s="531"/>
      <c r="J84" s="533"/>
      <c r="K84" s="520"/>
      <c r="L84" s="558"/>
    </row>
    <row r="85" spans="1:12" ht="40.5" customHeight="1">
      <c r="A85" s="556"/>
      <c r="B85" s="1038" t="s">
        <v>667</v>
      </c>
      <c r="C85" s="1038"/>
      <c r="D85" s="1038"/>
      <c r="E85" s="1038"/>
      <c r="F85" s="1038"/>
      <c r="G85" s="1038"/>
      <c r="H85" s="1038"/>
      <c r="I85" s="1038"/>
      <c r="J85" s="1038"/>
      <c r="K85" s="1038"/>
      <c r="L85" s="556"/>
    </row>
    <row r="86" spans="1:12" ht="14.25">
      <c r="A86" s="556"/>
      <c r="B86" s="1041" t="s">
        <v>702</v>
      </c>
      <c r="C86" s="1041"/>
      <c r="D86" s="1041"/>
      <c r="E86" s="1041"/>
      <c r="F86" s="1041"/>
      <c r="G86" s="1041"/>
      <c r="H86" s="1041"/>
      <c r="I86" s="1041"/>
      <c r="J86" s="1041"/>
      <c r="K86" s="1041"/>
      <c r="L86" s="556"/>
    </row>
    <row r="87" spans="1:12" ht="14.25">
      <c r="A87" s="556"/>
      <c r="B87" s="534"/>
      <c r="C87" s="534"/>
      <c r="D87" s="534"/>
      <c r="E87" s="534"/>
      <c r="F87" s="534"/>
      <c r="G87" s="534"/>
      <c r="H87" s="534"/>
      <c r="I87" s="534"/>
      <c r="J87" s="534"/>
      <c r="K87" s="534"/>
      <c r="L87" s="556"/>
    </row>
    <row r="88" spans="1:12" ht="14.25">
      <c r="A88" s="556"/>
      <c r="B88" s="1041" t="s">
        <v>703</v>
      </c>
      <c r="C88" s="1041"/>
      <c r="D88" s="1041"/>
      <c r="E88" s="1041"/>
      <c r="F88" s="1041"/>
      <c r="G88" s="1041"/>
      <c r="H88" s="1041"/>
      <c r="I88" s="1041"/>
      <c r="J88" s="1041"/>
      <c r="K88" s="1041"/>
      <c r="L88" s="556"/>
    </row>
    <row r="89" spans="1:12" ht="14.25">
      <c r="A89" s="556"/>
      <c r="B89" s="598"/>
      <c r="C89" s="598"/>
      <c r="D89" s="598"/>
      <c r="E89" s="598"/>
      <c r="F89" s="598"/>
      <c r="G89" s="598"/>
      <c r="H89" s="598"/>
      <c r="I89" s="598"/>
      <c r="J89" s="598"/>
      <c r="K89" s="598"/>
      <c r="L89" s="556"/>
    </row>
    <row r="90" spans="1:12" ht="45" customHeight="1">
      <c r="A90" s="556"/>
      <c r="B90" s="1042" t="s">
        <v>704</v>
      </c>
      <c r="C90" s="1042"/>
      <c r="D90" s="1042"/>
      <c r="E90" s="1042"/>
      <c r="F90" s="1042"/>
      <c r="G90" s="1042"/>
      <c r="H90" s="1042"/>
      <c r="I90" s="1042"/>
      <c r="J90" s="1042"/>
      <c r="K90" s="1042"/>
      <c r="L90" s="556"/>
    </row>
    <row r="91" spans="1:12" ht="15" customHeight="1" thickBot="1">
      <c r="A91" s="556"/>
      <c r="L91" s="556"/>
    </row>
    <row r="92" spans="1:12" ht="15" customHeight="1">
      <c r="A92" s="556"/>
      <c r="B92" s="509" t="s">
        <v>671</v>
      </c>
      <c r="C92" s="535"/>
      <c r="D92" s="535"/>
      <c r="E92" s="535"/>
      <c r="F92" s="535"/>
      <c r="G92" s="535"/>
      <c r="H92" s="535"/>
      <c r="I92" s="535"/>
      <c r="J92" s="535"/>
      <c r="K92" s="536"/>
      <c r="L92" s="556"/>
    </row>
    <row r="93" spans="1:12" ht="15" customHeight="1">
      <c r="A93" s="556"/>
      <c r="B93" s="537"/>
      <c r="C93" s="602" t="s">
        <v>677</v>
      </c>
      <c r="D93" s="602"/>
      <c r="E93" s="602"/>
      <c r="F93" s="602"/>
      <c r="G93" s="602"/>
      <c r="H93" s="602"/>
      <c r="I93" s="602"/>
      <c r="J93" s="602"/>
      <c r="K93" s="538"/>
      <c r="L93" s="556"/>
    </row>
    <row r="94" spans="1:12" ht="15" customHeight="1">
      <c r="A94" s="556"/>
      <c r="B94" s="537" t="s">
        <v>693</v>
      </c>
      <c r="C94" s="1036">
        <v>312000000</v>
      </c>
      <c r="D94" s="1036"/>
      <c r="E94" s="606" t="s">
        <v>676</v>
      </c>
      <c r="F94" s="606">
        <v>1000</v>
      </c>
      <c r="G94" s="606" t="s">
        <v>675</v>
      </c>
      <c r="H94" s="742">
        <f>C94/F94</f>
        <v>312000</v>
      </c>
      <c r="I94" s="602" t="s">
        <v>694</v>
      </c>
      <c r="J94" s="602"/>
      <c r="K94" s="538"/>
      <c r="L94" s="556"/>
    </row>
    <row r="95" spans="1:12" ht="15" customHeight="1">
      <c r="A95" s="556"/>
      <c r="B95" s="537"/>
      <c r="C95" s="602"/>
      <c r="D95" s="602"/>
      <c r="E95" s="606"/>
      <c r="F95" s="602"/>
      <c r="G95" s="602"/>
      <c r="H95" s="602"/>
      <c r="I95" s="602"/>
      <c r="J95" s="602"/>
      <c r="K95" s="538"/>
      <c r="L95" s="556"/>
    </row>
    <row r="96" spans="1:12" ht="15" customHeight="1">
      <c r="A96" s="556"/>
      <c r="B96" s="537"/>
      <c r="C96" s="602" t="s">
        <v>695</v>
      </c>
      <c r="D96" s="602"/>
      <c r="E96" s="606"/>
      <c r="F96" s="602" t="s">
        <v>694</v>
      </c>
      <c r="G96" s="602"/>
      <c r="H96" s="602"/>
      <c r="I96" s="602"/>
      <c r="J96" s="602"/>
      <c r="K96" s="538"/>
      <c r="L96" s="556"/>
    </row>
    <row r="97" spans="1:12" ht="15" customHeight="1">
      <c r="A97" s="556"/>
      <c r="B97" s="537" t="s">
        <v>698</v>
      </c>
      <c r="C97" s="1036">
        <v>50000</v>
      </c>
      <c r="D97" s="1036"/>
      <c r="E97" s="606" t="s">
        <v>676</v>
      </c>
      <c r="F97" s="742">
        <f>H94</f>
        <v>312000</v>
      </c>
      <c r="G97" s="606" t="s">
        <v>675</v>
      </c>
      <c r="H97" s="524">
        <f>C97/F97</f>
        <v>0.16025641025641027</v>
      </c>
      <c r="I97" s="602" t="s">
        <v>696</v>
      </c>
      <c r="J97" s="602"/>
      <c r="K97" s="538"/>
      <c r="L97" s="556"/>
    </row>
    <row r="98" spans="1:12" ht="15" customHeight="1">
      <c r="A98" s="556"/>
      <c r="B98" s="537"/>
      <c r="C98" s="602"/>
      <c r="D98" s="602"/>
      <c r="E98" s="606"/>
      <c r="F98" s="602"/>
      <c r="G98" s="602"/>
      <c r="H98" s="602"/>
      <c r="I98" s="602"/>
      <c r="J98" s="602"/>
      <c r="K98" s="538"/>
      <c r="L98" s="556"/>
    </row>
    <row r="99" spans="1:12" ht="15" customHeight="1">
      <c r="A99" s="556"/>
      <c r="B99" s="539"/>
      <c r="C99" s="540" t="s">
        <v>705</v>
      </c>
      <c r="D99" s="540"/>
      <c r="E99" s="599"/>
      <c r="F99" s="540"/>
      <c r="G99" s="540"/>
      <c r="H99" s="540"/>
      <c r="I99" s="540"/>
      <c r="J99" s="540"/>
      <c r="K99" s="541"/>
      <c r="L99" s="556"/>
    </row>
    <row r="100" spans="1:12" ht="15" customHeight="1">
      <c r="A100" s="556"/>
      <c r="B100" s="537" t="s">
        <v>753</v>
      </c>
      <c r="C100" s="1036">
        <v>2500000</v>
      </c>
      <c r="D100" s="1036"/>
      <c r="E100" s="606" t="s">
        <v>137</v>
      </c>
      <c r="F100" s="542">
        <v>0.3</v>
      </c>
      <c r="G100" s="606" t="s">
        <v>675</v>
      </c>
      <c r="H100" s="604">
        <f>C100*F100</f>
        <v>750000</v>
      </c>
      <c r="I100" s="602" t="s">
        <v>699</v>
      </c>
      <c r="J100" s="602"/>
      <c r="K100" s="538"/>
      <c r="L100" s="556"/>
    </row>
    <row r="101" spans="1:12" ht="15" customHeight="1">
      <c r="A101" s="556"/>
      <c r="B101" s="537"/>
      <c r="C101" s="602"/>
      <c r="D101" s="602"/>
      <c r="E101" s="606"/>
      <c r="F101" s="602"/>
      <c r="G101" s="602"/>
      <c r="H101" s="602"/>
      <c r="I101" s="602"/>
      <c r="J101" s="602"/>
      <c r="K101" s="538"/>
      <c r="L101" s="556"/>
    </row>
    <row r="102" spans="1:12" ht="15" customHeight="1">
      <c r="A102" s="556"/>
      <c r="B102" s="539"/>
      <c r="C102" s="540" t="s">
        <v>700</v>
      </c>
      <c r="D102" s="540"/>
      <c r="E102" s="599"/>
      <c r="F102" s="540" t="s">
        <v>696</v>
      </c>
      <c r="G102" s="540"/>
      <c r="H102" s="540"/>
      <c r="I102" s="540"/>
      <c r="J102" s="540" t="s">
        <v>701</v>
      </c>
      <c r="K102" s="541"/>
      <c r="L102" s="556"/>
    </row>
    <row r="103" spans="1:12" ht="15" customHeight="1">
      <c r="A103" s="556"/>
      <c r="B103" s="537" t="s">
        <v>754</v>
      </c>
      <c r="C103" s="1034">
        <f>H100</f>
        <v>750000</v>
      </c>
      <c r="D103" s="1034"/>
      <c r="E103" s="606" t="s">
        <v>137</v>
      </c>
      <c r="F103" s="524">
        <f>H97</f>
        <v>0.16025641025641027</v>
      </c>
      <c r="G103" s="606" t="s">
        <v>676</v>
      </c>
      <c r="H103" s="606">
        <v>1000</v>
      </c>
      <c r="I103" s="606" t="s">
        <v>675</v>
      </c>
      <c r="J103" s="605">
        <f>C103*F103/H103</f>
        <v>120.19230769230771</v>
      </c>
      <c r="K103" s="538"/>
      <c r="L103" s="556"/>
    </row>
    <row r="104" spans="1:12" ht="15" customHeight="1" thickBot="1">
      <c r="A104" s="556"/>
      <c r="B104" s="543"/>
      <c r="C104" s="530"/>
      <c r="D104" s="530"/>
      <c r="E104" s="531"/>
      <c r="F104" s="532"/>
      <c r="G104" s="531"/>
      <c r="H104" s="531"/>
      <c r="I104" s="531"/>
      <c r="J104" s="533"/>
      <c r="K104" s="603"/>
      <c r="L104" s="556"/>
    </row>
    <row r="105" spans="1:12" ht="40.5" customHeight="1">
      <c r="A105" s="556"/>
      <c r="B105" s="1038" t="s">
        <v>667</v>
      </c>
      <c r="C105" s="1044"/>
      <c r="D105" s="1044"/>
      <c r="E105" s="1044"/>
      <c r="F105" s="1044"/>
      <c r="G105" s="1044"/>
      <c r="H105" s="1044"/>
      <c r="I105" s="1044"/>
      <c r="J105" s="1044"/>
      <c r="K105" s="1044"/>
      <c r="L105" s="556"/>
    </row>
    <row r="106" spans="1:12" ht="15" customHeight="1">
      <c r="A106" s="556"/>
      <c r="B106" s="1048" t="s">
        <v>706</v>
      </c>
      <c r="C106" s="1049"/>
      <c r="D106" s="1049"/>
      <c r="E106" s="1049"/>
      <c r="F106" s="1049"/>
      <c r="G106" s="1049"/>
      <c r="H106" s="1049"/>
      <c r="I106" s="1049"/>
      <c r="J106" s="1049"/>
      <c r="K106" s="1049"/>
      <c r="L106" s="556"/>
    </row>
    <row r="107" spans="1:12" ht="15" customHeight="1">
      <c r="A107" s="556"/>
      <c r="B107" s="602"/>
      <c r="C107" s="544"/>
      <c r="D107" s="544"/>
      <c r="E107" s="606"/>
      <c r="F107" s="524"/>
      <c r="G107" s="606"/>
      <c r="H107" s="606"/>
      <c r="I107" s="606"/>
      <c r="J107" s="605"/>
      <c r="K107" s="602"/>
      <c r="L107" s="556"/>
    </row>
    <row r="108" spans="1:12" ht="15" customHeight="1">
      <c r="A108" s="556"/>
      <c r="B108" s="1048" t="s">
        <v>707</v>
      </c>
      <c r="C108" s="1061"/>
      <c r="D108" s="1061"/>
      <c r="E108" s="1061"/>
      <c r="F108" s="1061"/>
      <c r="G108" s="1061"/>
      <c r="H108" s="1061"/>
      <c r="I108" s="1061"/>
      <c r="J108" s="1061"/>
      <c r="K108" s="1061"/>
      <c r="L108" s="556"/>
    </row>
    <row r="109" spans="1:12" ht="15" customHeight="1">
      <c r="A109" s="556"/>
      <c r="B109" s="602"/>
      <c r="C109" s="544"/>
      <c r="D109" s="544"/>
      <c r="E109" s="606"/>
      <c r="F109" s="524"/>
      <c r="G109" s="606"/>
      <c r="H109" s="606"/>
      <c r="I109" s="606"/>
      <c r="J109" s="605"/>
      <c r="K109" s="602"/>
      <c r="L109" s="556"/>
    </row>
    <row r="110" spans="1:12" ht="59.25" customHeight="1">
      <c r="A110" s="556"/>
      <c r="B110" s="1039" t="s">
        <v>708</v>
      </c>
      <c r="C110" s="1040"/>
      <c r="D110" s="1040"/>
      <c r="E110" s="1040"/>
      <c r="F110" s="1040"/>
      <c r="G110" s="1040"/>
      <c r="H110" s="1040"/>
      <c r="I110" s="1040"/>
      <c r="J110" s="1040"/>
      <c r="K110" s="1040"/>
      <c r="L110" s="556"/>
    </row>
    <row r="111" spans="1:12" ht="15" thickBot="1">
      <c r="A111" s="556"/>
      <c r="B111" s="601"/>
      <c r="C111" s="601"/>
      <c r="D111" s="601"/>
      <c r="E111" s="601"/>
      <c r="F111" s="601"/>
      <c r="G111" s="601"/>
      <c r="H111" s="601"/>
      <c r="I111" s="601"/>
      <c r="J111" s="601"/>
      <c r="K111" s="601"/>
      <c r="L111" s="559"/>
    </row>
    <row r="112" spans="1:12" ht="14.25">
      <c r="A112" s="556"/>
      <c r="B112" s="506" t="s">
        <v>671</v>
      </c>
      <c r="C112" s="513"/>
      <c r="D112" s="513"/>
      <c r="E112" s="513"/>
      <c r="F112" s="513"/>
      <c r="G112" s="513"/>
      <c r="H112" s="513"/>
      <c r="I112" s="513"/>
      <c r="J112" s="513"/>
      <c r="K112" s="514"/>
      <c r="L112" s="556"/>
    </row>
    <row r="113" spans="1:12" ht="14.25">
      <c r="A113" s="556"/>
      <c r="B113" s="522"/>
      <c r="C113" s="516" t="s">
        <v>677</v>
      </c>
      <c r="D113" s="516"/>
      <c r="E113" s="516"/>
      <c r="F113" s="516"/>
      <c r="G113" s="516"/>
      <c r="H113" s="516"/>
      <c r="I113" s="516"/>
      <c r="J113" s="516"/>
      <c r="K113" s="517"/>
      <c r="L113" s="556"/>
    </row>
    <row r="114" spans="1:12" ht="14.25">
      <c r="A114" s="556"/>
      <c r="B114" s="522" t="s">
        <v>693</v>
      </c>
      <c r="C114" s="1036">
        <v>312000000</v>
      </c>
      <c r="D114" s="1036"/>
      <c r="E114" s="606" t="s">
        <v>676</v>
      </c>
      <c r="F114" s="606">
        <v>1000</v>
      </c>
      <c r="G114" s="606" t="s">
        <v>675</v>
      </c>
      <c r="H114" s="742">
        <f>C114/F114</f>
        <v>312000</v>
      </c>
      <c r="I114" s="516" t="s">
        <v>694</v>
      </c>
      <c r="J114" s="516"/>
      <c r="K114" s="517"/>
      <c r="L114" s="556"/>
    </row>
    <row r="115" spans="1:12" ht="14.25">
      <c r="A115" s="556"/>
      <c r="B115" s="522"/>
      <c r="C115" s="516"/>
      <c r="D115" s="516"/>
      <c r="E115" s="606"/>
      <c r="F115" s="516"/>
      <c r="G115" s="516"/>
      <c r="H115" s="516"/>
      <c r="I115" s="516"/>
      <c r="J115" s="516"/>
      <c r="K115" s="517"/>
      <c r="L115" s="556"/>
    </row>
    <row r="116" spans="1:12" ht="14.25">
      <c r="A116" s="556"/>
      <c r="B116" s="522"/>
      <c r="C116" s="516" t="s">
        <v>695</v>
      </c>
      <c r="D116" s="516"/>
      <c r="E116" s="606"/>
      <c r="F116" s="516" t="s">
        <v>694</v>
      </c>
      <c r="G116" s="516"/>
      <c r="H116" s="516"/>
      <c r="I116" s="516"/>
      <c r="J116" s="516"/>
      <c r="K116" s="517"/>
      <c r="L116" s="556"/>
    </row>
    <row r="117" spans="1:12" ht="14.25">
      <c r="A117" s="556"/>
      <c r="B117" s="522" t="s">
        <v>698</v>
      </c>
      <c r="C117" s="1036">
        <v>50000</v>
      </c>
      <c r="D117" s="1036"/>
      <c r="E117" s="606" t="s">
        <v>676</v>
      </c>
      <c r="F117" s="742">
        <f>H114</f>
        <v>312000</v>
      </c>
      <c r="G117" s="606" t="s">
        <v>675</v>
      </c>
      <c r="H117" s="524">
        <f>C117/F117</f>
        <v>0.16025641025641027</v>
      </c>
      <c r="I117" s="516" t="s">
        <v>696</v>
      </c>
      <c r="J117" s="516"/>
      <c r="K117" s="517"/>
      <c r="L117" s="556"/>
    </row>
    <row r="118" spans="1:12" ht="14.25">
      <c r="A118" s="556"/>
      <c r="B118" s="522"/>
      <c r="C118" s="516"/>
      <c r="D118" s="516"/>
      <c r="E118" s="606"/>
      <c r="F118" s="516"/>
      <c r="G118" s="516"/>
      <c r="H118" s="516"/>
      <c r="I118" s="516"/>
      <c r="J118" s="516"/>
      <c r="K118" s="517"/>
      <c r="L118" s="556"/>
    </row>
    <row r="119" spans="1:12" ht="14.25">
      <c r="A119" s="556"/>
      <c r="B119" s="527"/>
      <c r="C119" s="528" t="s">
        <v>705</v>
      </c>
      <c r="D119" s="528"/>
      <c r="E119" s="599"/>
      <c r="F119" s="528"/>
      <c r="G119" s="528"/>
      <c r="H119" s="528"/>
      <c r="I119" s="528"/>
      <c r="J119" s="528"/>
      <c r="K119" s="529"/>
      <c r="L119" s="556"/>
    </row>
    <row r="120" spans="1:12" ht="14.25">
      <c r="A120" s="556"/>
      <c r="B120" s="522" t="s">
        <v>753</v>
      </c>
      <c r="C120" s="1036">
        <v>2500000</v>
      </c>
      <c r="D120" s="1036"/>
      <c r="E120" s="606" t="s">
        <v>137</v>
      </c>
      <c r="F120" s="542">
        <v>0.25</v>
      </c>
      <c r="G120" s="606" t="s">
        <v>675</v>
      </c>
      <c r="H120" s="604">
        <f>C120*F120</f>
        <v>625000</v>
      </c>
      <c r="I120" s="516" t="s">
        <v>699</v>
      </c>
      <c r="J120" s="516"/>
      <c r="K120" s="517"/>
      <c r="L120" s="556"/>
    </row>
    <row r="121" spans="1:12" ht="14.25">
      <c r="A121" s="556"/>
      <c r="B121" s="522"/>
      <c r="C121" s="516"/>
      <c r="D121" s="516"/>
      <c r="E121" s="606"/>
      <c r="F121" s="516"/>
      <c r="G121" s="516"/>
      <c r="H121" s="516"/>
      <c r="I121" s="516"/>
      <c r="J121" s="516"/>
      <c r="K121" s="517"/>
      <c r="L121" s="556"/>
    </row>
    <row r="122" spans="1:12" ht="14.25">
      <c r="A122" s="556"/>
      <c r="B122" s="527"/>
      <c r="C122" s="528" t="s">
        <v>700</v>
      </c>
      <c r="D122" s="528"/>
      <c r="E122" s="599"/>
      <c r="F122" s="528" t="s">
        <v>696</v>
      </c>
      <c r="G122" s="528"/>
      <c r="H122" s="528"/>
      <c r="I122" s="528"/>
      <c r="J122" s="528" t="s">
        <v>701</v>
      </c>
      <c r="K122" s="529"/>
      <c r="L122" s="556"/>
    </row>
    <row r="123" spans="1:12" ht="14.25">
      <c r="A123" s="556"/>
      <c r="B123" s="522" t="s">
        <v>754</v>
      </c>
      <c r="C123" s="1034">
        <f>H120</f>
        <v>625000</v>
      </c>
      <c r="D123" s="1034"/>
      <c r="E123" s="606" t="s">
        <v>137</v>
      </c>
      <c r="F123" s="524">
        <f>H117</f>
        <v>0.16025641025641027</v>
      </c>
      <c r="G123" s="606" t="s">
        <v>676</v>
      </c>
      <c r="H123" s="606">
        <v>1000</v>
      </c>
      <c r="I123" s="606" t="s">
        <v>675</v>
      </c>
      <c r="J123" s="605">
        <f>C123*F123/H123</f>
        <v>100.16025641025642</v>
      </c>
      <c r="K123" s="517"/>
      <c r="L123" s="556"/>
    </row>
    <row r="124" spans="1:12" ht="15" thickBot="1">
      <c r="A124" s="556"/>
      <c r="B124" s="518"/>
      <c r="C124" s="530"/>
      <c r="D124" s="530"/>
      <c r="E124" s="531"/>
      <c r="F124" s="532"/>
      <c r="G124" s="531"/>
      <c r="H124" s="531"/>
      <c r="I124" s="531"/>
      <c r="J124" s="533"/>
      <c r="K124" s="520"/>
      <c r="L124" s="556"/>
    </row>
    <row r="125" spans="1:12" ht="40.5" customHeight="1">
      <c r="A125" s="556"/>
      <c r="B125" s="1038" t="s">
        <v>667</v>
      </c>
      <c r="C125" s="1038"/>
      <c r="D125" s="1038"/>
      <c r="E125" s="1038"/>
      <c r="F125" s="1038"/>
      <c r="G125" s="1038"/>
      <c r="H125" s="1038"/>
      <c r="I125" s="1038"/>
      <c r="J125" s="1038"/>
      <c r="K125" s="1038"/>
      <c r="L125" s="559"/>
    </row>
    <row r="126" spans="1:12" ht="14.25">
      <c r="A126" s="556"/>
      <c r="B126" s="1041" t="s">
        <v>709</v>
      </c>
      <c r="C126" s="1041"/>
      <c r="D126" s="1041"/>
      <c r="E126" s="1041"/>
      <c r="F126" s="1041"/>
      <c r="G126" s="1041"/>
      <c r="H126" s="1041"/>
      <c r="I126" s="1041"/>
      <c r="J126" s="1041"/>
      <c r="K126" s="1041"/>
      <c r="L126" s="559"/>
    </row>
    <row r="127" spans="1:12" ht="14.25">
      <c r="A127" s="556"/>
      <c r="B127" s="601"/>
      <c r="C127" s="601"/>
      <c r="D127" s="601"/>
      <c r="E127" s="601"/>
      <c r="F127" s="601"/>
      <c r="G127" s="601"/>
      <c r="H127" s="601"/>
      <c r="I127" s="601"/>
      <c r="J127" s="601"/>
      <c r="K127" s="601"/>
      <c r="L127" s="559"/>
    </row>
    <row r="128" spans="1:12" ht="14.25">
      <c r="A128" s="556"/>
      <c r="B128" s="1041" t="s">
        <v>710</v>
      </c>
      <c r="C128" s="1041"/>
      <c r="D128" s="1041"/>
      <c r="E128" s="1041"/>
      <c r="F128" s="1041"/>
      <c r="G128" s="1041"/>
      <c r="H128" s="1041"/>
      <c r="I128" s="1041"/>
      <c r="J128" s="1041"/>
      <c r="K128" s="1041"/>
      <c r="L128" s="559"/>
    </row>
    <row r="129" spans="1:12" ht="14.25">
      <c r="A129" s="556"/>
      <c r="B129" s="598"/>
      <c r="C129" s="598"/>
      <c r="D129" s="598"/>
      <c r="E129" s="598"/>
      <c r="F129" s="598"/>
      <c r="G129" s="598"/>
      <c r="H129" s="598"/>
      <c r="I129" s="598"/>
      <c r="J129" s="598"/>
      <c r="K129" s="598"/>
      <c r="L129" s="559"/>
    </row>
    <row r="130" spans="1:12" ht="74.25" customHeight="1">
      <c r="A130" s="556"/>
      <c r="B130" s="1042" t="s">
        <v>755</v>
      </c>
      <c r="C130" s="1042"/>
      <c r="D130" s="1042"/>
      <c r="E130" s="1042"/>
      <c r="F130" s="1042"/>
      <c r="G130" s="1042"/>
      <c r="H130" s="1042"/>
      <c r="I130" s="1042"/>
      <c r="J130" s="1042"/>
      <c r="K130" s="1042"/>
      <c r="L130" s="559"/>
    </row>
    <row r="131" spans="1:12" ht="15" thickBot="1">
      <c r="A131" s="556"/>
      <c r="L131" s="556"/>
    </row>
    <row r="132" spans="1:12" ht="14.25">
      <c r="A132" s="556"/>
      <c r="B132" s="506" t="s">
        <v>671</v>
      </c>
      <c r="C132" s="513"/>
      <c r="D132" s="513"/>
      <c r="E132" s="513"/>
      <c r="F132" s="513"/>
      <c r="G132" s="513"/>
      <c r="H132" s="513"/>
      <c r="I132" s="513"/>
      <c r="J132" s="513"/>
      <c r="K132" s="514"/>
      <c r="L132" s="556"/>
    </row>
    <row r="133" spans="1:12" ht="14.25">
      <c r="A133" s="556"/>
      <c r="B133" s="522"/>
      <c r="C133" s="1035" t="s">
        <v>711</v>
      </c>
      <c r="D133" s="1035"/>
      <c r="E133" s="516"/>
      <c r="F133" s="606" t="s">
        <v>712</v>
      </c>
      <c r="G133" s="516"/>
      <c r="H133" s="1035" t="s">
        <v>699</v>
      </c>
      <c r="I133" s="1035"/>
      <c r="J133" s="516"/>
      <c r="K133" s="517"/>
      <c r="L133" s="556"/>
    </row>
    <row r="134" spans="1:12" ht="14.25">
      <c r="A134" s="556"/>
      <c r="B134" s="522" t="s">
        <v>693</v>
      </c>
      <c r="C134" s="1036">
        <v>100000</v>
      </c>
      <c r="D134" s="1036"/>
      <c r="E134" s="606" t="s">
        <v>137</v>
      </c>
      <c r="F134" s="606">
        <v>0.115</v>
      </c>
      <c r="G134" s="606" t="s">
        <v>675</v>
      </c>
      <c r="H134" s="1037">
        <f>C134*F134</f>
        <v>11500</v>
      </c>
      <c r="I134" s="1037"/>
      <c r="J134" s="516"/>
      <c r="K134" s="517"/>
      <c r="L134" s="556"/>
    </row>
    <row r="135" spans="1:12" ht="14.25">
      <c r="A135" s="556"/>
      <c r="B135" s="522"/>
      <c r="C135" s="516"/>
      <c r="D135" s="516"/>
      <c r="E135" s="516"/>
      <c r="F135" s="516"/>
      <c r="G135" s="516"/>
      <c r="H135" s="516"/>
      <c r="I135" s="516"/>
      <c r="J135" s="516"/>
      <c r="K135" s="517"/>
      <c r="L135" s="556"/>
    </row>
    <row r="136" spans="1:12" ht="14.25">
      <c r="A136" s="556"/>
      <c r="B136" s="527"/>
      <c r="C136" s="1060" t="s">
        <v>699</v>
      </c>
      <c r="D136" s="1060"/>
      <c r="E136" s="528"/>
      <c r="F136" s="599" t="s">
        <v>713</v>
      </c>
      <c r="G136" s="599"/>
      <c r="H136" s="528"/>
      <c r="I136" s="528"/>
      <c r="J136" s="528" t="s">
        <v>714</v>
      </c>
      <c r="K136" s="529"/>
      <c r="L136" s="556"/>
    </row>
    <row r="137" spans="1:12" ht="14.25">
      <c r="A137" s="556"/>
      <c r="B137" s="522" t="s">
        <v>698</v>
      </c>
      <c r="C137" s="1037">
        <f>H134</f>
        <v>11500</v>
      </c>
      <c r="D137" s="1037"/>
      <c r="E137" s="606" t="s">
        <v>137</v>
      </c>
      <c r="F137" s="545">
        <v>52.869</v>
      </c>
      <c r="G137" s="606" t="s">
        <v>676</v>
      </c>
      <c r="H137" s="606">
        <v>1000</v>
      </c>
      <c r="I137" s="606" t="s">
        <v>675</v>
      </c>
      <c r="J137" s="546">
        <f>C137*F137/H137</f>
        <v>607.9935</v>
      </c>
      <c r="K137" s="517"/>
      <c r="L137" s="556"/>
    </row>
    <row r="138" spans="1:12" ht="15" thickBot="1">
      <c r="A138" s="556"/>
      <c r="B138" s="518"/>
      <c r="C138" s="582"/>
      <c r="D138" s="582"/>
      <c r="E138" s="531"/>
      <c r="F138" s="583"/>
      <c r="G138" s="531"/>
      <c r="H138" s="531"/>
      <c r="I138" s="531"/>
      <c r="J138" s="584"/>
      <c r="K138" s="520"/>
      <c r="L138" s="556"/>
    </row>
    <row r="139" spans="1:12" ht="40.5" customHeight="1">
      <c r="A139" s="556"/>
      <c r="B139" s="569" t="s">
        <v>667</v>
      </c>
      <c r="C139" s="570"/>
      <c r="D139" s="570"/>
      <c r="E139" s="571"/>
      <c r="F139" s="572"/>
      <c r="G139" s="571"/>
      <c r="H139" s="571"/>
      <c r="I139" s="571"/>
      <c r="J139" s="573"/>
      <c r="K139" s="574"/>
      <c r="L139" s="556"/>
    </row>
    <row r="140" spans="1:12" ht="14.25">
      <c r="A140" s="556"/>
      <c r="B140" s="575" t="s">
        <v>756</v>
      </c>
      <c r="C140" s="576"/>
      <c r="D140" s="576"/>
      <c r="E140" s="577"/>
      <c r="F140" s="578"/>
      <c r="G140" s="577"/>
      <c r="H140" s="577"/>
      <c r="I140" s="577"/>
      <c r="J140" s="579"/>
      <c r="K140" s="580"/>
      <c r="L140" s="556"/>
    </row>
    <row r="141" spans="1:12" ht="14.25">
      <c r="A141" s="556"/>
      <c r="B141" s="522"/>
      <c r="C141" s="604"/>
      <c r="D141" s="604"/>
      <c r="E141" s="606"/>
      <c r="F141" s="585"/>
      <c r="G141" s="606"/>
      <c r="H141" s="606"/>
      <c r="I141" s="606"/>
      <c r="J141" s="546"/>
      <c r="K141" s="517"/>
      <c r="L141" s="556"/>
    </row>
    <row r="142" spans="1:12" ht="14.25">
      <c r="A142" s="556"/>
      <c r="B142" s="575" t="s">
        <v>757</v>
      </c>
      <c r="C142" s="576"/>
      <c r="D142" s="576"/>
      <c r="E142" s="577"/>
      <c r="F142" s="578"/>
      <c r="G142" s="577"/>
      <c r="H142" s="577"/>
      <c r="I142" s="577"/>
      <c r="J142" s="579"/>
      <c r="K142" s="580"/>
      <c r="L142" s="556"/>
    </row>
    <row r="143" spans="1:12" ht="14.25">
      <c r="A143" s="556"/>
      <c r="B143" s="522"/>
      <c r="C143" s="604"/>
      <c r="D143" s="604"/>
      <c r="E143" s="606"/>
      <c r="F143" s="585"/>
      <c r="G143" s="606"/>
      <c r="H143" s="606"/>
      <c r="I143" s="606"/>
      <c r="J143" s="546"/>
      <c r="K143" s="517"/>
      <c r="L143" s="556"/>
    </row>
    <row r="144" spans="1:12" ht="76.5" customHeight="1">
      <c r="A144" s="556"/>
      <c r="B144" s="1045" t="s">
        <v>758</v>
      </c>
      <c r="C144" s="1046"/>
      <c r="D144" s="1046"/>
      <c r="E144" s="1046"/>
      <c r="F144" s="1046"/>
      <c r="G144" s="1046"/>
      <c r="H144" s="1046"/>
      <c r="I144" s="1046"/>
      <c r="J144" s="1046"/>
      <c r="K144" s="1047"/>
      <c r="L144" s="556"/>
    </row>
    <row r="145" spans="1:12" ht="15" thickBot="1">
      <c r="A145" s="556"/>
      <c r="B145" s="522"/>
      <c r="C145" s="604"/>
      <c r="D145" s="604"/>
      <c r="E145" s="606"/>
      <c r="F145" s="585"/>
      <c r="G145" s="606"/>
      <c r="H145" s="606"/>
      <c r="I145" s="606"/>
      <c r="J145" s="546"/>
      <c r="K145" s="517"/>
      <c r="L145" s="556"/>
    </row>
    <row r="146" spans="1:12" ht="14.25">
      <c r="A146" s="556"/>
      <c r="B146" s="506" t="s">
        <v>671</v>
      </c>
      <c r="C146" s="586"/>
      <c r="D146" s="586"/>
      <c r="E146" s="587"/>
      <c r="F146" s="588"/>
      <c r="G146" s="587"/>
      <c r="H146" s="587"/>
      <c r="I146" s="587"/>
      <c r="J146" s="589"/>
      <c r="K146" s="514"/>
      <c r="L146" s="556"/>
    </row>
    <row r="147" spans="1:12" ht="14.25">
      <c r="A147" s="556"/>
      <c r="B147" s="522"/>
      <c r="C147" s="1037" t="s">
        <v>759</v>
      </c>
      <c r="D147" s="1037"/>
      <c r="E147" s="606"/>
      <c r="F147" s="585" t="s">
        <v>760</v>
      </c>
      <c r="G147" s="606"/>
      <c r="H147" s="606"/>
      <c r="I147" s="606"/>
      <c r="J147" s="1032" t="s">
        <v>761</v>
      </c>
      <c r="K147" s="1043"/>
      <c r="L147" s="556"/>
    </row>
    <row r="148" spans="1:12" ht="14.25">
      <c r="A148" s="556"/>
      <c r="B148" s="522"/>
      <c r="C148" s="1031">
        <v>52.869</v>
      </c>
      <c r="D148" s="1031"/>
      <c r="E148" s="606" t="s">
        <v>137</v>
      </c>
      <c r="F148" s="600">
        <v>312000000</v>
      </c>
      <c r="G148" s="590" t="s">
        <v>676</v>
      </c>
      <c r="H148" s="606">
        <v>1000</v>
      </c>
      <c r="I148" s="606" t="s">
        <v>675</v>
      </c>
      <c r="J148" s="1032">
        <f>C148*(F148/1000)</f>
        <v>16495128</v>
      </c>
      <c r="K148" s="1033"/>
      <c r="L148" s="556"/>
    </row>
    <row r="149" spans="1:12" ht="15" thickBot="1">
      <c r="A149" s="556"/>
      <c r="B149" s="518"/>
      <c r="C149" s="582"/>
      <c r="D149" s="582"/>
      <c r="E149" s="531"/>
      <c r="F149" s="583"/>
      <c r="G149" s="531"/>
      <c r="H149" s="531"/>
      <c r="I149" s="531"/>
      <c r="J149" s="584"/>
      <c r="K149" s="520"/>
      <c r="L149" s="556"/>
    </row>
    <row r="150" spans="1:12" ht="15" thickBot="1">
      <c r="A150" s="556"/>
      <c r="B150" s="518"/>
      <c r="C150" s="519"/>
      <c r="D150" s="519"/>
      <c r="E150" s="519"/>
      <c r="F150" s="519"/>
      <c r="G150" s="519"/>
      <c r="H150" s="519"/>
      <c r="I150" s="519"/>
      <c r="J150" s="519"/>
      <c r="K150" s="520"/>
      <c r="L150" s="556"/>
    </row>
    <row r="151" spans="1:12" ht="14.25">
      <c r="A151" s="556"/>
      <c r="B151" s="556"/>
      <c r="C151" s="556"/>
      <c r="D151" s="556"/>
      <c r="E151" s="556"/>
      <c r="F151" s="556"/>
      <c r="G151" s="556"/>
      <c r="H151" s="556"/>
      <c r="I151" s="556"/>
      <c r="J151" s="556"/>
      <c r="K151" s="556"/>
      <c r="L151" s="556"/>
    </row>
    <row r="152" spans="1:12" ht="14.25">
      <c r="A152" s="556"/>
      <c r="B152" s="556"/>
      <c r="C152" s="556"/>
      <c r="D152" s="556"/>
      <c r="E152" s="556"/>
      <c r="F152" s="556"/>
      <c r="G152" s="556"/>
      <c r="H152" s="556"/>
      <c r="I152" s="556"/>
      <c r="J152" s="556"/>
      <c r="K152" s="556"/>
      <c r="L152" s="556"/>
    </row>
    <row r="153" spans="1:12" ht="14.25">
      <c r="A153" s="556"/>
      <c r="B153" s="556"/>
      <c r="C153" s="556"/>
      <c r="D153" s="556"/>
      <c r="E153" s="556"/>
      <c r="F153" s="556"/>
      <c r="G153" s="556"/>
      <c r="H153" s="556"/>
      <c r="I153" s="556"/>
      <c r="J153" s="556"/>
      <c r="K153" s="556"/>
      <c r="L153" s="556"/>
    </row>
    <row r="154" spans="1:12" ht="14.25">
      <c r="A154" s="547"/>
      <c r="B154" s="547"/>
      <c r="C154" s="547"/>
      <c r="D154" s="547"/>
      <c r="E154" s="547"/>
      <c r="F154" s="547"/>
      <c r="G154" s="547"/>
      <c r="H154" s="547"/>
      <c r="I154" s="547"/>
      <c r="J154" s="547"/>
      <c r="K154" s="547"/>
      <c r="L154" s="547"/>
    </row>
    <row r="155" spans="1:12" ht="14.25">
      <c r="A155" s="547"/>
      <c r="B155" s="547"/>
      <c r="C155" s="547"/>
      <c r="D155" s="547"/>
      <c r="E155" s="547"/>
      <c r="F155" s="547"/>
      <c r="G155" s="547"/>
      <c r="H155" s="547"/>
      <c r="I155" s="547"/>
      <c r="J155" s="547"/>
      <c r="K155" s="547"/>
      <c r="L155" s="547"/>
    </row>
    <row r="156" spans="1:12" ht="14.25">
      <c r="A156" s="547"/>
      <c r="B156" s="547"/>
      <c r="C156" s="547"/>
      <c r="D156" s="547"/>
      <c r="E156" s="547"/>
      <c r="F156" s="547"/>
      <c r="G156" s="547"/>
      <c r="H156" s="547"/>
      <c r="I156" s="547"/>
      <c r="J156" s="547"/>
      <c r="K156" s="547"/>
      <c r="L156" s="547"/>
    </row>
    <row r="157" spans="1:12" ht="14.25">
      <c r="A157" s="547"/>
      <c r="B157" s="547"/>
      <c r="C157" s="547"/>
      <c r="D157" s="547"/>
      <c r="E157" s="547"/>
      <c r="F157" s="547"/>
      <c r="G157" s="547"/>
      <c r="H157" s="547"/>
      <c r="I157" s="547"/>
      <c r="J157" s="547"/>
      <c r="K157" s="547"/>
      <c r="L157" s="547"/>
    </row>
    <row r="158" spans="1:12" ht="14.25">
      <c r="A158" s="547"/>
      <c r="B158" s="547"/>
      <c r="C158" s="547"/>
      <c r="D158" s="547"/>
      <c r="E158" s="547"/>
      <c r="F158" s="547"/>
      <c r="G158" s="547"/>
      <c r="H158" s="547"/>
      <c r="I158" s="547"/>
      <c r="J158" s="547"/>
      <c r="K158" s="547"/>
      <c r="L158" s="547"/>
    </row>
    <row r="159" spans="1:12" ht="14.25">
      <c r="A159" s="547"/>
      <c r="B159" s="547"/>
      <c r="C159" s="547"/>
      <c r="D159" s="547"/>
      <c r="E159" s="547"/>
      <c r="F159" s="547"/>
      <c r="G159" s="547"/>
      <c r="H159" s="547"/>
      <c r="I159" s="547"/>
      <c r="J159" s="547"/>
      <c r="K159" s="547"/>
      <c r="L159" s="547"/>
    </row>
    <row r="160" spans="1:12" ht="14.25">
      <c r="A160" s="547"/>
      <c r="B160" s="547"/>
      <c r="C160" s="547"/>
      <c r="D160" s="547"/>
      <c r="E160" s="547"/>
      <c r="F160" s="547"/>
      <c r="G160" s="547"/>
      <c r="H160" s="547"/>
      <c r="I160" s="547"/>
      <c r="J160" s="547"/>
      <c r="K160" s="547"/>
      <c r="L160" s="547"/>
    </row>
    <row r="161" spans="1:12" ht="14.25">
      <c r="A161" s="547"/>
      <c r="B161" s="547"/>
      <c r="C161" s="547"/>
      <c r="D161" s="547"/>
      <c r="E161" s="547"/>
      <c r="F161" s="547"/>
      <c r="G161" s="547"/>
      <c r="H161" s="547"/>
      <c r="I161" s="547"/>
      <c r="J161" s="547"/>
      <c r="K161" s="547"/>
      <c r="L161" s="547"/>
    </row>
    <row r="162" spans="1:12" ht="14.25">
      <c r="A162" s="547"/>
      <c r="B162" s="547"/>
      <c r="C162" s="547"/>
      <c r="D162" s="547"/>
      <c r="E162" s="547"/>
      <c r="F162" s="547"/>
      <c r="G162" s="547"/>
      <c r="H162" s="547"/>
      <c r="I162" s="547"/>
      <c r="J162" s="547"/>
      <c r="K162" s="547"/>
      <c r="L162" s="547"/>
    </row>
    <row r="163" spans="1:12" ht="14.25">
      <c r="A163" s="547"/>
      <c r="B163" s="547"/>
      <c r="C163" s="547"/>
      <c r="D163" s="547"/>
      <c r="E163" s="547"/>
      <c r="F163" s="547"/>
      <c r="G163" s="547"/>
      <c r="H163" s="547"/>
      <c r="I163" s="547"/>
      <c r="J163" s="547"/>
      <c r="K163" s="547"/>
      <c r="L163" s="547"/>
    </row>
    <row r="164" spans="1:12" ht="14.25">
      <c r="A164" s="547"/>
      <c r="B164" s="547"/>
      <c r="C164" s="547"/>
      <c r="D164" s="547"/>
      <c r="E164" s="547"/>
      <c r="F164" s="547"/>
      <c r="G164" s="547"/>
      <c r="H164" s="547"/>
      <c r="I164" s="547"/>
      <c r="J164" s="547"/>
      <c r="K164" s="547"/>
      <c r="L164" s="547"/>
    </row>
    <row r="165" spans="1:12" ht="14.25">
      <c r="A165" s="547"/>
      <c r="B165" s="547"/>
      <c r="C165" s="547"/>
      <c r="D165" s="547"/>
      <c r="E165" s="547"/>
      <c r="F165" s="547"/>
      <c r="G165" s="547"/>
      <c r="H165" s="547"/>
      <c r="I165" s="547"/>
      <c r="J165" s="547"/>
      <c r="K165" s="547"/>
      <c r="L165" s="547"/>
    </row>
    <row r="166" spans="1:12" ht="14.25">
      <c r="A166" s="547"/>
      <c r="B166" s="547"/>
      <c r="C166" s="547"/>
      <c r="D166" s="547"/>
      <c r="E166" s="547"/>
      <c r="F166" s="547"/>
      <c r="G166" s="547"/>
      <c r="H166" s="547"/>
      <c r="I166" s="547"/>
      <c r="J166" s="547"/>
      <c r="K166" s="547"/>
      <c r="L166" s="547"/>
    </row>
    <row r="167" spans="1:12" ht="14.25">
      <c r="A167" s="547"/>
      <c r="B167" s="547"/>
      <c r="C167" s="547"/>
      <c r="D167" s="547"/>
      <c r="E167" s="547"/>
      <c r="F167" s="547"/>
      <c r="G167" s="547"/>
      <c r="H167" s="547"/>
      <c r="I167" s="547"/>
      <c r="J167" s="547"/>
      <c r="K167" s="547"/>
      <c r="L167" s="547"/>
    </row>
    <row r="168" spans="1:12" ht="14.25">
      <c r="A168" s="547"/>
      <c r="B168" s="547"/>
      <c r="C168" s="547"/>
      <c r="D168" s="547"/>
      <c r="E168" s="547"/>
      <c r="F168" s="547"/>
      <c r="G168" s="547"/>
      <c r="H168" s="547"/>
      <c r="I168" s="547"/>
      <c r="J168" s="547"/>
      <c r="K168" s="547"/>
      <c r="L168" s="547"/>
    </row>
    <row r="169" spans="1:12" ht="14.25">
      <c r="A169" s="547"/>
      <c r="B169" s="547"/>
      <c r="C169" s="547"/>
      <c r="D169" s="547"/>
      <c r="E169" s="547"/>
      <c r="F169" s="547"/>
      <c r="G169" s="547"/>
      <c r="H169" s="547"/>
      <c r="I169" s="547"/>
      <c r="J169" s="547"/>
      <c r="K169" s="547"/>
      <c r="L169" s="547"/>
    </row>
    <row r="170" spans="1:12" ht="14.25">
      <c r="A170" s="547"/>
      <c r="B170" s="547"/>
      <c r="C170" s="547"/>
      <c r="D170" s="547"/>
      <c r="E170" s="547"/>
      <c r="F170" s="547"/>
      <c r="G170" s="547"/>
      <c r="H170" s="547"/>
      <c r="I170" s="547"/>
      <c r="J170" s="547"/>
      <c r="K170" s="547"/>
      <c r="L170" s="547"/>
    </row>
    <row r="171" spans="1:12" ht="14.25">
      <c r="A171" s="547"/>
      <c r="B171" s="547"/>
      <c r="C171" s="547"/>
      <c r="D171" s="547"/>
      <c r="E171" s="547"/>
      <c r="F171" s="547"/>
      <c r="G171" s="547"/>
      <c r="H171" s="547"/>
      <c r="I171" s="547"/>
      <c r="J171" s="547"/>
      <c r="K171" s="547"/>
      <c r="L171" s="547"/>
    </row>
    <row r="172" spans="1:12" ht="14.25">
      <c r="A172" s="547"/>
      <c r="B172" s="547"/>
      <c r="C172" s="547"/>
      <c r="D172" s="547"/>
      <c r="E172" s="547"/>
      <c r="F172" s="547"/>
      <c r="G172" s="547"/>
      <c r="H172" s="547"/>
      <c r="I172" s="547"/>
      <c r="J172" s="547"/>
      <c r="K172" s="547"/>
      <c r="L172" s="547"/>
    </row>
    <row r="173" spans="1:12" ht="14.25">
      <c r="A173" s="547"/>
      <c r="B173" s="547"/>
      <c r="C173" s="547"/>
      <c r="D173" s="547"/>
      <c r="E173" s="547"/>
      <c r="F173" s="547"/>
      <c r="G173" s="547"/>
      <c r="H173" s="547"/>
      <c r="I173" s="547"/>
      <c r="J173" s="547"/>
      <c r="K173" s="547"/>
      <c r="L173" s="547"/>
    </row>
    <row r="174" spans="1:12" ht="14.25">
      <c r="A174" s="547"/>
      <c r="B174" s="547"/>
      <c r="C174" s="547"/>
      <c r="D174" s="547"/>
      <c r="E174" s="547"/>
      <c r="F174" s="547"/>
      <c r="G174" s="547"/>
      <c r="H174" s="547"/>
      <c r="I174" s="547"/>
      <c r="J174" s="547"/>
      <c r="K174" s="547"/>
      <c r="L174" s="547"/>
    </row>
    <row r="175" spans="1:12" ht="14.25">
      <c r="A175" s="547"/>
      <c r="B175" s="547"/>
      <c r="C175" s="547"/>
      <c r="D175" s="547"/>
      <c r="E175" s="547"/>
      <c r="F175" s="547"/>
      <c r="G175" s="547"/>
      <c r="H175" s="547"/>
      <c r="I175" s="547"/>
      <c r="J175" s="547"/>
      <c r="K175" s="547"/>
      <c r="L175" s="547"/>
    </row>
    <row r="176" spans="1:12" ht="14.25">
      <c r="A176" s="547"/>
      <c r="B176" s="547"/>
      <c r="C176" s="547"/>
      <c r="D176" s="547"/>
      <c r="E176" s="547"/>
      <c r="F176" s="547"/>
      <c r="G176" s="547"/>
      <c r="H176" s="547"/>
      <c r="I176" s="547"/>
      <c r="J176" s="547"/>
      <c r="K176" s="547"/>
      <c r="L176" s="547"/>
    </row>
    <row r="177" spans="1:12" ht="14.25">
      <c r="A177" s="547"/>
      <c r="B177" s="547"/>
      <c r="C177" s="547"/>
      <c r="D177" s="547"/>
      <c r="E177" s="547"/>
      <c r="F177" s="547"/>
      <c r="G177" s="547"/>
      <c r="H177" s="547"/>
      <c r="I177" s="547"/>
      <c r="J177" s="547"/>
      <c r="K177" s="547"/>
      <c r="L177" s="547"/>
    </row>
    <row r="178" spans="1:12" ht="14.25">
      <c r="A178" s="547"/>
      <c r="B178" s="547"/>
      <c r="C178" s="547"/>
      <c r="D178" s="547"/>
      <c r="E178" s="547"/>
      <c r="F178" s="547"/>
      <c r="G178" s="547"/>
      <c r="H178" s="547"/>
      <c r="I178" s="547"/>
      <c r="J178" s="547"/>
      <c r="K178" s="547"/>
      <c r="L178" s="547"/>
    </row>
    <row r="179" spans="1:12" ht="14.25">
      <c r="A179" s="547"/>
      <c r="B179" s="547"/>
      <c r="C179" s="547"/>
      <c r="D179" s="547"/>
      <c r="E179" s="547"/>
      <c r="F179" s="547"/>
      <c r="G179" s="547"/>
      <c r="H179" s="547"/>
      <c r="I179" s="547"/>
      <c r="J179" s="547"/>
      <c r="K179" s="547"/>
      <c r="L179" s="547"/>
    </row>
    <row r="180" spans="1:12" ht="14.25">
      <c r="A180" s="547"/>
      <c r="B180" s="547"/>
      <c r="C180" s="547"/>
      <c r="D180" s="547"/>
      <c r="E180" s="547"/>
      <c r="F180" s="547"/>
      <c r="G180" s="547"/>
      <c r="H180" s="547"/>
      <c r="I180" s="547"/>
      <c r="J180" s="547"/>
      <c r="K180" s="547"/>
      <c r="L180" s="547"/>
    </row>
    <row r="181" spans="1:12" ht="14.25">
      <c r="A181" s="547"/>
      <c r="B181" s="547"/>
      <c r="C181" s="547"/>
      <c r="D181" s="547"/>
      <c r="E181" s="547"/>
      <c r="F181" s="547"/>
      <c r="G181" s="547"/>
      <c r="H181" s="547"/>
      <c r="I181" s="547"/>
      <c r="J181" s="547"/>
      <c r="K181" s="547"/>
      <c r="L181" s="547"/>
    </row>
    <row r="182" spans="1:12" ht="14.25">
      <c r="A182" s="547"/>
      <c r="B182" s="547"/>
      <c r="C182" s="547"/>
      <c r="D182" s="547"/>
      <c r="E182" s="547"/>
      <c r="F182" s="547"/>
      <c r="G182" s="547"/>
      <c r="H182" s="547"/>
      <c r="I182" s="547"/>
      <c r="J182" s="547"/>
      <c r="K182" s="547"/>
      <c r="L182" s="547"/>
    </row>
    <row r="183" spans="1:12" ht="14.25">
      <c r="A183" s="547"/>
      <c r="B183" s="547"/>
      <c r="C183" s="547"/>
      <c r="D183" s="547"/>
      <c r="E183" s="547"/>
      <c r="F183" s="547"/>
      <c r="G183" s="547"/>
      <c r="H183" s="547"/>
      <c r="I183" s="547"/>
      <c r="J183" s="547"/>
      <c r="K183" s="547"/>
      <c r="L183" s="547"/>
    </row>
    <row r="184" spans="1:12" ht="14.25">
      <c r="A184" s="547"/>
      <c r="B184" s="547"/>
      <c r="C184" s="547"/>
      <c r="D184" s="547"/>
      <c r="E184" s="547"/>
      <c r="F184" s="547"/>
      <c r="G184" s="547"/>
      <c r="H184" s="547"/>
      <c r="I184" s="547"/>
      <c r="J184" s="547"/>
      <c r="K184" s="547"/>
      <c r="L184" s="547"/>
    </row>
    <row r="185" spans="1:12" ht="14.25">
      <c r="A185" s="547"/>
      <c r="B185" s="547"/>
      <c r="C185" s="547"/>
      <c r="D185" s="547"/>
      <c r="E185" s="547"/>
      <c r="F185" s="547"/>
      <c r="G185" s="547"/>
      <c r="H185" s="547"/>
      <c r="I185" s="547"/>
      <c r="J185" s="547"/>
      <c r="K185" s="547"/>
      <c r="L185" s="547"/>
    </row>
    <row r="186" spans="1:12" ht="14.25">
      <c r="A186" s="547"/>
      <c r="B186" s="547"/>
      <c r="C186" s="547"/>
      <c r="D186" s="547"/>
      <c r="E186" s="547"/>
      <c r="F186" s="547"/>
      <c r="G186" s="547"/>
      <c r="H186" s="547"/>
      <c r="I186" s="547"/>
      <c r="J186" s="547"/>
      <c r="K186" s="547"/>
      <c r="L186" s="547"/>
    </row>
    <row r="187" spans="1:12" ht="14.25">
      <c r="A187" s="547"/>
      <c r="B187" s="547"/>
      <c r="C187" s="547"/>
      <c r="D187" s="547"/>
      <c r="E187" s="547"/>
      <c r="F187" s="547"/>
      <c r="G187" s="547"/>
      <c r="H187" s="547"/>
      <c r="I187" s="547"/>
      <c r="J187" s="547"/>
      <c r="K187" s="547"/>
      <c r="L187" s="547"/>
    </row>
    <row r="188" spans="1:12" ht="14.25">
      <c r="A188" s="547"/>
      <c r="B188" s="547"/>
      <c r="C188" s="547"/>
      <c r="D188" s="547"/>
      <c r="E188" s="547"/>
      <c r="F188" s="547"/>
      <c r="G188" s="547"/>
      <c r="H188" s="547"/>
      <c r="I188" s="547"/>
      <c r="J188" s="547"/>
      <c r="K188" s="547"/>
      <c r="L188" s="547"/>
    </row>
    <row r="189" spans="1:12" ht="14.25">
      <c r="A189" s="547"/>
      <c r="B189" s="547"/>
      <c r="C189" s="547"/>
      <c r="D189" s="547"/>
      <c r="E189" s="547"/>
      <c r="F189" s="547"/>
      <c r="G189" s="547"/>
      <c r="H189" s="547"/>
      <c r="I189" s="547"/>
      <c r="J189" s="547"/>
      <c r="K189" s="547"/>
      <c r="L189" s="547"/>
    </row>
    <row r="190" spans="1:12" ht="14.25">
      <c r="A190" s="547"/>
      <c r="B190" s="547"/>
      <c r="C190" s="547"/>
      <c r="D190" s="547"/>
      <c r="E190" s="547"/>
      <c r="F190" s="547"/>
      <c r="G190" s="547"/>
      <c r="H190" s="547"/>
      <c r="I190" s="547"/>
      <c r="J190" s="547"/>
      <c r="K190" s="547"/>
      <c r="L190" s="547"/>
    </row>
    <row r="191" spans="1:12" ht="14.25">
      <c r="A191" s="547"/>
      <c r="B191" s="547"/>
      <c r="C191" s="547"/>
      <c r="D191" s="547"/>
      <c r="E191" s="547"/>
      <c r="F191" s="547"/>
      <c r="G191" s="547"/>
      <c r="H191" s="547"/>
      <c r="I191" s="547"/>
      <c r="J191" s="547"/>
      <c r="K191" s="547"/>
      <c r="L191" s="547"/>
    </row>
    <row r="192" spans="1:12" ht="14.25">
      <c r="A192" s="547"/>
      <c r="B192" s="547"/>
      <c r="C192" s="547"/>
      <c r="D192" s="547"/>
      <c r="E192" s="547"/>
      <c r="F192" s="547"/>
      <c r="G192" s="547"/>
      <c r="H192" s="547"/>
      <c r="I192" s="547"/>
      <c r="J192" s="547"/>
      <c r="K192" s="547"/>
      <c r="L192" s="547"/>
    </row>
    <row r="193" spans="1:12" ht="14.25">
      <c r="A193" s="547"/>
      <c r="B193" s="547"/>
      <c r="C193" s="547"/>
      <c r="D193" s="547"/>
      <c r="E193" s="547"/>
      <c r="F193" s="547"/>
      <c r="G193" s="547"/>
      <c r="H193" s="547"/>
      <c r="I193" s="547"/>
      <c r="J193" s="547"/>
      <c r="K193" s="547"/>
      <c r="L193" s="547"/>
    </row>
    <row r="194" spans="1:12" ht="14.25">
      <c r="A194" s="547"/>
      <c r="B194" s="547"/>
      <c r="C194" s="547"/>
      <c r="D194" s="547"/>
      <c r="E194" s="547"/>
      <c r="F194" s="547"/>
      <c r="G194" s="547"/>
      <c r="H194" s="547"/>
      <c r="I194" s="547"/>
      <c r="J194" s="547"/>
      <c r="K194" s="547"/>
      <c r="L194" s="547"/>
    </row>
    <row r="195" spans="1:12" ht="14.25">
      <c r="A195" s="547"/>
      <c r="B195" s="547"/>
      <c r="C195" s="547"/>
      <c r="D195" s="547"/>
      <c r="E195" s="547"/>
      <c r="F195" s="547"/>
      <c r="G195" s="547"/>
      <c r="H195" s="547"/>
      <c r="I195" s="547"/>
      <c r="J195" s="547"/>
      <c r="K195" s="547"/>
      <c r="L195" s="547"/>
    </row>
    <row r="196" spans="1:12" ht="14.25">
      <c r="A196" s="547"/>
      <c r="B196" s="547"/>
      <c r="C196" s="547"/>
      <c r="D196" s="547"/>
      <c r="E196" s="547"/>
      <c r="F196" s="547"/>
      <c r="G196" s="547"/>
      <c r="H196" s="547"/>
      <c r="I196" s="547"/>
      <c r="J196" s="547"/>
      <c r="K196" s="547"/>
      <c r="L196" s="547"/>
    </row>
    <row r="197" spans="1:12" ht="14.25">
      <c r="A197" s="547"/>
      <c r="B197" s="547"/>
      <c r="C197" s="547"/>
      <c r="D197" s="547"/>
      <c r="E197" s="547"/>
      <c r="F197" s="547"/>
      <c r="G197" s="547"/>
      <c r="H197" s="547"/>
      <c r="I197" s="547"/>
      <c r="J197" s="547"/>
      <c r="K197" s="547"/>
      <c r="L197" s="547"/>
    </row>
    <row r="198" spans="1:12" ht="14.25">
      <c r="A198" s="547"/>
      <c r="B198" s="547"/>
      <c r="C198" s="547"/>
      <c r="D198" s="547"/>
      <c r="E198" s="547"/>
      <c r="F198" s="547"/>
      <c r="G198" s="547"/>
      <c r="H198" s="547"/>
      <c r="I198" s="547"/>
      <c r="J198" s="547"/>
      <c r="K198" s="547"/>
      <c r="L198" s="547"/>
    </row>
    <row r="199" spans="1:12" ht="14.25">
      <c r="A199" s="547"/>
      <c r="B199" s="547"/>
      <c r="C199" s="547"/>
      <c r="D199" s="547"/>
      <c r="E199" s="547"/>
      <c r="F199" s="547"/>
      <c r="G199" s="547"/>
      <c r="H199" s="547"/>
      <c r="I199" s="547"/>
      <c r="J199" s="547"/>
      <c r="K199" s="547"/>
      <c r="L199" s="547"/>
    </row>
    <row r="200" spans="1:12" ht="14.25">
      <c r="A200" s="547"/>
      <c r="B200" s="547"/>
      <c r="C200" s="547"/>
      <c r="D200" s="547"/>
      <c r="E200" s="547"/>
      <c r="F200" s="547"/>
      <c r="G200" s="547"/>
      <c r="H200" s="547"/>
      <c r="I200" s="547"/>
      <c r="J200" s="547"/>
      <c r="K200" s="547"/>
      <c r="L200" s="547"/>
    </row>
    <row r="201" spans="1:12" ht="14.25">
      <c r="A201" s="547"/>
      <c r="B201" s="547"/>
      <c r="C201" s="547"/>
      <c r="D201" s="547"/>
      <c r="E201" s="547"/>
      <c r="F201" s="547"/>
      <c r="G201" s="547"/>
      <c r="H201" s="547"/>
      <c r="I201" s="547"/>
      <c r="J201" s="547"/>
      <c r="K201" s="547"/>
      <c r="L201" s="547"/>
    </row>
    <row r="202" spans="1:12" ht="14.25">
      <c r="A202" s="547"/>
      <c r="B202" s="547"/>
      <c r="C202" s="547"/>
      <c r="D202" s="547"/>
      <c r="E202" s="547"/>
      <c r="F202" s="547"/>
      <c r="G202" s="547"/>
      <c r="H202" s="547"/>
      <c r="I202" s="547"/>
      <c r="J202" s="547"/>
      <c r="K202" s="547"/>
      <c r="L202" s="547"/>
    </row>
    <row r="203" spans="1:12" ht="14.25">
      <c r="A203" s="547"/>
      <c r="B203" s="547"/>
      <c r="C203" s="547"/>
      <c r="D203" s="547"/>
      <c r="E203" s="547"/>
      <c r="F203" s="547"/>
      <c r="G203" s="547"/>
      <c r="H203" s="547"/>
      <c r="I203" s="547"/>
      <c r="J203" s="547"/>
      <c r="K203" s="547"/>
      <c r="L203" s="547"/>
    </row>
    <row r="204" spans="1:12" ht="14.25">
      <c r="A204" s="547"/>
      <c r="B204" s="547"/>
      <c r="C204" s="547"/>
      <c r="D204" s="547"/>
      <c r="E204" s="547"/>
      <c r="F204" s="547"/>
      <c r="G204" s="547"/>
      <c r="H204" s="547"/>
      <c r="I204" s="547"/>
      <c r="J204" s="547"/>
      <c r="K204" s="547"/>
      <c r="L204" s="547"/>
    </row>
    <row r="205" spans="1:12" ht="14.25">
      <c r="A205" s="547"/>
      <c r="B205" s="547"/>
      <c r="C205" s="547"/>
      <c r="D205" s="547"/>
      <c r="E205" s="547"/>
      <c r="F205" s="547"/>
      <c r="G205" s="547"/>
      <c r="H205" s="547"/>
      <c r="I205" s="547"/>
      <c r="J205" s="547"/>
      <c r="K205" s="547"/>
      <c r="L205" s="547"/>
    </row>
    <row r="206" spans="1:12" ht="14.25">
      <c r="A206" s="547"/>
      <c r="B206" s="547"/>
      <c r="C206" s="547"/>
      <c r="D206" s="547"/>
      <c r="E206" s="547"/>
      <c r="F206" s="547"/>
      <c r="G206" s="547"/>
      <c r="H206" s="547"/>
      <c r="I206" s="547"/>
      <c r="J206" s="547"/>
      <c r="K206" s="547"/>
      <c r="L206" s="547"/>
    </row>
    <row r="207" spans="1:12" ht="14.25">
      <c r="A207" s="547"/>
      <c r="B207" s="547"/>
      <c r="C207" s="547"/>
      <c r="D207" s="547"/>
      <c r="E207" s="547"/>
      <c r="F207" s="547"/>
      <c r="G207" s="547"/>
      <c r="H207" s="547"/>
      <c r="I207" s="547"/>
      <c r="J207" s="547"/>
      <c r="K207" s="547"/>
      <c r="L207" s="547"/>
    </row>
    <row r="208" spans="1:12" ht="14.25">
      <c r="A208" s="547"/>
      <c r="B208" s="547"/>
      <c r="C208" s="547"/>
      <c r="D208" s="547"/>
      <c r="E208" s="547"/>
      <c r="F208" s="547"/>
      <c r="G208" s="547"/>
      <c r="H208" s="547"/>
      <c r="I208" s="547"/>
      <c r="J208" s="547"/>
      <c r="K208" s="547"/>
      <c r="L208" s="547"/>
    </row>
    <row r="209" spans="1:12" ht="14.25">
      <c r="A209" s="547"/>
      <c r="B209" s="547"/>
      <c r="C209" s="547"/>
      <c r="D209" s="547"/>
      <c r="E209" s="547"/>
      <c r="F209" s="547"/>
      <c r="G209" s="547"/>
      <c r="H209" s="547"/>
      <c r="I209" s="547"/>
      <c r="J209" s="547"/>
      <c r="K209" s="547"/>
      <c r="L209" s="547"/>
    </row>
    <row r="210" spans="1:12" ht="14.25">
      <c r="A210" s="547"/>
      <c r="B210" s="547"/>
      <c r="C210" s="547"/>
      <c r="D210" s="547"/>
      <c r="E210" s="547"/>
      <c r="F210" s="547"/>
      <c r="G210" s="547"/>
      <c r="H210" s="547"/>
      <c r="I210" s="547"/>
      <c r="J210" s="547"/>
      <c r="K210" s="547"/>
      <c r="L210" s="547"/>
    </row>
    <row r="211" spans="1:12" ht="14.25">
      <c r="A211" s="547"/>
      <c r="B211" s="547"/>
      <c r="C211" s="547"/>
      <c r="D211" s="547"/>
      <c r="E211" s="547"/>
      <c r="F211" s="547"/>
      <c r="G211" s="547"/>
      <c r="H211" s="547"/>
      <c r="I211" s="547"/>
      <c r="J211" s="547"/>
      <c r="K211" s="547"/>
      <c r="L211" s="547"/>
    </row>
    <row r="212" spans="1:12" ht="14.25">
      <c r="A212" s="547"/>
      <c r="B212" s="547"/>
      <c r="C212" s="547"/>
      <c r="D212" s="547"/>
      <c r="E212" s="547"/>
      <c r="F212" s="547"/>
      <c r="G212" s="547"/>
      <c r="H212" s="547"/>
      <c r="I212" s="547"/>
      <c r="J212" s="547"/>
      <c r="K212" s="547"/>
      <c r="L212" s="547"/>
    </row>
    <row r="213" spans="1:12" ht="14.25">
      <c r="A213" s="547"/>
      <c r="B213" s="547"/>
      <c r="C213" s="547"/>
      <c r="D213" s="547"/>
      <c r="E213" s="547"/>
      <c r="F213" s="547"/>
      <c r="G213" s="547"/>
      <c r="H213" s="547"/>
      <c r="I213" s="547"/>
      <c r="J213" s="547"/>
      <c r="K213" s="547"/>
      <c r="L213" s="547"/>
    </row>
    <row r="214" spans="1:12" ht="14.25">
      <c r="A214" s="547"/>
      <c r="B214" s="547"/>
      <c r="C214" s="547"/>
      <c r="D214" s="547"/>
      <c r="E214" s="547"/>
      <c r="F214" s="547"/>
      <c r="G214" s="547"/>
      <c r="H214" s="547"/>
      <c r="I214" s="547"/>
      <c r="J214" s="547"/>
      <c r="K214" s="547"/>
      <c r="L214" s="547"/>
    </row>
    <row r="215" spans="1:12" ht="14.25">
      <c r="A215" s="547"/>
      <c r="B215" s="547"/>
      <c r="C215" s="547"/>
      <c r="D215" s="547"/>
      <c r="E215" s="547"/>
      <c r="F215" s="547"/>
      <c r="G215" s="547"/>
      <c r="H215" s="547"/>
      <c r="I215" s="547"/>
      <c r="J215" s="547"/>
      <c r="K215" s="547"/>
      <c r="L215" s="547"/>
    </row>
    <row r="216" spans="1:12" ht="14.25">
      <c r="A216" s="547"/>
      <c r="B216" s="547"/>
      <c r="C216" s="547"/>
      <c r="D216" s="547"/>
      <c r="E216" s="547"/>
      <c r="F216" s="547"/>
      <c r="G216" s="547"/>
      <c r="H216" s="547"/>
      <c r="I216" s="547"/>
      <c r="J216" s="547"/>
      <c r="K216" s="547"/>
      <c r="L216" s="547"/>
    </row>
    <row r="217" spans="1:12" ht="14.25">
      <c r="A217" s="547"/>
      <c r="B217" s="547"/>
      <c r="C217" s="547"/>
      <c r="D217" s="547"/>
      <c r="E217" s="547"/>
      <c r="F217" s="547"/>
      <c r="G217" s="547"/>
      <c r="H217" s="547"/>
      <c r="I217" s="547"/>
      <c r="J217" s="547"/>
      <c r="K217" s="547"/>
      <c r="L217" s="547"/>
    </row>
    <row r="218" spans="1:12" ht="14.25">
      <c r="A218" s="547"/>
      <c r="B218" s="547"/>
      <c r="C218" s="547"/>
      <c r="D218" s="547"/>
      <c r="E218" s="547"/>
      <c r="F218" s="547"/>
      <c r="G218" s="547"/>
      <c r="H218" s="547"/>
      <c r="I218" s="547"/>
      <c r="J218" s="547"/>
      <c r="K218" s="547"/>
      <c r="L218" s="547"/>
    </row>
    <row r="219" spans="1:12" ht="14.25">
      <c r="A219" s="547"/>
      <c r="B219" s="547"/>
      <c r="C219" s="547"/>
      <c r="D219" s="547"/>
      <c r="E219" s="547"/>
      <c r="F219" s="547"/>
      <c r="G219" s="547"/>
      <c r="H219" s="547"/>
      <c r="I219" s="547"/>
      <c r="J219" s="547"/>
      <c r="K219" s="547"/>
      <c r="L219" s="547"/>
    </row>
    <row r="220" spans="1:12" ht="14.25">
      <c r="A220" s="547"/>
      <c r="B220" s="547"/>
      <c r="C220" s="547"/>
      <c r="D220" s="547"/>
      <c r="E220" s="547"/>
      <c r="F220" s="547"/>
      <c r="G220" s="547"/>
      <c r="H220" s="547"/>
      <c r="I220" s="547"/>
      <c r="J220" s="547"/>
      <c r="K220" s="547"/>
      <c r="L220" s="547"/>
    </row>
    <row r="221" spans="1:12" ht="14.25">
      <c r="A221" s="547"/>
      <c r="B221" s="547"/>
      <c r="C221" s="547"/>
      <c r="D221" s="547"/>
      <c r="E221" s="547"/>
      <c r="F221" s="547"/>
      <c r="G221" s="547"/>
      <c r="H221" s="547"/>
      <c r="I221" s="547"/>
      <c r="J221" s="547"/>
      <c r="K221" s="547"/>
      <c r="L221" s="547"/>
    </row>
    <row r="222" spans="1:12" ht="14.25">
      <c r="A222" s="547"/>
      <c r="B222" s="547"/>
      <c r="C222" s="547"/>
      <c r="D222" s="547"/>
      <c r="E222" s="547"/>
      <c r="F222" s="547"/>
      <c r="G222" s="547"/>
      <c r="H222" s="547"/>
      <c r="I222" s="547"/>
      <c r="J222" s="547"/>
      <c r="K222" s="547"/>
      <c r="L222" s="547"/>
    </row>
    <row r="223" spans="1:12" ht="14.25">
      <c r="A223" s="547"/>
      <c r="B223" s="547"/>
      <c r="C223" s="547"/>
      <c r="D223" s="547"/>
      <c r="E223" s="547"/>
      <c r="F223" s="547"/>
      <c r="G223" s="547"/>
      <c r="H223" s="547"/>
      <c r="I223" s="547"/>
      <c r="J223" s="547"/>
      <c r="K223" s="547"/>
      <c r="L223" s="547"/>
    </row>
    <row r="224" spans="1:12" ht="14.25">
      <c r="A224" s="547"/>
      <c r="B224" s="547"/>
      <c r="C224" s="547"/>
      <c r="D224" s="547"/>
      <c r="E224" s="547"/>
      <c r="F224" s="547"/>
      <c r="G224" s="547"/>
      <c r="H224" s="547"/>
      <c r="I224" s="547"/>
      <c r="J224" s="547"/>
      <c r="K224" s="547"/>
      <c r="L224" s="547"/>
    </row>
    <row r="225" spans="1:12" ht="14.25">
      <c r="A225" s="547"/>
      <c r="B225" s="547"/>
      <c r="C225" s="547"/>
      <c r="D225" s="547"/>
      <c r="E225" s="547"/>
      <c r="F225" s="547"/>
      <c r="G225" s="547"/>
      <c r="H225" s="547"/>
      <c r="I225" s="547"/>
      <c r="J225" s="547"/>
      <c r="K225" s="547"/>
      <c r="L225" s="547"/>
    </row>
    <row r="226" spans="1:12" ht="14.25">
      <c r="A226" s="547"/>
      <c r="B226" s="547"/>
      <c r="C226" s="547"/>
      <c r="D226" s="547"/>
      <c r="E226" s="547"/>
      <c r="F226" s="547"/>
      <c r="G226" s="547"/>
      <c r="H226" s="547"/>
      <c r="I226" s="547"/>
      <c r="J226" s="547"/>
      <c r="K226" s="547"/>
      <c r="L226" s="547"/>
    </row>
    <row r="227" spans="1:12" ht="14.25">
      <c r="A227" s="547"/>
      <c r="B227" s="547"/>
      <c r="C227" s="547"/>
      <c r="D227" s="547"/>
      <c r="E227" s="547"/>
      <c r="F227" s="547"/>
      <c r="G227" s="547"/>
      <c r="H227" s="547"/>
      <c r="I227" s="547"/>
      <c r="J227" s="547"/>
      <c r="K227" s="547"/>
      <c r="L227" s="547"/>
    </row>
    <row r="228" spans="1:12" ht="14.25">
      <c r="A228" s="547"/>
      <c r="B228" s="547"/>
      <c r="C228" s="547"/>
      <c r="D228" s="547"/>
      <c r="E228" s="547"/>
      <c r="F228" s="547"/>
      <c r="G228" s="547"/>
      <c r="H228" s="547"/>
      <c r="I228" s="547"/>
      <c r="J228" s="547"/>
      <c r="K228" s="547"/>
      <c r="L228" s="547"/>
    </row>
    <row r="229" spans="1:12" ht="14.25">
      <c r="A229" s="547"/>
      <c r="B229" s="547"/>
      <c r="C229" s="547"/>
      <c r="D229" s="547"/>
      <c r="E229" s="547"/>
      <c r="F229" s="547"/>
      <c r="G229" s="547"/>
      <c r="H229" s="547"/>
      <c r="I229" s="547"/>
      <c r="J229" s="547"/>
      <c r="K229" s="547"/>
      <c r="L229" s="547"/>
    </row>
    <row r="230" spans="1:12" ht="14.25">
      <c r="A230" s="547"/>
      <c r="B230" s="547"/>
      <c r="C230" s="547"/>
      <c r="D230" s="547"/>
      <c r="E230" s="547"/>
      <c r="F230" s="547"/>
      <c r="G230" s="547"/>
      <c r="H230" s="547"/>
      <c r="I230" s="547"/>
      <c r="J230" s="547"/>
      <c r="K230" s="547"/>
      <c r="L230" s="547"/>
    </row>
    <row r="231" spans="1:12" ht="14.25">
      <c r="A231" s="547"/>
      <c r="B231" s="547"/>
      <c r="C231" s="547"/>
      <c r="D231" s="547"/>
      <c r="E231" s="547"/>
      <c r="F231" s="547"/>
      <c r="G231" s="547"/>
      <c r="H231" s="547"/>
      <c r="I231" s="547"/>
      <c r="J231" s="547"/>
      <c r="K231" s="547"/>
      <c r="L231" s="547"/>
    </row>
    <row r="232" spans="1:12" ht="14.25">
      <c r="A232" s="547"/>
      <c r="B232" s="547"/>
      <c r="C232" s="547"/>
      <c r="D232" s="547"/>
      <c r="E232" s="547"/>
      <c r="F232" s="547"/>
      <c r="G232" s="547"/>
      <c r="H232" s="547"/>
      <c r="I232" s="547"/>
      <c r="J232" s="547"/>
      <c r="K232" s="547"/>
      <c r="L232" s="547"/>
    </row>
    <row r="233" spans="1:12" ht="14.25">
      <c r="A233" s="547"/>
      <c r="B233" s="547"/>
      <c r="C233" s="547"/>
      <c r="D233" s="547"/>
      <c r="E233" s="547"/>
      <c r="F233" s="547"/>
      <c r="G233" s="547"/>
      <c r="H233" s="547"/>
      <c r="I233" s="547"/>
      <c r="J233" s="547"/>
      <c r="K233" s="547"/>
      <c r="L233" s="547"/>
    </row>
    <row r="234" spans="1:12" ht="14.25">
      <c r="A234" s="547"/>
      <c r="B234" s="547"/>
      <c r="C234" s="547"/>
      <c r="D234" s="547"/>
      <c r="E234" s="547"/>
      <c r="F234" s="547"/>
      <c r="G234" s="547"/>
      <c r="H234" s="547"/>
      <c r="I234" s="547"/>
      <c r="J234" s="547"/>
      <c r="K234" s="547"/>
      <c r="L234" s="547"/>
    </row>
    <row r="235" spans="1:12" ht="14.25">
      <c r="A235" s="547"/>
      <c r="B235" s="547"/>
      <c r="C235" s="547"/>
      <c r="D235" s="547"/>
      <c r="E235" s="547"/>
      <c r="F235" s="547"/>
      <c r="G235" s="547"/>
      <c r="H235" s="547"/>
      <c r="I235" s="547"/>
      <c r="J235" s="547"/>
      <c r="K235" s="547"/>
      <c r="L235" s="547"/>
    </row>
    <row r="236" spans="1:12" ht="14.25">
      <c r="A236" s="547"/>
      <c r="B236" s="547"/>
      <c r="C236" s="547"/>
      <c r="D236" s="547"/>
      <c r="E236" s="547"/>
      <c r="F236" s="547"/>
      <c r="G236" s="547"/>
      <c r="H236" s="547"/>
      <c r="I236" s="547"/>
      <c r="J236" s="547"/>
      <c r="K236" s="547"/>
      <c r="L236" s="547"/>
    </row>
    <row r="237" spans="1:12" ht="14.25">
      <c r="A237" s="547"/>
      <c r="B237" s="547"/>
      <c r="C237" s="547"/>
      <c r="D237" s="547"/>
      <c r="E237" s="547"/>
      <c r="F237" s="547"/>
      <c r="G237" s="547"/>
      <c r="H237" s="547"/>
      <c r="I237" s="547"/>
      <c r="J237" s="547"/>
      <c r="K237" s="547"/>
      <c r="L237" s="547"/>
    </row>
    <row r="238" spans="1:12" ht="14.25">
      <c r="A238" s="547"/>
      <c r="B238" s="547"/>
      <c r="C238" s="547"/>
      <c r="D238" s="547"/>
      <c r="E238" s="547"/>
      <c r="F238" s="547"/>
      <c r="G238" s="547"/>
      <c r="H238" s="547"/>
      <c r="I238" s="547"/>
      <c r="J238" s="547"/>
      <c r="K238" s="547"/>
      <c r="L238" s="547"/>
    </row>
    <row r="239" spans="1:12" ht="14.25">
      <c r="A239" s="547"/>
      <c r="B239" s="547"/>
      <c r="C239" s="547"/>
      <c r="D239" s="547"/>
      <c r="E239" s="547"/>
      <c r="F239" s="547"/>
      <c r="G239" s="547"/>
      <c r="H239" s="547"/>
      <c r="I239" s="547"/>
      <c r="J239" s="547"/>
      <c r="K239" s="547"/>
      <c r="L239" s="547"/>
    </row>
    <row r="240" spans="1:12" ht="14.25">
      <c r="A240" s="547"/>
      <c r="B240" s="547"/>
      <c r="C240" s="547"/>
      <c r="D240" s="547"/>
      <c r="E240" s="547"/>
      <c r="F240" s="547"/>
      <c r="G240" s="547"/>
      <c r="H240" s="547"/>
      <c r="I240" s="547"/>
      <c r="J240" s="547"/>
      <c r="K240" s="547"/>
      <c r="L240" s="547"/>
    </row>
    <row r="241" spans="1:12" ht="14.25">
      <c r="A241" s="547"/>
      <c r="B241" s="547"/>
      <c r="C241" s="547"/>
      <c r="D241" s="547"/>
      <c r="E241" s="547"/>
      <c r="F241" s="547"/>
      <c r="G241" s="547"/>
      <c r="H241" s="547"/>
      <c r="I241" s="547"/>
      <c r="J241" s="547"/>
      <c r="K241" s="547"/>
      <c r="L241" s="547"/>
    </row>
    <row r="242" spans="1:12" ht="14.25">
      <c r="A242" s="547"/>
      <c r="B242" s="547"/>
      <c r="C242" s="547"/>
      <c r="D242" s="547"/>
      <c r="E242" s="547"/>
      <c r="F242" s="547"/>
      <c r="G242" s="547"/>
      <c r="H242" s="547"/>
      <c r="I242" s="547"/>
      <c r="J242" s="547"/>
      <c r="K242" s="547"/>
      <c r="L242" s="547"/>
    </row>
    <row r="243" spans="1:12" ht="14.25">
      <c r="A243" s="547"/>
      <c r="B243" s="547"/>
      <c r="C243" s="547"/>
      <c r="D243" s="547"/>
      <c r="E243" s="547"/>
      <c r="F243" s="547"/>
      <c r="G243" s="547"/>
      <c r="H243" s="547"/>
      <c r="I243" s="547"/>
      <c r="J243" s="547"/>
      <c r="K243" s="547"/>
      <c r="L243" s="547"/>
    </row>
    <row r="244" spans="1:12" ht="14.25">
      <c r="A244" s="547"/>
      <c r="B244" s="547"/>
      <c r="C244" s="547"/>
      <c r="D244" s="547"/>
      <c r="E244" s="547"/>
      <c r="F244" s="547"/>
      <c r="G244" s="547"/>
      <c r="H244" s="547"/>
      <c r="I244" s="547"/>
      <c r="J244" s="547"/>
      <c r="K244" s="547"/>
      <c r="L244" s="547"/>
    </row>
    <row r="245" spans="1:12" ht="14.25">
      <c r="A245" s="547"/>
      <c r="B245" s="547"/>
      <c r="C245" s="547"/>
      <c r="D245" s="547"/>
      <c r="E245" s="547"/>
      <c r="F245" s="547"/>
      <c r="G245" s="547"/>
      <c r="H245" s="547"/>
      <c r="I245" s="547"/>
      <c r="J245" s="547"/>
      <c r="K245" s="547"/>
      <c r="L245" s="547"/>
    </row>
    <row r="246" spans="1:12" ht="14.25">
      <c r="A246" s="547"/>
      <c r="B246" s="547"/>
      <c r="C246" s="547"/>
      <c r="D246" s="547"/>
      <c r="E246" s="547"/>
      <c r="F246" s="547"/>
      <c r="G246" s="547"/>
      <c r="H246" s="547"/>
      <c r="I246" s="547"/>
      <c r="J246" s="547"/>
      <c r="K246" s="547"/>
      <c r="L246" s="547"/>
    </row>
    <row r="247" spans="1:12" ht="14.25">
      <c r="A247" s="547"/>
      <c r="B247" s="547"/>
      <c r="C247" s="547"/>
      <c r="D247" s="547"/>
      <c r="E247" s="547"/>
      <c r="F247" s="547"/>
      <c r="G247" s="547"/>
      <c r="H247" s="547"/>
      <c r="I247" s="547"/>
      <c r="J247" s="547"/>
      <c r="K247" s="547"/>
      <c r="L247" s="547"/>
    </row>
    <row r="248" spans="1:12" ht="14.25">
      <c r="A248" s="547"/>
      <c r="B248" s="547"/>
      <c r="C248" s="547"/>
      <c r="D248" s="547"/>
      <c r="E248" s="547"/>
      <c r="F248" s="547"/>
      <c r="G248" s="547"/>
      <c r="H248" s="547"/>
      <c r="I248" s="547"/>
      <c r="J248" s="547"/>
      <c r="K248" s="547"/>
      <c r="L248" s="547"/>
    </row>
    <row r="249" spans="1:12" ht="14.25">
      <c r="A249" s="547"/>
      <c r="B249" s="547"/>
      <c r="C249" s="547"/>
      <c r="D249" s="547"/>
      <c r="E249" s="547"/>
      <c r="F249" s="547"/>
      <c r="G249" s="547"/>
      <c r="H249" s="547"/>
      <c r="I249" s="547"/>
      <c r="J249" s="547"/>
      <c r="K249" s="547"/>
      <c r="L249" s="547"/>
    </row>
    <row r="250" spans="1:12" ht="14.25">
      <c r="A250" s="547"/>
      <c r="B250" s="547"/>
      <c r="C250" s="547"/>
      <c r="D250" s="547"/>
      <c r="E250" s="547"/>
      <c r="F250" s="547"/>
      <c r="G250" s="547"/>
      <c r="H250" s="547"/>
      <c r="I250" s="547"/>
      <c r="J250" s="547"/>
      <c r="K250" s="547"/>
      <c r="L250" s="547"/>
    </row>
    <row r="251" spans="1:12" ht="14.25">
      <c r="A251" s="547"/>
      <c r="B251" s="547"/>
      <c r="C251" s="547"/>
      <c r="D251" s="547"/>
      <c r="E251" s="547"/>
      <c r="F251" s="547"/>
      <c r="G251" s="547"/>
      <c r="H251" s="547"/>
      <c r="I251" s="547"/>
      <c r="J251" s="547"/>
      <c r="K251" s="547"/>
      <c r="L251" s="547"/>
    </row>
    <row r="252" spans="1:12" ht="14.25">
      <c r="A252" s="547"/>
      <c r="B252" s="547"/>
      <c r="C252" s="547"/>
      <c r="D252" s="547"/>
      <c r="E252" s="547"/>
      <c r="F252" s="547"/>
      <c r="G252" s="547"/>
      <c r="H252" s="547"/>
      <c r="I252" s="547"/>
      <c r="J252" s="547"/>
      <c r="K252" s="547"/>
      <c r="L252" s="547"/>
    </row>
    <row r="253" spans="1:12" ht="14.25">
      <c r="A253" s="547"/>
      <c r="B253" s="547"/>
      <c r="C253" s="547"/>
      <c r="D253" s="547"/>
      <c r="E253" s="547"/>
      <c r="F253" s="547"/>
      <c r="G253" s="547"/>
      <c r="H253" s="547"/>
      <c r="I253" s="547"/>
      <c r="J253" s="547"/>
      <c r="K253" s="547"/>
      <c r="L253" s="547"/>
    </row>
    <row r="254" spans="1:12" ht="14.25">
      <c r="A254" s="547"/>
      <c r="B254" s="547"/>
      <c r="C254" s="547"/>
      <c r="D254" s="547"/>
      <c r="E254" s="547"/>
      <c r="F254" s="547"/>
      <c r="G254" s="547"/>
      <c r="H254" s="547"/>
      <c r="I254" s="547"/>
      <c r="J254" s="547"/>
      <c r="K254" s="547"/>
      <c r="L254" s="547"/>
    </row>
    <row r="255" spans="1:12" ht="14.25">
      <c r="A255" s="547"/>
      <c r="B255" s="547"/>
      <c r="C255" s="547"/>
      <c r="D255" s="547"/>
      <c r="E255" s="547"/>
      <c r="F255" s="547"/>
      <c r="G255" s="547"/>
      <c r="H255" s="547"/>
      <c r="I255" s="547"/>
      <c r="J255" s="547"/>
      <c r="K255" s="547"/>
      <c r="L255" s="547"/>
    </row>
    <row r="256" spans="1:12" ht="14.25">
      <c r="A256" s="547"/>
      <c r="B256" s="547"/>
      <c r="C256" s="547"/>
      <c r="D256" s="547"/>
      <c r="E256" s="547"/>
      <c r="F256" s="547"/>
      <c r="G256" s="547"/>
      <c r="H256" s="547"/>
      <c r="I256" s="547"/>
      <c r="J256" s="547"/>
      <c r="K256" s="547"/>
      <c r="L256" s="547"/>
    </row>
    <row r="257" spans="1:12" ht="14.25">
      <c r="A257" s="547"/>
      <c r="B257" s="547"/>
      <c r="C257" s="547"/>
      <c r="D257" s="547"/>
      <c r="E257" s="547"/>
      <c r="F257" s="547"/>
      <c r="G257" s="547"/>
      <c r="H257" s="547"/>
      <c r="I257" s="547"/>
      <c r="J257" s="547"/>
      <c r="K257" s="547"/>
      <c r="L257" s="547"/>
    </row>
    <row r="258" spans="1:12" ht="14.25">
      <c r="A258" s="547"/>
      <c r="B258" s="547"/>
      <c r="C258" s="547"/>
      <c r="D258" s="547"/>
      <c r="E258" s="547"/>
      <c r="F258" s="547"/>
      <c r="G258" s="547"/>
      <c r="H258" s="547"/>
      <c r="I258" s="547"/>
      <c r="J258" s="547"/>
      <c r="K258" s="547"/>
      <c r="L258" s="547"/>
    </row>
    <row r="259" spans="1:12" ht="14.25">
      <c r="A259" s="547"/>
      <c r="B259" s="547"/>
      <c r="C259" s="547"/>
      <c r="D259" s="547"/>
      <c r="E259" s="547"/>
      <c r="F259" s="547"/>
      <c r="G259" s="547"/>
      <c r="H259" s="547"/>
      <c r="I259" s="547"/>
      <c r="J259" s="547"/>
      <c r="K259" s="547"/>
      <c r="L259" s="547"/>
    </row>
    <row r="260" spans="1:12" ht="14.25">
      <c r="A260" s="547"/>
      <c r="B260" s="547"/>
      <c r="C260" s="547"/>
      <c r="D260" s="547"/>
      <c r="E260" s="547"/>
      <c r="F260" s="547"/>
      <c r="G260" s="547"/>
      <c r="H260" s="547"/>
      <c r="I260" s="547"/>
      <c r="J260" s="547"/>
      <c r="K260" s="547"/>
      <c r="L260" s="547"/>
    </row>
    <row r="261" spans="1:12" ht="14.25">
      <c r="A261" s="547"/>
      <c r="B261" s="547"/>
      <c r="C261" s="547"/>
      <c r="D261" s="547"/>
      <c r="E261" s="547"/>
      <c r="F261" s="547"/>
      <c r="G261" s="547"/>
      <c r="H261" s="547"/>
      <c r="I261" s="547"/>
      <c r="J261" s="547"/>
      <c r="K261" s="547"/>
      <c r="L261" s="547"/>
    </row>
    <row r="262" spans="1:12" ht="14.25">
      <c r="A262" s="547"/>
      <c r="B262" s="547"/>
      <c r="C262" s="547"/>
      <c r="D262" s="547"/>
      <c r="E262" s="547"/>
      <c r="F262" s="547"/>
      <c r="G262" s="547"/>
      <c r="H262" s="547"/>
      <c r="I262" s="547"/>
      <c r="J262" s="547"/>
      <c r="K262" s="547"/>
      <c r="L262" s="547"/>
    </row>
    <row r="263" spans="1:12" ht="14.25">
      <c r="A263" s="547"/>
      <c r="B263" s="547"/>
      <c r="C263" s="547"/>
      <c r="D263" s="547"/>
      <c r="E263" s="547"/>
      <c r="F263" s="547"/>
      <c r="G263" s="547"/>
      <c r="H263" s="547"/>
      <c r="I263" s="547"/>
      <c r="J263" s="547"/>
      <c r="K263" s="547"/>
      <c r="L263" s="547"/>
    </row>
    <row r="264" spans="1:12" ht="14.25">
      <c r="A264" s="547"/>
      <c r="B264" s="547"/>
      <c r="C264" s="547"/>
      <c r="D264" s="547"/>
      <c r="E264" s="547"/>
      <c r="F264" s="547"/>
      <c r="G264" s="547"/>
      <c r="H264" s="547"/>
      <c r="I264" s="547"/>
      <c r="J264" s="547"/>
      <c r="K264" s="547"/>
      <c r="L264" s="547"/>
    </row>
    <row r="265" spans="1:12" ht="14.25">
      <c r="A265" s="547"/>
      <c r="B265" s="547"/>
      <c r="C265" s="547"/>
      <c r="D265" s="547"/>
      <c r="E265" s="547"/>
      <c r="F265" s="547"/>
      <c r="G265" s="547"/>
      <c r="H265" s="547"/>
      <c r="I265" s="547"/>
      <c r="J265" s="547"/>
      <c r="K265" s="547"/>
      <c r="L265" s="547"/>
    </row>
    <row r="266" spans="1:12" ht="14.25">
      <c r="A266" s="547"/>
      <c r="B266" s="547"/>
      <c r="C266" s="547"/>
      <c r="D266" s="547"/>
      <c r="E266" s="547"/>
      <c r="F266" s="547"/>
      <c r="G266" s="547"/>
      <c r="H266" s="547"/>
      <c r="I266" s="547"/>
      <c r="J266" s="547"/>
      <c r="K266" s="547"/>
      <c r="L266" s="547"/>
    </row>
    <row r="267" spans="1:12" ht="14.25">
      <c r="A267" s="547"/>
      <c r="B267" s="547"/>
      <c r="C267" s="547"/>
      <c r="D267" s="547"/>
      <c r="E267" s="547"/>
      <c r="F267" s="547"/>
      <c r="G267" s="547"/>
      <c r="H267" s="547"/>
      <c r="I267" s="547"/>
      <c r="J267" s="547"/>
      <c r="K267" s="547"/>
      <c r="L267" s="547"/>
    </row>
    <row r="268" spans="1:12" ht="14.25">
      <c r="A268" s="547"/>
      <c r="B268" s="547"/>
      <c r="C268" s="547"/>
      <c r="D268" s="547"/>
      <c r="E268" s="547"/>
      <c r="F268" s="547"/>
      <c r="G268" s="547"/>
      <c r="H268" s="547"/>
      <c r="I268" s="547"/>
      <c r="J268" s="547"/>
      <c r="K268" s="547"/>
      <c r="L268" s="547"/>
    </row>
    <row r="269" spans="1:12" ht="14.25">
      <c r="A269" s="547"/>
      <c r="B269" s="547"/>
      <c r="C269" s="547"/>
      <c r="D269" s="547"/>
      <c r="E269" s="547"/>
      <c r="F269" s="547"/>
      <c r="G269" s="547"/>
      <c r="H269" s="547"/>
      <c r="I269" s="547"/>
      <c r="J269" s="547"/>
      <c r="K269" s="547"/>
      <c r="L269" s="547"/>
    </row>
    <row r="270" spans="1:12" ht="14.25">
      <c r="A270" s="547"/>
      <c r="B270" s="547"/>
      <c r="C270" s="547"/>
      <c r="D270" s="547"/>
      <c r="E270" s="547"/>
      <c r="F270" s="547"/>
      <c r="G270" s="547"/>
      <c r="H270" s="547"/>
      <c r="I270" s="547"/>
      <c r="J270" s="547"/>
      <c r="K270" s="547"/>
      <c r="L270" s="547"/>
    </row>
    <row r="271" spans="1:12" ht="14.25">
      <c r="A271" s="547"/>
      <c r="B271" s="547"/>
      <c r="C271" s="547"/>
      <c r="D271" s="547"/>
      <c r="E271" s="547"/>
      <c r="F271" s="547"/>
      <c r="G271" s="547"/>
      <c r="H271" s="547"/>
      <c r="I271" s="547"/>
      <c r="J271" s="547"/>
      <c r="K271" s="547"/>
      <c r="L271" s="547"/>
    </row>
    <row r="272" spans="1:12" ht="14.25">
      <c r="A272" s="547"/>
      <c r="B272" s="547"/>
      <c r="C272" s="547"/>
      <c r="D272" s="547"/>
      <c r="E272" s="547"/>
      <c r="F272" s="547"/>
      <c r="G272" s="547"/>
      <c r="H272" s="547"/>
      <c r="I272" s="547"/>
      <c r="J272" s="547"/>
      <c r="K272" s="547"/>
      <c r="L272" s="547"/>
    </row>
    <row r="273" spans="1:12" ht="14.25">
      <c r="A273" s="547"/>
      <c r="B273" s="547"/>
      <c r="C273" s="547"/>
      <c r="D273" s="547"/>
      <c r="E273" s="547"/>
      <c r="F273" s="547"/>
      <c r="G273" s="547"/>
      <c r="H273" s="547"/>
      <c r="I273" s="547"/>
      <c r="J273" s="547"/>
      <c r="K273" s="547"/>
      <c r="L273" s="547"/>
    </row>
    <row r="274" spans="1:12" ht="14.25">
      <c r="A274" s="547"/>
      <c r="B274" s="547"/>
      <c r="C274" s="547"/>
      <c r="D274" s="547"/>
      <c r="E274" s="547"/>
      <c r="F274" s="547"/>
      <c r="G274" s="547"/>
      <c r="H274" s="547"/>
      <c r="I274" s="547"/>
      <c r="J274" s="547"/>
      <c r="K274" s="547"/>
      <c r="L274" s="547"/>
    </row>
    <row r="275" spans="1:12" ht="14.25">
      <c r="A275" s="547"/>
      <c r="B275" s="547"/>
      <c r="C275" s="547"/>
      <c r="D275" s="547"/>
      <c r="E275" s="547"/>
      <c r="F275" s="547"/>
      <c r="G275" s="547"/>
      <c r="H275" s="547"/>
      <c r="I275" s="547"/>
      <c r="J275" s="547"/>
      <c r="K275" s="547"/>
      <c r="L275" s="547"/>
    </row>
    <row r="276" spans="1:12" ht="14.25">
      <c r="A276" s="547"/>
      <c r="B276" s="547"/>
      <c r="C276" s="547"/>
      <c r="D276" s="547"/>
      <c r="E276" s="547"/>
      <c r="F276" s="547"/>
      <c r="G276" s="547"/>
      <c r="H276" s="547"/>
      <c r="I276" s="547"/>
      <c r="J276" s="547"/>
      <c r="K276" s="547"/>
      <c r="L276" s="547"/>
    </row>
    <row r="277" spans="1:12" ht="14.25">
      <c r="A277" s="547"/>
      <c r="B277" s="547"/>
      <c r="C277" s="547"/>
      <c r="D277" s="547"/>
      <c r="E277" s="547"/>
      <c r="F277" s="547"/>
      <c r="G277" s="547"/>
      <c r="H277" s="547"/>
      <c r="I277" s="547"/>
      <c r="J277" s="547"/>
      <c r="K277" s="547"/>
      <c r="L277" s="547"/>
    </row>
    <row r="278" spans="1:12" ht="14.25">
      <c r="A278" s="547"/>
      <c r="B278" s="547"/>
      <c r="C278" s="547"/>
      <c r="D278" s="547"/>
      <c r="E278" s="547"/>
      <c r="F278" s="547"/>
      <c r="G278" s="547"/>
      <c r="H278" s="547"/>
      <c r="I278" s="547"/>
      <c r="J278" s="547"/>
      <c r="K278" s="547"/>
      <c r="L278" s="547"/>
    </row>
    <row r="279" spans="1:12" ht="14.25">
      <c r="A279" s="547"/>
      <c r="B279" s="547"/>
      <c r="C279" s="547"/>
      <c r="D279" s="547"/>
      <c r="E279" s="547"/>
      <c r="F279" s="547"/>
      <c r="G279" s="547"/>
      <c r="H279" s="547"/>
      <c r="I279" s="547"/>
      <c r="J279" s="547"/>
      <c r="K279" s="547"/>
      <c r="L279" s="547"/>
    </row>
    <row r="280" spans="1:12" ht="14.25">
      <c r="A280" s="547"/>
      <c r="B280" s="547"/>
      <c r="C280" s="547"/>
      <c r="D280" s="547"/>
      <c r="E280" s="547"/>
      <c r="F280" s="547"/>
      <c r="G280" s="547"/>
      <c r="H280" s="547"/>
      <c r="I280" s="547"/>
      <c r="J280" s="547"/>
      <c r="K280" s="547"/>
      <c r="L280" s="547"/>
    </row>
    <row r="281" spans="1:12" ht="14.25">
      <c r="A281" s="547"/>
      <c r="B281" s="547"/>
      <c r="C281" s="547"/>
      <c r="D281" s="547"/>
      <c r="E281" s="547"/>
      <c r="F281" s="547"/>
      <c r="G281" s="547"/>
      <c r="H281" s="547"/>
      <c r="I281" s="547"/>
      <c r="J281" s="547"/>
      <c r="K281" s="547"/>
      <c r="L281" s="547"/>
    </row>
    <row r="282" spans="1:12" ht="14.25">
      <c r="A282" s="547"/>
      <c r="B282" s="547"/>
      <c r="C282" s="547"/>
      <c r="D282" s="547"/>
      <c r="E282" s="547"/>
      <c r="F282" s="547"/>
      <c r="G282" s="547"/>
      <c r="H282" s="547"/>
      <c r="I282" s="547"/>
      <c r="J282" s="547"/>
      <c r="K282" s="547"/>
      <c r="L282" s="547"/>
    </row>
    <row r="283" spans="1:12" ht="14.25">
      <c r="A283" s="547"/>
      <c r="B283" s="547"/>
      <c r="C283" s="547"/>
      <c r="D283" s="547"/>
      <c r="E283" s="547"/>
      <c r="F283" s="547"/>
      <c r="G283" s="547"/>
      <c r="H283" s="547"/>
      <c r="I283" s="547"/>
      <c r="J283" s="547"/>
      <c r="K283" s="547"/>
      <c r="L283" s="547"/>
    </row>
    <row r="284" spans="1:12" ht="14.25">
      <c r="A284" s="547"/>
      <c r="B284" s="547"/>
      <c r="C284" s="547"/>
      <c r="D284" s="547"/>
      <c r="E284" s="547"/>
      <c r="F284" s="547"/>
      <c r="G284" s="547"/>
      <c r="H284" s="547"/>
      <c r="I284" s="547"/>
      <c r="J284" s="547"/>
      <c r="K284" s="547"/>
      <c r="L284" s="547"/>
    </row>
    <row r="285" spans="1:12" ht="14.25">
      <c r="A285" s="547"/>
      <c r="B285" s="547"/>
      <c r="C285" s="547"/>
      <c r="D285" s="547"/>
      <c r="E285" s="547"/>
      <c r="F285" s="547"/>
      <c r="G285" s="547"/>
      <c r="H285" s="547"/>
      <c r="I285" s="547"/>
      <c r="J285" s="547"/>
      <c r="K285" s="547"/>
      <c r="L285" s="547"/>
    </row>
    <row r="286" spans="1:12" ht="14.25">
      <c r="A286" s="547"/>
      <c r="B286" s="547"/>
      <c r="C286" s="547"/>
      <c r="D286" s="547"/>
      <c r="E286" s="547"/>
      <c r="F286" s="547"/>
      <c r="G286" s="547"/>
      <c r="H286" s="547"/>
      <c r="I286" s="547"/>
      <c r="J286" s="547"/>
      <c r="K286" s="547"/>
      <c r="L286" s="547"/>
    </row>
    <row r="287" spans="1:12" ht="14.25">
      <c r="A287" s="547"/>
      <c r="B287" s="547"/>
      <c r="C287" s="547"/>
      <c r="D287" s="547"/>
      <c r="E287" s="547"/>
      <c r="F287" s="547"/>
      <c r="G287" s="547"/>
      <c r="H287" s="547"/>
      <c r="I287" s="547"/>
      <c r="J287" s="547"/>
      <c r="K287" s="547"/>
      <c r="L287" s="547"/>
    </row>
    <row r="288" spans="1:12" ht="14.25">
      <c r="A288" s="547"/>
      <c r="B288" s="547"/>
      <c r="C288" s="547"/>
      <c r="D288" s="547"/>
      <c r="E288" s="547"/>
      <c r="F288" s="547"/>
      <c r="G288" s="547"/>
      <c r="H288" s="547"/>
      <c r="I288" s="547"/>
      <c r="J288" s="547"/>
      <c r="K288" s="547"/>
      <c r="L288" s="547"/>
    </row>
    <row r="289" spans="1:12" ht="14.25">
      <c r="A289" s="547"/>
      <c r="B289" s="547"/>
      <c r="C289" s="547"/>
      <c r="D289" s="547"/>
      <c r="E289" s="547"/>
      <c r="F289" s="547"/>
      <c r="G289" s="547"/>
      <c r="H289" s="547"/>
      <c r="I289" s="547"/>
      <c r="J289" s="547"/>
      <c r="K289" s="547"/>
      <c r="L289" s="547"/>
    </row>
    <row r="290" spans="1:12" ht="14.25">
      <c r="A290" s="547"/>
      <c r="B290" s="547"/>
      <c r="C290" s="547"/>
      <c r="D290" s="547"/>
      <c r="E290" s="547"/>
      <c r="F290" s="547"/>
      <c r="G290" s="547"/>
      <c r="H290" s="547"/>
      <c r="I290" s="547"/>
      <c r="J290" s="547"/>
      <c r="K290" s="547"/>
      <c r="L290" s="547"/>
    </row>
    <row r="291" spans="1:12" ht="14.25">
      <c r="A291" s="547"/>
      <c r="B291" s="547"/>
      <c r="C291" s="547"/>
      <c r="D291" s="547"/>
      <c r="E291" s="547"/>
      <c r="F291" s="547"/>
      <c r="G291" s="547"/>
      <c r="H291" s="547"/>
      <c r="I291" s="547"/>
      <c r="J291" s="547"/>
      <c r="K291" s="547"/>
      <c r="L291" s="547"/>
    </row>
    <row r="292" spans="1:12" ht="14.25">
      <c r="A292" s="547"/>
      <c r="B292" s="547"/>
      <c r="C292" s="547"/>
      <c r="D292" s="547"/>
      <c r="E292" s="547"/>
      <c r="F292" s="547"/>
      <c r="G292" s="547"/>
      <c r="H292" s="547"/>
      <c r="I292" s="547"/>
      <c r="J292" s="547"/>
      <c r="K292" s="547"/>
      <c r="L292" s="547"/>
    </row>
    <row r="293" spans="1:12" ht="14.25">
      <c r="A293" s="547"/>
      <c r="B293" s="547"/>
      <c r="C293" s="547"/>
      <c r="D293" s="547"/>
      <c r="E293" s="547"/>
      <c r="F293" s="547"/>
      <c r="G293" s="547"/>
      <c r="H293" s="547"/>
      <c r="I293" s="547"/>
      <c r="J293" s="547"/>
      <c r="K293" s="547"/>
      <c r="L293" s="547"/>
    </row>
    <row r="294" spans="1:12" ht="14.25">
      <c r="A294" s="547"/>
      <c r="B294" s="547"/>
      <c r="C294" s="547"/>
      <c r="D294" s="547"/>
      <c r="E294" s="547"/>
      <c r="F294" s="547"/>
      <c r="G294" s="547"/>
      <c r="H294" s="547"/>
      <c r="I294" s="547"/>
      <c r="J294" s="547"/>
      <c r="K294" s="547"/>
      <c r="L294" s="547"/>
    </row>
    <row r="295" spans="1:12" ht="14.25">
      <c r="A295" s="547"/>
      <c r="B295" s="547"/>
      <c r="C295" s="547"/>
      <c r="D295" s="547"/>
      <c r="E295" s="547"/>
      <c r="F295" s="547"/>
      <c r="G295" s="547"/>
      <c r="H295" s="547"/>
      <c r="I295" s="547"/>
      <c r="J295" s="547"/>
      <c r="K295" s="547"/>
      <c r="L295" s="547"/>
    </row>
    <row r="296" spans="1:12" ht="14.25">
      <c r="A296" s="547"/>
      <c r="B296" s="547"/>
      <c r="C296" s="547"/>
      <c r="D296" s="547"/>
      <c r="E296" s="547"/>
      <c r="F296" s="547"/>
      <c r="G296" s="547"/>
      <c r="H296" s="547"/>
      <c r="I296" s="547"/>
      <c r="J296" s="547"/>
      <c r="K296" s="547"/>
      <c r="L296" s="547"/>
    </row>
    <row r="297" spans="1:12" ht="14.25">
      <c r="A297" s="547"/>
      <c r="B297" s="547"/>
      <c r="C297" s="547"/>
      <c r="D297" s="547"/>
      <c r="E297" s="547"/>
      <c r="F297" s="547"/>
      <c r="G297" s="547"/>
      <c r="H297" s="547"/>
      <c r="I297" s="547"/>
      <c r="J297" s="547"/>
      <c r="K297" s="547"/>
      <c r="L297" s="547"/>
    </row>
    <row r="298" spans="1:12" ht="14.25">
      <c r="A298" s="547"/>
      <c r="B298" s="547"/>
      <c r="C298" s="547"/>
      <c r="D298" s="547"/>
      <c r="E298" s="547"/>
      <c r="F298" s="547"/>
      <c r="G298" s="547"/>
      <c r="H298" s="547"/>
      <c r="I298" s="547"/>
      <c r="J298" s="547"/>
      <c r="K298" s="547"/>
      <c r="L298" s="547"/>
    </row>
    <row r="299" spans="1:12" ht="14.25">
      <c r="A299" s="547"/>
      <c r="B299" s="547"/>
      <c r="C299" s="547"/>
      <c r="D299" s="547"/>
      <c r="E299" s="547"/>
      <c r="F299" s="547"/>
      <c r="G299" s="547"/>
      <c r="H299" s="547"/>
      <c r="I299" s="547"/>
      <c r="J299" s="547"/>
      <c r="K299" s="547"/>
      <c r="L299" s="547"/>
    </row>
    <row r="300" spans="1:12" ht="14.25">
      <c r="A300" s="547"/>
      <c r="B300" s="547"/>
      <c r="C300" s="547"/>
      <c r="D300" s="547"/>
      <c r="E300" s="547"/>
      <c r="F300" s="547"/>
      <c r="G300" s="547"/>
      <c r="H300" s="547"/>
      <c r="I300" s="547"/>
      <c r="J300" s="547"/>
      <c r="K300" s="547"/>
      <c r="L300" s="547"/>
    </row>
    <row r="301" spans="1:12" ht="14.25">
      <c r="A301" s="547"/>
      <c r="B301" s="547"/>
      <c r="C301" s="547"/>
      <c r="D301" s="547"/>
      <c r="E301" s="547"/>
      <c r="F301" s="547"/>
      <c r="G301" s="547"/>
      <c r="H301" s="547"/>
      <c r="I301" s="547"/>
      <c r="J301" s="547"/>
      <c r="K301" s="547"/>
      <c r="L301" s="547"/>
    </row>
    <row r="302" spans="1:12" ht="14.25">
      <c r="A302" s="547"/>
      <c r="B302" s="547"/>
      <c r="C302" s="547"/>
      <c r="D302" s="547"/>
      <c r="E302" s="547"/>
      <c r="F302" s="547"/>
      <c r="G302" s="547"/>
      <c r="H302" s="547"/>
      <c r="I302" s="547"/>
      <c r="J302" s="547"/>
      <c r="K302" s="547"/>
      <c r="L302" s="547"/>
    </row>
    <row r="303" spans="1:12" ht="14.25">
      <c r="A303" s="547"/>
      <c r="B303" s="547"/>
      <c r="C303" s="547"/>
      <c r="D303" s="547"/>
      <c r="E303" s="547"/>
      <c r="F303" s="547"/>
      <c r="G303" s="547"/>
      <c r="H303" s="547"/>
      <c r="I303" s="547"/>
      <c r="J303" s="547"/>
      <c r="K303" s="547"/>
      <c r="L303" s="547"/>
    </row>
    <row r="304" spans="1:12" ht="14.25">
      <c r="A304" s="547"/>
      <c r="B304" s="547"/>
      <c r="C304" s="547"/>
      <c r="D304" s="547"/>
      <c r="E304" s="547"/>
      <c r="F304" s="547"/>
      <c r="G304" s="547"/>
      <c r="H304" s="547"/>
      <c r="I304" s="547"/>
      <c r="J304" s="547"/>
      <c r="K304" s="547"/>
      <c r="L304" s="547"/>
    </row>
    <row r="305" spans="1:12" ht="14.25">
      <c r="A305" s="547"/>
      <c r="B305" s="547"/>
      <c r="C305" s="547"/>
      <c r="D305" s="547"/>
      <c r="E305" s="547"/>
      <c r="F305" s="547"/>
      <c r="G305" s="547"/>
      <c r="H305" s="547"/>
      <c r="I305" s="547"/>
      <c r="J305" s="547"/>
      <c r="K305" s="547"/>
      <c r="L305" s="547"/>
    </row>
    <row r="306" spans="1:12" ht="14.25">
      <c r="A306" s="547"/>
      <c r="B306" s="547"/>
      <c r="C306" s="547"/>
      <c r="D306" s="547"/>
      <c r="E306" s="547"/>
      <c r="F306" s="547"/>
      <c r="G306" s="547"/>
      <c r="H306" s="547"/>
      <c r="I306" s="547"/>
      <c r="J306" s="547"/>
      <c r="K306" s="547"/>
      <c r="L306" s="547"/>
    </row>
    <row r="307" spans="1:12" ht="14.25">
      <c r="A307" s="547"/>
      <c r="B307" s="547"/>
      <c r="C307" s="547"/>
      <c r="D307" s="547"/>
      <c r="E307" s="547"/>
      <c r="F307" s="547"/>
      <c r="G307" s="547"/>
      <c r="H307" s="547"/>
      <c r="I307" s="547"/>
      <c r="J307" s="547"/>
      <c r="K307" s="547"/>
      <c r="L307" s="547"/>
    </row>
    <row r="308" spans="1:12" ht="14.25">
      <c r="A308" s="547"/>
      <c r="B308" s="547"/>
      <c r="C308" s="547"/>
      <c r="D308" s="547"/>
      <c r="E308" s="547"/>
      <c r="F308" s="547"/>
      <c r="G308" s="547"/>
      <c r="H308" s="547"/>
      <c r="I308" s="547"/>
      <c r="J308" s="547"/>
      <c r="K308" s="547"/>
      <c r="L308" s="547"/>
    </row>
    <row r="309" spans="1:12" ht="14.25">
      <c r="A309" s="547"/>
      <c r="B309" s="547"/>
      <c r="C309" s="547"/>
      <c r="D309" s="547"/>
      <c r="E309" s="547"/>
      <c r="F309" s="547"/>
      <c r="G309" s="547"/>
      <c r="H309" s="547"/>
      <c r="I309" s="547"/>
      <c r="J309" s="547"/>
      <c r="K309" s="547"/>
      <c r="L309" s="547"/>
    </row>
    <row r="310" spans="1:12" ht="14.25">
      <c r="A310" s="547"/>
      <c r="B310" s="547"/>
      <c r="C310" s="547"/>
      <c r="D310" s="547"/>
      <c r="E310" s="547"/>
      <c r="F310" s="547"/>
      <c r="G310" s="547"/>
      <c r="H310" s="547"/>
      <c r="I310" s="547"/>
      <c r="J310" s="547"/>
      <c r="K310" s="547"/>
      <c r="L310" s="547"/>
    </row>
    <row r="311" spans="1:12" ht="14.25">
      <c r="A311" s="547"/>
      <c r="B311" s="547"/>
      <c r="C311" s="547"/>
      <c r="D311" s="547"/>
      <c r="E311" s="547"/>
      <c r="F311" s="547"/>
      <c r="G311" s="547"/>
      <c r="H311" s="547"/>
      <c r="I311" s="547"/>
      <c r="J311" s="547"/>
      <c r="K311" s="547"/>
      <c r="L311" s="547"/>
    </row>
    <row r="312" spans="1:12" ht="14.25">
      <c r="A312" s="547"/>
      <c r="B312" s="547"/>
      <c r="C312" s="547"/>
      <c r="D312" s="547"/>
      <c r="E312" s="547"/>
      <c r="F312" s="547"/>
      <c r="G312" s="547"/>
      <c r="H312" s="547"/>
      <c r="I312" s="547"/>
      <c r="J312" s="547"/>
      <c r="K312" s="547"/>
      <c r="L312" s="547"/>
    </row>
    <row r="313" spans="1:12" ht="14.25">
      <c r="A313" s="547"/>
      <c r="B313" s="547"/>
      <c r="C313" s="547"/>
      <c r="D313" s="547"/>
      <c r="E313" s="547"/>
      <c r="F313" s="547"/>
      <c r="G313" s="547"/>
      <c r="H313" s="547"/>
      <c r="I313" s="547"/>
      <c r="J313" s="547"/>
      <c r="K313" s="547"/>
      <c r="L313" s="547"/>
    </row>
    <row r="314" spans="1:12" ht="14.25">
      <c r="A314" s="547"/>
      <c r="B314" s="547"/>
      <c r="C314" s="547"/>
      <c r="D314" s="547"/>
      <c r="E314" s="547"/>
      <c r="F314" s="547"/>
      <c r="G314" s="547"/>
      <c r="H314" s="547"/>
      <c r="I314" s="547"/>
      <c r="J314" s="547"/>
      <c r="K314" s="547"/>
      <c r="L314" s="547"/>
    </row>
    <row r="315" spans="1:12" ht="14.25">
      <c r="A315" s="547"/>
      <c r="B315" s="547"/>
      <c r="C315" s="547"/>
      <c r="D315" s="547"/>
      <c r="E315" s="547"/>
      <c r="F315" s="547"/>
      <c r="G315" s="547"/>
      <c r="H315" s="547"/>
      <c r="I315" s="547"/>
      <c r="J315" s="547"/>
      <c r="K315" s="547"/>
      <c r="L315" s="547"/>
    </row>
    <row r="316" spans="1:12" ht="14.25">
      <c r="A316" s="547"/>
      <c r="B316" s="547"/>
      <c r="C316" s="547"/>
      <c r="D316" s="547"/>
      <c r="E316" s="547"/>
      <c r="F316" s="547"/>
      <c r="G316" s="547"/>
      <c r="H316" s="547"/>
      <c r="I316" s="547"/>
      <c r="J316" s="547"/>
      <c r="K316" s="547"/>
      <c r="L316" s="547"/>
    </row>
    <row r="317" spans="1:12" ht="14.25">
      <c r="A317" s="547"/>
      <c r="B317" s="547"/>
      <c r="C317" s="547"/>
      <c r="D317" s="547"/>
      <c r="E317" s="547"/>
      <c r="F317" s="547"/>
      <c r="G317" s="547"/>
      <c r="H317" s="547"/>
      <c r="I317" s="547"/>
      <c r="J317" s="547"/>
      <c r="K317" s="547"/>
      <c r="L317" s="547"/>
    </row>
    <row r="318" spans="1:12" ht="14.25">
      <c r="A318" s="547"/>
      <c r="B318" s="547"/>
      <c r="C318" s="547"/>
      <c r="D318" s="547"/>
      <c r="E318" s="547"/>
      <c r="F318" s="547"/>
      <c r="G318" s="547"/>
      <c r="H318" s="547"/>
      <c r="I318" s="547"/>
      <c r="J318" s="547"/>
      <c r="K318" s="547"/>
      <c r="L318" s="547"/>
    </row>
    <row r="319" spans="1:12" ht="14.25">
      <c r="A319" s="547"/>
      <c r="B319" s="547"/>
      <c r="C319" s="547"/>
      <c r="D319" s="547"/>
      <c r="E319" s="547"/>
      <c r="F319" s="547"/>
      <c r="G319" s="547"/>
      <c r="H319" s="547"/>
      <c r="I319" s="547"/>
      <c r="J319" s="547"/>
      <c r="K319" s="547"/>
      <c r="L319" s="547"/>
    </row>
    <row r="320" spans="1:12" ht="14.25">
      <c r="A320" s="547"/>
      <c r="B320" s="547"/>
      <c r="C320" s="547"/>
      <c r="D320" s="547"/>
      <c r="E320" s="547"/>
      <c r="F320" s="547"/>
      <c r="G320" s="547"/>
      <c r="H320" s="547"/>
      <c r="I320" s="547"/>
      <c r="J320" s="547"/>
      <c r="K320" s="547"/>
      <c r="L320" s="547"/>
    </row>
    <row r="321" spans="1:12" ht="14.25">
      <c r="A321" s="547"/>
      <c r="B321" s="547"/>
      <c r="C321" s="547"/>
      <c r="D321" s="547"/>
      <c r="E321" s="547"/>
      <c r="F321" s="547"/>
      <c r="G321" s="547"/>
      <c r="H321" s="547"/>
      <c r="I321" s="547"/>
      <c r="J321" s="547"/>
      <c r="K321" s="547"/>
      <c r="L321" s="547"/>
    </row>
    <row r="322" spans="1:12" ht="14.25">
      <c r="A322" s="547"/>
      <c r="B322" s="547"/>
      <c r="C322" s="547"/>
      <c r="D322" s="547"/>
      <c r="E322" s="547"/>
      <c r="F322" s="547"/>
      <c r="G322" s="547"/>
      <c r="H322" s="547"/>
      <c r="I322" s="547"/>
      <c r="J322" s="547"/>
      <c r="K322" s="547"/>
      <c r="L322" s="547"/>
    </row>
    <row r="323" spans="1:12" ht="14.25">
      <c r="A323" s="547"/>
      <c r="B323" s="547"/>
      <c r="C323" s="547"/>
      <c r="D323" s="547"/>
      <c r="E323" s="547"/>
      <c r="F323" s="547"/>
      <c r="G323" s="547"/>
      <c r="H323" s="547"/>
      <c r="I323" s="547"/>
      <c r="J323" s="547"/>
      <c r="K323" s="547"/>
      <c r="L323" s="547"/>
    </row>
    <row r="324" spans="1:12" ht="14.25">
      <c r="A324" s="547"/>
      <c r="B324" s="547"/>
      <c r="C324" s="547"/>
      <c r="D324" s="547"/>
      <c r="E324" s="547"/>
      <c r="F324" s="547"/>
      <c r="G324" s="547"/>
      <c r="H324" s="547"/>
      <c r="I324" s="547"/>
      <c r="J324" s="547"/>
      <c r="K324" s="547"/>
      <c r="L324" s="547"/>
    </row>
    <row r="325" spans="1:12" ht="14.25">
      <c r="A325" s="547"/>
      <c r="B325" s="547"/>
      <c r="C325" s="547"/>
      <c r="D325" s="547"/>
      <c r="E325" s="547"/>
      <c r="F325" s="547"/>
      <c r="G325" s="547"/>
      <c r="H325" s="547"/>
      <c r="I325" s="547"/>
      <c r="J325" s="547"/>
      <c r="K325" s="547"/>
      <c r="L325" s="547"/>
    </row>
    <row r="326" spans="1:12" ht="14.25">
      <c r="A326" s="547"/>
      <c r="B326" s="547"/>
      <c r="C326" s="547"/>
      <c r="D326" s="547"/>
      <c r="E326" s="547"/>
      <c r="F326" s="547"/>
      <c r="G326" s="547"/>
      <c r="H326" s="547"/>
      <c r="I326" s="547"/>
      <c r="J326" s="547"/>
      <c r="K326" s="547"/>
      <c r="L326" s="547"/>
    </row>
    <row r="327" spans="1:12" ht="14.25">
      <c r="A327" s="547"/>
      <c r="B327" s="547"/>
      <c r="C327" s="547"/>
      <c r="D327" s="547"/>
      <c r="E327" s="547"/>
      <c r="F327" s="547"/>
      <c r="G327" s="547"/>
      <c r="H327" s="547"/>
      <c r="I327" s="547"/>
      <c r="J327" s="547"/>
      <c r="K327" s="547"/>
      <c r="L327" s="547"/>
    </row>
    <row r="328" spans="1:12" ht="14.25">
      <c r="A328" s="547"/>
      <c r="B328" s="547"/>
      <c r="C328" s="547"/>
      <c r="D328" s="547"/>
      <c r="E328" s="547"/>
      <c r="F328" s="547"/>
      <c r="G328" s="547"/>
      <c r="H328" s="547"/>
      <c r="I328" s="547"/>
      <c r="J328" s="547"/>
      <c r="K328" s="547"/>
      <c r="L328" s="547"/>
    </row>
    <row r="329" spans="1:12" ht="14.25">
      <c r="A329" s="547"/>
      <c r="B329" s="547"/>
      <c r="C329" s="547"/>
      <c r="D329" s="547"/>
      <c r="E329" s="547"/>
      <c r="F329" s="547"/>
      <c r="G329" s="547"/>
      <c r="H329" s="547"/>
      <c r="I329" s="547"/>
      <c r="J329" s="547"/>
      <c r="K329" s="547"/>
      <c r="L329" s="547"/>
    </row>
    <row r="330" spans="1:12" ht="14.25">
      <c r="A330" s="547"/>
      <c r="B330" s="547"/>
      <c r="C330" s="547"/>
      <c r="D330" s="547"/>
      <c r="E330" s="547"/>
      <c r="F330" s="547"/>
      <c r="G330" s="547"/>
      <c r="H330" s="547"/>
      <c r="I330" s="547"/>
      <c r="J330" s="547"/>
      <c r="K330" s="547"/>
      <c r="L330" s="547"/>
    </row>
    <row r="331" spans="1:12" ht="14.25">
      <c r="A331" s="547"/>
      <c r="B331" s="547"/>
      <c r="C331" s="547"/>
      <c r="D331" s="547"/>
      <c r="E331" s="547"/>
      <c r="F331" s="547"/>
      <c r="G331" s="547"/>
      <c r="H331" s="547"/>
      <c r="I331" s="547"/>
      <c r="J331" s="547"/>
      <c r="K331" s="547"/>
      <c r="L331" s="547"/>
    </row>
    <row r="332" spans="1:12" ht="14.25">
      <c r="A332" s="547"/>
      <c r="B332" s="547"/>
      <c r="C332" s="547"/>
      <c r="D332" s="547"/>
      <c r="E332" s="547"/>
      <c r="F332" s="547"/>
      <c r="G332" s="547"/>
      <c r="H332" s="547"/>
      <c r="I332" s="547"/>
      <c r="J332" s="547"/>
      <c r="K332" s="547"/>
      <c r="L332" s="547"/>
    </row>
    <row r="333" spans="1:12" ht="14.25">
      <c r="A333" s="547"/>
      <c r="B333" s="547"/>
      <c r="C333" s="547"/>
      <c r="D333" s="547"/>
      <c r="E333" s="547"/>
      <c r="F333" s="547"/>
      <c r="G333" s="547"/>
      <c r="H333" s="547"/>
      <c r="I333" s="547"/>
      <c r="J333" s="547"/>
      <c r="K333" s="547"/>
      <c r="L333" s="547"/>
    </row>
    <row r="334" spans="1:12" ht="14.25">
      <c r="A334" s="547"/>
      <c r="B334" s="547"/>
      <c r="C334" s="547"/>
      <c r="D334" s="547"/>
      <c r="E334" s="547"/>
      <c r="F334" s="547"/>
      <c r="G334" s="547"/>
      <c r="H334" s="547"/>
      <c r="I334" s="547"/>
      <c r="J334" s="547"/>
      <c r="K334" s="547"/>
      <c r="L334" s="547"/>
    </row>
    <row r="335" spans="1:12" ht="14.25">
      <c r="A335" s="547"/>
      <c r="B335" s="547"/>
      <c r="C335" s="547"/>
      <c r="D335" s="547"/>
      <c r="E335" s="547"/>
      <c r="F335" s="547"/>
      <c r="G335" s="547"/>
      <c r="H335" s="547"/>
      <c r="I335" s="547"/>
      <c r="J335" s="547"/>
      <c r="K335" s="547"/>
      <c r="L335" s="547"/>
    </row>
    <row r="336" spans="1:12" ht="14.25">
      <c r="A336" s="547"/>
      <c r="B336" s="547"/>
      <c r="C336" s="547"/>
      <c r="D336" s="547"/>
      <c r="E336" s="547"/>
      <c r="F336" s="547"/>
      <c r="G336" s="547"/>
      <c r="H336" s="547"/>
      <c r="I336" s="547"/>
      <c r="J336" s="547"/>
      <c r="K336" s="547"/>
      <c r="L336" s="547"/>
    </row>
    <row r="337" spans="1:12" ht="14.25">
      <c r="A337" s="547"/>
      <c r="B337" s="547"/>
      <c r="C337" s="547"/>
      <c r="D337" s="547"/>
      <c r="E337" s="547"/>
      <c r="F337" s="547"/>
      <c r="G337" s="547"/>
      <c r="H337" s="547"/>
      <c r="I337" s="547"/>
      <c r="J337" s="547"/>
      <c r="K337" s="547"/>
      <c r="L337" s="547"/>
    </row>
    <row r="338" spans="1:12" ht="14.25">
      <c r="A338" s="547"/>
      <c r="B338" s="547"/>
      <c r="C338" s="547"/>
      <c r="D338" s="547"/>
      <c r="E338" s="547"/>
      <c r="F338" s="547"/>
      <c r="G338" s="547"/>
      <c r="H338" s="547"/>
      <c r="I338" s="547"/>
      <c r="J338" s="547"/>
      <c r="K338" s="547"/>
      <c r="L338" s="547"/>
    </row>
    <row r="339" spans="1:12" ht="14.25">
      <c r="A339" s="547"/>
      <c r="B339" s="547"/>
      <c r="C339" s="547"/>
      <c r="D339" s="547"/>
      <c r="E339" s="547"/>
      <c r="F339" s="547"/>
      <c r="G339" s="547"/>
      <c r="H339" s="547"/>
      <c r="I339" s="547"/>
      <c r="J339" s="547"/>
      <c r="K339" s="547"/>
      <c r="L339" s="547"/>
    </row>
    <row r="340" spans="1:12" ht="14.25">
      <c r="A340" s="547"/>
      <c r="B340" s="547"/>
      <c r="C340" s="547"/>
      <c r="D340" s="547"/>
      <c r="E340" s="547"/>
      <c r="F340" s="547"/>
      <c r="G340" s="547"/>
      <c r="H340" s="547"/>
      <c r="I340" s="547"/>
      <c r="J340" s="547"/>
      <c r="K340" s="547"/>
      <c r="L340" s="547"/>
    </row>
    <row r="341" spans="1:12" ht="14.25">
      <c r="A341" s="547"/>
      <c r="B341" s="547"/>
      <c r="C341" s="547"/>
      <c r="D341" s="547"/>
      <c r="E341" s="547"/>
      <c r="F341" s="547"/>
      <c r="G341" s="547"/>
      <c r="H341" s="547"/>
      <c r="I341" s="547"/>
      <c r="J341" s="547"/>
      <c r="K341" s="547"/>
      <c r="L341" s="547"/>
    </row>
    <row r="342" spans="1:12" ht="14.25">
      <c r="A342" s="547"/>
      <c r="B342" s="547"/>
      <c r="C342" s="547"/>
      <c r="D342" s="547"/>
      <c r="E342" s="547"/>
      <c r="F342" s="547"/>
      <c r="G342" s="547"/>
      <c r="H342" s="547"/>
      <c r="I342" s="547"/>
      <c r="J342" s="547"/>
      <c r="K342" s="547"/>
      <c r="L342" s="547"/>
    </row>
    <row r="343" spans="1:12" ht="14.25">
      <c r="A343" s="547"/>
      <c r="B343" s="547"/>
      <c r="C343" s="547"/>
      <c r="D343" s="547"/>
      <c r="E343" s="547"/>
      <c r="F343" s="547"/>
      <c r="G343" s="547"/>
      <c r="H343" s="547"/>
      <c r="I343" s="547"/>
      <c r="J343" s="547"/>
      <c r="K343" s="547"/>
      <c r="L343" s="547"/>
    </row>
    <row r="344" spans="1:12" ht="14.25">
      <c r="A344" s="547"/>
      <c r="B344" s="547"/>
      <c r="C344" s="547"/>
      <c r="D344" s="547"/>
      <c r="E344" s="547"/>
      <c r="F344" s="547"/>
      <c r="G344" s="547"/>
      <c r="H344" s="547"/>
      <c r="I344" s="547"/>
      <c r="J344" s="547"/>
      <c r="K344" s="547"/>
      <c r="L344" s="547"/>
    </row>
    <row r="345" spans="1:12" ht="14.25">
      <c r="A345" s="547"/>
      <c r="B345" s="547"/>
      <c r="C345" s="547"/>
      <c r="D345" s="547"/>
      <c r="E345" s="547"/>
      <c r="F345" s="547"/>
      <c r="G345" s="547"/>
      <c r="H345" s="547"/>
      <c r="I345" s="547"/>
      <c r="J345" s="547"/>
      <c r="K345" s="547"/>
      <c r="L345" s="547"/>
    </row>
    <row r="346" spans="1:12" ht="14.25">
      <c r="A346" s="547"/>
      <c r="B346" s="547"/>
      <c r="C346" s="547"/>
      <c r="D346" s="547"/>
      <c r="E346" s="547"/>
      <c r="F346" s="547"/>
      <c r="G346" s="547"/>
      <c r="H346" s="547"/>
      <c r="I346" s="547"/>
      <c r="J346" s="547"/>
      <c r="K346" s="547"/>
      <c r="L346" s="547"/>
    </row>
    <row r="347" spans="1:12" ht="14.25">
      <c r="A347" s="547"/>
      <c r="B347" s="547"/>
      <c r="C347" s="547"/>
      <c r="D347" s="547"/>
      <c r="E347" s="547"/>
      <c r="F347" s="547"/>
      <c r="G347" s="547"/>
      <c r="H347" s="547"/>
      <c r="I347" s="547"/>
      <c r="J347" s="547"/>
      <c r="K347" s="547"/>
      <c r="L347" s="547"/>
    </row>
    <row r="348" spans="1:12" ht="14.25">
      <c r="A348" s="547"/>
      <c r="B348" s="547"/>
      <c r="C348" s="547"/>
      <c r="D348" s="547"/>
      <c r="E348" s="547"/>
      <c r="F348" s="547"/>
      <c r="G348" s="547"/>
      <c r="H348" s="547"/>
      <c r="I348" s="547"/>
      <c r="J348" s="547"/>
      <c r="K348" s="547"/>
      <c r="L348" s="547"/>
    </row>
    <row r="349" spans="1:12" ht="14.25">
      <c r="A349" s="547"/>
      <c r="B349" s="547"/>
      <c r="C349" s="547"/>
      <c r="D349" s="547"/>
      <c r="E349" s="547"/>
      <c r="F349" s="547"/>
      <c r="G349" s="547"/>
      <c r="H349" s="547"/>
      <c r="I349" s="547"/>
      <c r="J349" s="547"/>
      <c r="K349" s="547"/>
      <c r="L349" s="547"/>
    </row>
    <row r="350" spans="1:12" ht="14.25">
      <c r="A350" s="547"/>
      <c r="B350" s="547"/>
      <c r="C350" s="547"/>
      <c r="D350" s="547"/>
      <c r="E350" s="547"/>
      <c r="F350" s="547"/>
      <c r="G350" s="547"/>
      <c r="H350" s="547"/>
      <c r="I350" s="547"/>
      <c r="J350" s="547"/>
      <c r="K350" s="547"/>
      <c r="L350" s="547"/>
    </row>
    <row r="351" spans="1:12" ht="14.25">
      <c r="A351" s="547"/>
      <c r="B351" s="547"/>
      <c r="C351" s="547"/>
      <c r="D351" s="547"/>
      <c r="E351" s="547"/>
      <c r="F351" s="547"/>
      <c r="G351" s="547"/>
      <c r="H351" s="547"/>
      <c r="I351" s="547"/>
      <c r="J351" s="547"/>
      <c r="K351" s="547"/>
      <c r="L351" s="547"/>
    </row>
    <row r="352" spans="1:12" ht="14.25">
      <c r="A352" s="547"/>
      <c r="B352" s="547"/>
      <c r="C352" s="547"/>
      <c r="D352" s="547"/>
      <c r="E352" s="547"/>
      <c r="F352" s="547"/>
      <c r="G352" s="547"/>
      <c r="H352" s="547"/>
      <c r="I352" s="547"/>
      <c r="J352" s="547"/>
      <c r="K352" s="547"/>
      <c r="L352" s="547"/>
    </row>
    <row r="353" spans="1:12" ht="14.25">
      <c r="A353" s="547"/>
      <c r="B353" s="547"/>
      <c r="C353" s="547"/>
      <c r="D353" s="547"/>
      <c r="E353" s="547"/>
      <c r="F353" s="547"/>
      <c r="G353" s="547"/>
      <c r="H353" s="547"/>
      <c r="I353" s="547"/>
      <c r="J353" s="547"/>
      <c r="K353" s="547"/>
      <c r="L353" s="547"/>
    </row>
    <row r="354" spans="1:12" ht="14.25">
      <c r="A354" s="547"/>
      <c r="B354" s="547"/>
      <c r="C354" s="547"/>
      <c r="D354" s="547"/>
      <c r="E354" s="547"/>
      <c r="F354" s="547"/>
      <c r="G354" s="547"/>
      <c r="H354" s="547"/>
      <c r="I354" s="547"/>
      <c r="J354" s="547"/>
      <c r="K354" s="547"/>
      <c r="L354" s="54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0" min="1" max="10" man="1"/>
    <brk id="54" min="1" max="10" man="1"/>
    <brk id="87" min="1" max="10" man="1"/>
    <brk id="125" min="1" max="10" man="1"/>
  </rowBreaks>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N83" sqref="N83"/>
    </sheetView>
  </sheetViews>
  <sheetFormatPr defaultColWidth="8.796875" defaultRowHeight="15"/>
  <cols>
    <col min="1" max="1" width="71.19921875" style="1" customWidth="1"/>
    <col min="2" max="16384" width="8.8984375" style="1" customWidth="1"/>
  </cols>
  <sheetData>
    <row r="1" ht="16.5">
      <c r="A1" s="561" t="s">
        <v>722</v>
      </c>
    </row>
    <row r="3" ht="31.5">
      <c r="A3" s="562" t="s">
        <v>723</v>
      </c>
    </row>
    <row r="4" ht="15.75">
      <c r="A4" s="563" t="s">
        <v>724</v>
      </c>
    </row>
    <row r="7" ht="31.5">
      <c r="A7" s="562" t="s">
        <v>725</v>
      </c>
    </row>
    <row r="8" ht="15.75">
      <c r="A8" s="563" t="s">
        <v>726</v>
      </c>
    </row>
    <row r="11" ht="15.75">
      <c r="A11" s="1" t="s">
        <v>727</v>
      </c>
    </row>
    <row r="12" ht="15.75">
      <c r="A12" s="563" t="s">
        <v>728</v>
      </c>
    </row>
    <row r="15" ht="15.75">
      <c r="A15" s="1" t="s">
        <v>729</v>
      </c>
    </row>
    <row r="16" ht="15.75">
      <c r="A16" s="563" t="s">
        <v>730</v>
      </c>
    </row>
    <row r="19" ht="15.75">
      <c r="A19" s="1" t="s">
        <v>731</v>
      </c>
    </row>
    <row r="20" ht="15.75">
      <c r="A20" s="563" t="s">
        <v>732</v>
      </c>
    </row>
    <row r="23" ht="15.75">
      <c r="A23" s="1" t="s">
        <v>733</v>
      </c>
    </row>
    <row r="24" ht="15.75">
      <c r="A24" s="563" t="s">
        <v>734</v>
      </c>
    </row>
    <row r="27" ht="15.75">
      <c r="A27" s="1" t="s">
        <v>735</v>
      </c>
    </row>
    <row r="28" ht="15.75">
      <c r="A28" s="563" t="s">
        <v>736</v>
      </c>
    </row>
    <row r="31" ht="15.75">
      <c r="A31" s="1" t="s">
        <v>737</v>
      </c>
    </row>
    <row r="32" ht="15.75">
      <c r="A32" s="563" t="s">
        <v>738</v>
      </c>
    </row>
    <row r="35" ht="15.75">
      <c r="A35" s="1" t="s">
        <v>739</v>
      </c>
    </row>
    <row r="36" ht="15.75">
      <c r="A36" s="563" t="s">
        <v>740</v>
      </c>
    </row>
    <row r="39" ht="15.75">
      <c r="A39" s="1" t="s">
        <v>741</v>
      </c>
    </row>
    <row r="40" ht="15.75">
      <c r="A40" s="563" t="s">
        <v>742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7.xml><?xml version="1.0" encoding="utf-8"?>
<worksheet xmlns="http://schemas.openxmlformats.org/spreadsheetml/2006/main" xmlns:r="http://schemas.openxmlformats.org/officeDocument/2006/relationships">
  <dimension ref="A1:A256"/>
  <sheetViews>
    <sheetView zoomScalePageLayoutView="0" workbookViewId="0" topLeftCell="A1">
      <selection activeCell="C210" sqref="C210:D210"/>
    </sheetView>
  </sheetViews>
  <sheetFormatPr defaultColWidth="8.796875" defaultRowHeight="15"/>
  <cols>
    <col min="1" max="1" width="82.59765625" style="61" customWidth="1"/>
    <col min="2" max="16384" width="8.8984375" style="61" customWidth="1"/>
  </cols>
  <sheetData>
    <row r="1" ht="15.75">
      <c r="A1" s="926" t="s">
        <v>1074</v>
      </c>
    </row>
    <row r="2" ht="15.75">
      <c r="A2" s="61" t="s">
        <v>1075</v>
      </c>
    </row>
    <row r="3" ht="15.75">
      <c r="A3" s="61" t="s">
        <v>1076</v>
      </c>
    </row>
    <row r="4" ht="15.75">
      <c r="A4" s="61" t="s">
        <v>1077</v>
      </c>
    </row>
    <row r="5" ht="15.75">
      <c r="A5" s="61" t="s">
        <v>1078</v>
      </c>
    </row>
    <row r="6" ht="15.75">
      <c r="A6" s="61" t="s">
        <v>1079</v>
      </c>
    </row>
    <row r="7" ht="15.75">
      <c r="A7" s="61" t="s">
        <v>1080</v>
      </c>
    </row>
    <row r="8" ht="15.75">
      <c r="A8" s="61" t="s">
        <v>1081</v>
      </c>
    </row>
    <row r="9" ht="15.75">
      <c r="A9" s="61" t="s">
        <v>1082</v>
      </c>
    </row>
    <row r="11" ht="15.75">
      <c r="A11" s="803" t="s">
        <v>1022</v>
      </c>
    </row>
    <row r="12" ht="15.75">
      <c r="A12" s="61" t="s">
        <v>1024</v>
      </c>
    </row>
    <row r="13" ht="15.75">
      <c r="A13" s="61" t="s">
        <v>1023</v>
      </c>
    </row>
    <row r="15" ht="15.75">
      <c r="A15" s="803" t="s">
        <v>1013</v>
      </c>
    </row>
    <row r="16" ht="15.75">
      <c r="A16" s="810" t="s">
        <v>1014</v>
      </c>
    </row>
    <row r="18" ht="15.75">
      <c r="A18" s="803" t="s">
        <v>1012</v>
      </c>
    </row>
    <row r="19" ht="15.75">
      <c r="A19" s="1" t="s">
        <v>1015</v>
      </c>
    </row>
    <row r="20" ht="15.75">
      <c r="A20" s="1" t="s">
        <v>1016</v>
      </c>
    </row>
    <row r="21" ht="15.75">
      <c r="A21" s="1" t="s">
        <v>1017</v>
      </c>
    </row>
    <row r="22" ht="15.75">
      <c r="A22" s="1" t="s">
        <v>1018</v>
      </c>
    </row>
    <row r="23" ht="15.75">
      <c r="A23" s="1" t="s">
        <v>1019</v>
      </c>
    </row>
    <row r="24" ht="15.75">
      <c r="A24" s="810" t="s">
        <v>1020</v>
      </c>
    </row>
    <row r="26" ht="15.75">
      <c r="A26" s="595" t="s">
        <v>1010</v>
      </c>
    </row>
    <row r="27" ht="15.75">
      <c r="A27" s="741" t="s">
        <v>1011</v>
      </c>
    </row>
    <row r="29" ht="15.75">
      <c r="A29" s="595" t="s">
        <v>1007</v>
      </c>
    </row>
    <row r="30" ht="15.75">
      <c r="A30" s="741" t="s">
        <v>1008</v>
      </c>
    </row>
    <row r="31" ht="15.75">
      <c r="A31" s="61" t="s">
        <v>1009</v>
      </c>
    </row>
    <row r="33" ht="15.75">
      <c r="A33" s="595" t="s">
        <v>1006</v>
      </c>
    </row>
    <row r="34" ht="15.75">
      <c r="A34" s="741" t="s">
        <v>1005</v>
      </c>
    </row>
    <row r="36" ht="15.75">
      <c r="A36" s="595" t="s">
        <v>979</v>
      </c>
    </row>
    <row r="37" ht="15.75">
      <c r="A37" s="741" t="s">
        <v>978</v>
      </c>
    </row>
    <row r="39" ht="15.75">
      <c r="A39" s="595" t="s">
        <v>976</v>
      </c>
    </row>
    <row r="40" ht="15.75">
      <c r="A40" s="741" t="s">
        <v>977</v>
      </c>
    </row>
    <row r="42" ht="15.75">
      <c r="A42" s="595" t="s">
        <v>959</v>
      </c>
    </row>
    <row r="43" ht="15.75">
      <c r="A43" s="741" t="s">
        <v>958</v>
      </c>
    </row>
    <row r="45" ht="15.75">
      <c r="A45" s="595" t="s">
        <v>960</v>
      </c>
    </row>
    <row r="46" ht="15.75">
      <c r="A46" s="724" t="s">
        <v>945</v>
      </c>
    </row>
    <row r="48" ht="15.75">
      <c r="A48" s="595" t="s">
        <v>961</v>
      </c>
    </row>
    <row r="49" ht="15.75">
      <c r="A49" s="61" t="s">
        <v>944</v>
      </c>
    </row>
    <row r="51" ht="15.75">
      <c r="A51" s="595" t="s">
        <v>962</v>
      </c>
    </row>
    <row r="52" ht="15.75">
      <c r="A52" s="61" t="s">
        <v>943</v>
      </c>
    </row>
    <row r="54" ht="15.75">
      <c r="A54" s="595" t="s">
        <v>963</v>
      </c>
    </row>
    <row r="55" ht="15.75">
      <c r="A55" s="702" t="s">
        <v>942</v>
      </c>
    </row>
    <row r="57" ht="15.75">
      <c r="A57" s="595" t="s">
        <v>964</v>
      </c>
    </row>
    <row r="58" ht="15.75">
      <c r="A58" s="61" t="s">
        <v>941</v>
      </c>
    </row>
    <row r="60" ht="15.75">
      <c r="A60" s="595" t="s">
        <v>964</v>
      </c>
    </row>
    <row r="61" ht="15.75">
      <c r="A61" s="61" t="s">
        <v>940</v>
      </c>
    </row>
    <row r="63" ht="15.75">
      <c r="A63" s="595" t="s">
        <v>965</v>
      </c>
    </row>
    <row r="64" ht="15.75">
      <c r="A64" s="718" t="s">
        <v>939</v>
      </c>
    </row>
    <row r="66" ht="15.75">
      <c r="A66" s="595" t="s">
        <v>966</v>
      </c>
    </row>
    <row r="67" ht="15.75">
      <c r="A67" s="702" t="s">
        <v>862</v>
      </c>
    </row>
    <row r="68" ht="15.75">
      <c r="A68" s="61" t="s">
        <v>863</v>
      </c>
    </row>
    <row r="69" ht="15.75">
      <c r="A69" s="61" t="s">
        <v>864</v>
      </c>
    </row>
    <row r="70" ht="15.75">
      <c r="A70" s="61" t="s">
        <v>865</v>
      </c>
    </row>
    <row r="71" ht="15.75">
      <c r="A71" s="61" t="s">
        <v>866</v>
      </c>
    </row>
    <row r="72" ht="15.75">
      <c r="A72" s="61" t="s">
        <v>867</v>
      </c>
    </row>
    <row r="73" ht="15.75">
      <c r="A73" s="61" t="s">
        <v>868</v>
      </c>
    </row>
    <row r="74" ht="15.75">
      <c r="A74" s="61" t="s">
        <v>869</v>
      </c>
    </row>
    <row r="75" ht="15.75">
      <c r="A75" s="61" t="s">
        <v>870</v>
      </c>
    </row>
    <row r="76" ht="15.75">
      <c r="A76" s="61" t="s">
        <v>871</v>
      </c>
    </row>
    <row r="77" ht="15.75">
      <c r="A77" s="61" t="s">
        <v>872</v>
      </c>
    </row>
    <row r="78" ht="15.75">
      <c r="A78" s="61" t="s">
        <v>873</v>
      </c>
    </row>
    <row r="79" ht="15.75">
      <c r="A79" s="61" t="s">
        <v>874</v>
      </c>
    </row>
    <row r="80" ht="15.75">
      <c r="A80" s="61" t="s">
        <v>875</v>
      </c>
    </row>
    <row r="81" ht="15.75">
      <c r="A81" s="61" t="s">
        <v>876</v>
      </c>
    </row>
    <row r="82" ht="15.75">
      <c r="A82" s="61" t="s">
        <v>935</v>
      </c>
    </row>
    <row r="83" ht="47.25">
      <c r="A83" s="63" t="s">
        <v>877</v>
      </c>
    </row>
    <row r="84" ht="15.75">
      <c r="A84" s="62" t="s">
        <v>878</v>
      </c>
    </row>
    <row r="85" ht="31.5">
      <c r="A85" s="63" t="s">
        <v>879</v>
      </c>
    </row>
    <row r="86" ht="15.75">
      <c r="A86" s="61" t="s">
        <v>880</v>
      </c>
    </row>
    <row r="87" ht="15.75">
      <c r="A87" s="61" t="s">
        <v>881</v>
      </c>
    </row>
    <row r="88" ht="15.75">
      <c r="A88" s="61" t="s">
        <v>882</v>
      </c>
    </row>
    <row r="89" ht="15.75">
      <c r="A89" s="61" t="s">
        <v>883</v>
      </c>
    </row>
    <row r="90" ht="15.75">
      <c r="A90" s="61" t="s">
        <v>884</v>
      </c>
    </row>
    <row r="91" ht="15.75">
      <c r="A91" s="61" t="s">
        <v>885</v>
      </c>
    </row>
    <row r="92" ht="15.75">
      <c r="A92" s="61" t="s">
        <v>886</v>
      </c>
    </row>
    <row r="93" ht="15.75">
      <c r="A93" s="61" t="s">
        <v>887</v>
      </c>
    </row>
    <row r="94" ht="15.75">
      <c r="A94" s="61" t="s">
        <v>888</v>
      </c>
    </row>
    <row r="95" ht="15.75">
      <c r="A95" s="61" t="s">
        <v>889</v>
      </c>
    </row>
    <row r="96" ht="15.75">
      <c r="A96" s="61" t="s">
        <v>890</v>
      </c>
    </row>
    <row r="97" ht="15.75">
      <c r="A97" s="61" t="s">
        <v>891</v>
      </c>
    </row>
    <row r="98" ht="15.75">
      <c r="A98" s="61" t="s">
        <v>892</v>
      </c>
    </row>
    <row r="99" ht="15.75">
      <c r="A99" s="61" t="s">
        <v>893</v>
      </c>
    </row>
    <row r="100" ht="15.75">
      <c r="A100" s="61" t="s">
        <v>894</v>
      </c>
    </row>
    <row r="101" ht="15.75">
      <c r="A101" s="61" t="s">
        <v>895</v>
      </c>
    </row>
    <row r="102" ht="31.5">
      <c r="A102" s="63" t="s">
        <v>938</v>
      </c>
    </row>
    <row r="104" ht="15.75">
      <c r="A104" s="595" t="s">
        <v>967</v>
      </c>
    </row>
    <row r="105" ht="15.75">
      <c r="A105" s="474" t="s">
        <v>768</v>
      </c>
    </row>
    <row r="107" ht="15.75">
      <c r="A107" s="369" t="s">
        <v>968</v>
      </c>
    </row>
    <row r="108" ht="15.75">
      <c r="A108" s="61" t="s">
        <v>765</v>
      </c>
    </row>
    <row r="109" ht="15.75">
      <c r="A109" s="61" t="s">
        <v>766</v>
      </c>
    </row>
    <row r="110" ht="15.75">
      <c r="A110" s="61" t="s">
        <v>767</v>
      </c>
    </row>
    <row r="112" ht="15.75">
      <c r="A112" s="369" t="s">
        <v>969</v>
      </c>
    </row>
    <row r="113" ht="15.75">
      <c r="A113" s="474" t="s">
        <v>636</v>
      </c>
    </row>
    <row r="114" ht="15.75">
      <c r="A114" s="474" t="s">
        <v>637</v>
      </c>
    </row>
    <row r="115" ht="31.5">
      <c r="A115" s="473" t="s">
        <v>721</v>
      </c>
    </row>
    <row r="116" ht="15.75">
      <c r="A116" s="474" t="s">
        <v>638</v>
      </c>
    </row>
    <row r="117" ht="15.75">
      <c r="A117" s="474" t="s">
        <v>639</v>
      </c>
    </row>
    <row r="118" ht="15.75">
      <c r="A118" s="474" t="s">
        <v>640</v>
      </c>
    </row>
    <row r="119" ht="15.75">
      <c r="A119" s="474" t="s">
        <v>641</v>
      </c>
    </row>
    <row r="120" ht="15.75">
      <c r="A120" s="474" t="s">
        <v>642</v>
      </c>
    </row>
    <row r="121" ht="15.75">
      <c r="A121" s="474" t="s">
        <v>643</v>
      </c>
    </row>
    <row r="122" ht="15.75">
      <c r="A122" s="474" t="s">
        <v>644</v>
      </c>
    </row>
    <row r="123" ht="15.75">
      <c r="A123" s="474" t="s">
        <v>645</v>
      </c>
    </row>
    <row r="124" ht="15.75">
      <c r="A124" s="474" t="s">
        <v>646</v>
      </c>
    </row>
    <row r="125" ht="15.75">
      <c r="A125" s="474" t="s">
        <v>647</v>
      </c>
    </row>
    <row r="126" ht="15.75">
      <c r="A126" s="474" t="s">
        <v>648</v>
      </c>
    </row>
    <row r="127" ht="15.75">
      <c r="A127" s="474" t="s">
        <v>649</v>
      </c>
    </row>
    <row r="128" ht="15.75">
      <c r="A128" s="474" t="s">
        <v>650</v>
      </c>
    </row>
    <row r="129" ht="15.75">
      <c r="A129" s="474" t="s">
        <v>651</v>
      </c>
    </row>
    <row r="130" ht="15.75">
      <c r="A130" s="474" t="s">
        <v>652</v>
      </c>
    </row>
    <row r="131" ht="15.75">
      <c r="A131" s="474" t="s">
        <v>653</v>
      </c>
    </row>
    <row r="132" ht="15.75">
      <c r="A132" s="474" t="s">
        <v>654</v>
      </c>
    </row>
    <row r="133" ht="15.75">
      <c r="A133" s="474" t="s">
        <v>655</v>
      </c>
    </row>
    <row r="134" ht="15.75">
      <c r="A134" s="474" t="s">
        <v>656</v>
      </c>
    </row>
    <row r="135" ht="15.75">
      <c r="A135" s="474" t="s">
        <v>657</v>
      </c>
    </row>
    <row r="136" ht="15.75">
      <c r="A136" s="474" t="s">
        <v>658</v>
      </c>
    </row>
    <row r="137" ht="15.75">
      <c r="A137" s="474" t="s">
        <v>659</v>
      </c>
    </row>
    <row r="138" ht="15.75">
      <c r="A138" s="474" t="s">
        <v>660</v>
      </c>
    </row>
    <row r="139" ht="15.75">
      <c r="A139" s="474" t="s">
        <v>744</v>
      </c>
    </row>
    <row r="140" ht="15.75">
      <c r="A140" s="474" t="s">
        <v>745</v>
      </c>
    </row>
    <row r="141" ht="15.75">
      <c r="A141" s="474" t="s">
        <v>746</v>
      </c>
    </row>
    <row r="142" ht="15.75">
      <c r="A142" s="474" t="s">
        <v>747</v>
      </c>
    </row>
    <row r="143" ht="15.75">
      <c r="A143" s="474" t="s">
        <v>748</v>
      </c>
    </row>
    <row r="144" ht="15.75">
      <c r="A144" s="474" t="s">
        <v>749</v>
      </c>
    </row>
    <row r="145" ht="15.75">
      <c r="A145" s="474" t="s">
        <v>750</v>
      </c>
    </row>
    <row r="146" ht="15.75">
      <c r="A146" s="474" t="s">
        <v>751</v>
      </c>
    </row>
    <row r="148" ht="15.75">
      <c r="A148" s="369" t="s">
        <v>970</v>
      </c>
    </row>
    <row r="149" ht="15.75">
      <c r="A149" s="61" t="s">
        <v>599</v>
      </c>
    </row>
    <row r="150" ht="15.75">
      <c r="A150" s="61" t="s">
        <v>600</v>
      </c>
    </row>
    <row r="151" ht="15.75">
      <c r="A151" s="61" t="s">
        <v>601</v>
      </c>
    </row>
    <row r="153" ht="15.75">
      <c r="A153" s="369" t="s">
        <v>971</v>
      </c>
    </row>
    <row r="154" ht="15.75">
      <c r="A154" s="61" t="s">
        <v>589</v>
      </c>
    </row>
    <row r="155" ht="15.75">
      <c r="A155" s="61" t="s">
        <v>590</v>
      </c>
    </row>
    <row r="157" ht="15.75">
      <c r="A157" s="369" t="s">
        <v>972</v>
      </c>
    </row>
    <row r="158" ht="15.75">
      <c r="A158" s="368" t="s">
        <v>583</v>
      </c>
    </row>
    <row r="159" ht="15.75">
      <c r="A159" s="368" t="s">
        <v>584</v>
      </c>
    </row>
    <row r="160" ht="15.75">
      <c r="A160" s="368" t="s">
        <v>585</v>
      </c>
    </row>
    <row r="161" ht="15.75">
      <c r="A161" s="61" t="s">
        <v>587</v>
      </c>
    </row>
    <row r="163" ht="15.75">
      <c r="A163" s="315" t="s">
        <v>973</v>
      </c>
    </row>
    <row r="164" ht="15.75">
      <c r="A164" s="344" t="s">
        <v>334</v>
      </c>
    </row>
    <row r="165" ht="21.75" customHeight="1">
      <c r="A165" s="61" t="s">
        <v>335</v>
      </c>
    </row>
    <row r="166" ht="15.75">
      <c r="A166" s="61" t="s">
        <v>336</v>
      </c>
    </row>
    <row r="167" ht="17.25" customHeight="1">
      <c r="A167" s="739" t="s">
        <v>337</v>
      </c>
    </row>
    <row r="168" ht="15.75">
      <c r="A168" s="61" t="s">
        <v>338</v>
      </c>
    </row>
    <row r="169" ht="15.75">
      <c r="A169" s="61" t="s">
        <v>339</v>
      </c>
    </row>
    <row r="170" ht="15.75">
      <c r="A170" s="61" t="s">
        <v>340</v>
      </c>
    </row>
    <row r="171" ht="15.75">
      <c r="A171" s="61" t="s">
        <v>341</v>
      </c>
    </row>
    <row r="172" ht="15.75">
      <c r="A172" s="61" t="s">
        <v>359</v>
      </c>
    </row>
    <row r="174" ht="15.75">
      <c r="A174" s="315" t="s">
        <v>974</v>
      </c>
    </row>
    <row r="175" ht="15.75">
      <c r="A175" s="61" t="s">
        <v>303</v>
      </c>
    </row>
    <row r="176" ht="15.75">
      <c r="A176" s="61" t="s">
        <v>304</v>
      </c>
    </row>
    <row r="177" ht="15.75">
      <c r="A177" s="61" t="s">
        <v>305</v>
      </c>
    </row>
    <row r="178" ht="15.75">
      <c r="A178" s="61" t="s">
        <v>306</v>
      </c>
    </row>
    <row r="180" ht="15.75">
      <c r="A180" s="315" t="s">
        <v>975</v>
      </c>
    </row>
    <row r="181" ht="15.75">
      <c r="A181" s="61" t="s">
        <v>302</v>
      </c>
    </row>
    <row r="183" ht="15.75">
      <c r="A183" s="315" t="s">
        <v>300</v>
      </c>
    </row>
    <row r="184" ht="15.75">
      <c r="A184" s="61" t="s">
        <v>301</v>
      </c>
    </row>
    <row r="186" ht="15.75">
      <c r="A186" s="315" t="s">
        <v>296</v>
      </c>
    </row>
    <row r="187" ht="15.75">
      <c r="A187" s="61" t="s">
        <v>297</v>
      </c>
    </row>
    <row r="188" ht="15.75">
      <c r="A188" s="61" t="s">
        <v>298</v>
      </c>
    </row>
    <row r="189" ht="15.75">
      <c r="A189" s="61" t="s">
        <v>299</v>
      </c>
    </row>
    <row r="191" ht="15.75">
      <c r="A191" s="315" t="s">
        <v>95</v>
      </c>
    </row>
    <row r="192" ht="15.75">
      <c r="A192" s="61" t="s">
        <v>99</v>
      </c>
    </row>
    <row r="193" ht="32.25" customHeight="1">
      <c r="A193" s="61" t="s">
        <v>96</v>
      </c>
    </row>
    <row r="194" ht="36" customHeight="1">
      <c r="A194" s="61" t="s">
        <v>100</v>
      </c>
    </row>
    <row r="195" ht="35.25" customHeight="1">
      <c r="A195" s="61" t="s">
        <v>97</v>
      </c>
    </row>
    <row r="196" ht="18" customHeight="1">
      <c r="A196" s="61" t="s">
        <v>104</v>
      </c>
    </row>
    <row r="197" ht="36" customHeight="1">
      <c r="A197" s="61" t="s">
        <v>105</v>
      </c>
    </row>
    <row r="198" ht="31.5">
      <c r="A198" s="63" t="s">
        <v>661</v>
      </c>
    </row>
    <row r="199" ht="33.75" customHeight="1">
      <c r="A199" s="63" t="s">
        <v>101</v>
      </c>
    </row>
    <row r="200" ht="18.75" customHeight="1">
      <c r="A200" s="63" t="s">
        <v>102</v>
      </c>
    </row>
    <row r="201" ht="17.25" customHeight="1">
      <c r="A201" s="63" t="s">
        <v>89</v>
      </c>
    </row>
    <row r="202" ht="17.25" customHeight="1">
      <c r="A202" s="63" t="s">
        <v>54</v>
      </c>
    </row>
    <row r="203" ht="15.75">
      <c r="A203" s="61" t="s">
        <v>53</v>
      </c>
    </row>
    <row r="204" ht="31.5">
      <c r="A204" s="63" t="s">
        <v>92</v>
      </c>
    </row>
    <row r="205" ht="15.75">
      <c r="A205" s="61" t="s">
        <v>52</v>
      </c>
    </row>
    <row r="206" ht="15.75">
      <c r="A206" s="61" t="s">
        <v>90</v>
      </c>
    </row>
    <row r="207" ht="15.75">
      <c r="A207" s="61" t="s">
        <v>88</v>
      </c>
    </row>
    <row r="208" ht="15.75">
      <c r="A208" s="61" t="s">
        <v>51</v>
      </c>
    </row>
    <row r="209" ht="31.5">
      <c r="A209" s="63" t="s">
        <v>49</v>
      </c>
    </row>
    <row r="210" ht="15.75">
      <c r="A210" s="61" t="s">
        <v>50</v>
      </c>
    </row>
    <row r="212" ht="15.75">
      <c r="A212" s="315" t="s">
        <v>84</v>
      </c>
    </row>
    <row r="213" ht="15.75">
      <c r="A213" s="61" t="s">
        <v>93</v>
      </c>
    </row>
    <row r="214" ht="15.75">
      <c r="A214" s="61" t="s">
        <v>85</v>
      </c>
    </row>
    <row r="215" ht="15.75">
      <c r="A215" s="61" t="s">
        <v>86</v>
      </c>
    </row>
    <row r="216" ht="15.75">
      <c r="A216" s="61" t="s">
        <v>662</v>
      </c>
    </row>
    <row r="217" ht="18" customHeight="1">
      <c r="A217" s="315" t="s">
        <v>81</v>
      </c>
    </row>
    <row r="218" ht="51" customHeight="1">
      <c r="A218" s="63" t="s">
        <v>82</v>
      </c>
    </row>
    <row r="219" ht="15.75">
      <c r="A219" s="61" t="s">
        <v>83</v>
      </c>
    </row>
    <row r="222" ht="15.75">
      <c r="A222" s="315" t="s">
        <v>292</v>
      </c>
    </row>
    <row r="223" ht="47.25">
      <c r="A223" s="63" t="s">
        <v>663</v>
      </c>
    </row>
    <row r="224" ht="15.75">
      <c r="A224" s="61" t="s">
        <v>106</v>
      </c>
    </row>
    <row r="225" ht="15.75">
      <c r="A225" s="61" t="s">
        <v>293</v>
      </c>
    </row>
    <row r="226" ht="15.75">
      <c r="A226" s="61" t="s">
        <v>37</v>
      </c>
    </row>
    <row r="227" ht="15.75">
      <c r="A227" s="61" t="s">
        <v>294</v>
      </c>
    </row>
    <row r="228" ht="15.75">
      <c r="A228" s="61" t="s">
        <v>295</v>
      </c>
    </row>
    <row r="229" ht="15.75">
      <c r="A229" s="61" t="s">
        <v>0</v>
      </c>
    </row>
    <row r="230" ht="15.75">
      <c r="A230" s="61" t="s">
        <v>1</v>
      </c>
    </row>
    <row r="231" ht="15.75">
      <c r="A231" s="61" t="s">
        <v>2</v>
      </c>
    </row>
    <row r="232" ht="31.5">
      <c r="A232" s="63" t="s">
        <v>8</v>
      </c>
    </row>
    <row r="233" ht="31.5">
      <c r="A233" s="63" t="s">
        <v>111</v>
      </c>
    </row>
    <row r="234" ht="15.75">
      <c r="A234" s="61" t="s">
        <v>4</v>
      </c>
    </row>
    <row r="235" ht="15.75">
      <c r="A235" s="61" t="s">
        <v>9</v>
      </c>
    </row>
    <row r="236" ht="15.75">
      <c r="A236" s="61" t="s">
        <v>38</v>
      </c>
    </row>
    <row r="237" ht="15.75">
      <c r="A237" s="61" t="s">
        <v>6</v>
      </c>
    </row>
    <row r="238" ht="15.75">
      <c r="A238" s="61" t="s">
        <v>39</v>
      </c>
    </row>
    <row r="239" ht="31.5">
      <c r="A239" s="63" t="s">
        <v>40</v>
      </c>
    </row>
    <row r="240" ht="15.75">
      <c r="A240" s="61" t="s">
        <v>17</v>
      </c>
    </row>
    <row r="241" ht="15.75">
      <c r="A241" s="61" t="s">
        <v>18</v>
      </c>
    </row>
    <row r="242" ht="31.5">
      <c r="A242" s="63" t="s">
        <v>19</v>
      </c>
    </row>
    <row r="243" ht="15.75">
      <c r="A243" s="61" t="s">
        <v>67</v>
      </c>
    </row>
    <row r="244" ht="15.75">
      <c r="A244" s="61" t="s">
        <v>68</v>
      </c>
    </row>
    <row r="245" ht="15.75">
      <c r="A245" s="61" t="s">
        <v>69</v>
      </c>
    </row>
    <row r="246" ht="15.75">
      <c r="A246" s="61" t="s">
        <v>70</v>
      </c>
    </row>
    <row r="247" ht="15.75">
      <c r="A247" s="61" t="s">
        <v>71</v>
      </c>
    </row>
    <row r="248" ht="15.75">
      <c r="A248" s="61" t="s">
        <v>72</v>
      </c>
    </row>
    <row r="249" ht="15.75">
      <c r="A249" s="61" t="s">
        <v>73</v>
      </c>
    </row>
    <row r="250" ht="15.75">
      <c r="A250" s="61" t="s">
        <v>74</v>
      </c>
    </row>
    <row r="251" ht="15.75">
      <c r="A251" s="61" t="s">
        <v>75</v>
      </c>
    </row>
    <row r="252" ht="31.5">
      <c r="A252" s="63" t="s">
        <v>76</v>
      </c>
    </row>
    <row r="253" ht="15.75">
      <c r="A253" s="61" t="s">
        <v>77</v>
      </c>
    </row>
    <row r="254" ht="15.75">
      <c r="A254" s="61" t="s">
        <v>78</v>
      </c>
    </row>
    <row r="255" ht="15.75">
      <c r="A255" s="61" t="s">
        <v>79</v>
      </c>
    </row>
    <row r="256" ht="15.75">
      <c r="A256" s="61" t="s">
        <v>80</v>
      </c>
    </row>
  </sheetData>
  <sheetProtection/>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S60" sqref="S60"/>
    </sheetView>
  </sheetViews>
  <sheetFormatPr defaultColWidth="8.796875" defaultRowHeight="15"/>
  <cols>
    <col min="1" max="1" width="13.796875" style="0" customWidth="1"/>
    <col min="2" max="2" width="16.09765625" style="0" customWidth="1"/>
  </cols>
  <sheetData>
    <row r="1" ht="15">
      <c r="J1" s="622" t="s">
        <v>795</v>
      </c>
    </row>
    <row r="2" spans="1:10" ht="54" customHeight="1">
      <c r="A2" s="961" t="s">
        <v>360</v>
      </c>
      <c r="B2" s="962"/>
      <c r="C2" s="962"/>
      <c r="D2" s="962"/>
      <c r="E2" s="962"/>
      <c r="F2" s="962"/>
      <c r="J2" s="622" t="s">
        <v>796</v>
      </c>
    </row>
    <row r="3" spans="1:10" ht="15.75">
      <c r="A3" s="1" t="s">
        <v>797</v>
      </c>
      <c r="B3" s="725"/>
      <c r="C3" s="726"/>
      <c r="J3" s="622" t="s">
        <v>798</v>
      </c>
    </row>
    <row r="4" spans="1:10" ht="15.75">
      <c r="A4" s="1"/>
      <c r="B4" s="623"/>
      <c r="J4" s="622" t="s">
        <v>799</v>
      </c>
    </row>
    <row r="5" spans="1:10" ht="15.75">
      <c r="A5" s="1" t="s">
        <v>615</v>
      </c>
      <c r="B5" s="727"/>
      <c r="J5" s="622" t="s">
        <v>800</v>
      </c>
    </row>
    <row r="6" spans="1:10" ht="15.75">
      <c r="A6" s="624"/>
      <c r="B6" s="624"/>
      <c r="C6" s="624"/>
      <c r="D6" s="625" t="s">
        <v>362</v>
      </c>
      <c r="E6" s="624"/>
      <c r="F6" s="624"/>
      <c r="J6" s="622" t="s">
        <v>801</v>
      </c>
    </row>
    <row r="7" spans="1:10" ht="15.75">
      <c r="A7" s="625" t="s">
        <v>361</v>
      </c>
      <c r="B7" s="727"/>
      <c r="C7" s="626"/>
      <c r="D7" s="625">
        <f>IF(B7="","",CONCATENATE("Latest date for notice to be published in your newspaper: ",G18," ",G22,", ",G23))</f>
      </c>
      <c r="E7" s="624"/>
      <c r="F7" s="624"/>
      <c r="J7" s="622" t="s">
        <v>802</v>
      </c>
    </row>
    <row r="8" spans="1:10" ht="15.75">
      <c r="A8" s="625"/>
      <c r="B8" s="627"/>
      <c r="C8" s="628"/>
      <c r="D8" s="625"/>
      <c r="E8" s="624"/>
      <c r="F8" s="624"/>
      <c r="J8" s="622" t="s">
        <v>803</v>
      </c>
    </row>
    <row r="9" spans="1:10" ht="15.75">
      <c r="A9" s="625" t="s">
        <v>363</v>
      </c>
      <c r="B9" s="727"/>
      <c r="C9" s="629"/>
      <c r="D9" s="625"/>
      <c r="E9" s="624"/>
      <c r="F9" s="624"/>
      <c r="J9" s="622" t="s">
        <v>804</v>
      </c>
    </row>
    <row r="10" spans="1:10" ht="15.75">
      <c r="A10" s="625"/>
      <c r="B10" s="625"/>
      <c r="C10" s="625"/>
      <c r="D10" s="625"/>
      <c r="E10" s="624"/>
      <c r="F10" s="624"/>
      <c r="J10" s="622" t="s">
        <v>805</v>
      </c>
    </row>
    <row r="11" spans="1:10" ht="15.75">
      <c r="A11" s="625" t="s">
        <v>364</v>
      </c>
      <c r="B11" s="728"/>
      <c r="C11" s="729"/>
      <c r="D11" s="729"/>
      <c r="E11" s="730"/>
      <c r="F11" s="624"/>
      <c r="J11" s="622" t="s">
        <v>806</v>
      </c>
    </row>
    <row r="12" spans="1:10" ht="15.75">
      <c r="A12" s="625"/>
      <c r="B12" s="625"/>
      <c r="C12" s="625"/>
      <c r="D12" s="625"/>
      <c r="E12" s="624"/>
      <c r="F12" s="624"/>
      <c r="J12" s="622" t="s">
        <v>807</v>
      </c>
    </row>
    <row r="13" spans="1:6" ht="15.75">
      <c r="A13" s="625"/>
      <c r="B13" s="625"/>
      <c r="C13" s="625"/>
      <c r="D13" s="625"/>
      <c r="E13" s="624"/>
      <c r="F13" s="624"/>
    </row>
    <row r="14" spans="1:6" ht="15.75">
      <c r="A14" s="625" t="s">
        <v>365</v>
      </c>
      <c r="B14" s="728"/>
      <c r="C14" s="729"/>
      <c r="D14" s="729"/>
      <c r="E14" s="730"/>
      <c r="F14" s="624"/>
    </row>
    <row r="17" spans="1:6" ht="15.75">
      <c r="A17" s="963" t="s">
        <v>366</v>
      </c>
      <c r="B17" s="963"/>
      <c r="C17" s="625"/>
      <c r="D17" s="625"/>
      <c r="E17" s="625"/>
      <c r="F17" s="624"/>
    </row>
    <row r="18" spans="1:7" ht="15.75">
      <c r="A18" s="625"/>
      <c r="B18" s="625"/>
      <c r="C18" s="625"/>
      <c r="D18" s="625"/>
      <c r="E18" s="625"/>
      <c r="F18" s="624"/>
      <c r="G18" s="622">
        <f ca="1">IF(B7="","",INDIRECT(G19))</f>
      </c>
    </row>
    <row r="19" spans="1:7" ht="15.75">
      <c r="A19" s="625" t="s">
        <v>615</v>
      </c>
      <c r="B19" s="625" t="s">
        <v>616</v>
      </c>
      <c r="C19" s="625"/>
      <c r="D19" s="625"/>
      <c r="E19" s="625"/>
      <c r="F19" s="624"/>
      <c r="G19" s="630">
        <f>IF(B7="","",CONCATENATE("J",G21))</f>
      </c>
    </row>
    <row r="20" spans="1:7" ht="15.75">
      <c r="A20" s="625"/>
      <c r="B20" s="625"/>
      <c r="C20" s="625"/>
      <c r="D20" s="625"/>
      <c r="E20" s="625"/>
      <c r="F20" s="624"/>
      <c r="G20" s="631">
        <f>B7-10</f>
        <v>-10</v>
      </c>
    </row>
    <row r="21" spans="1:7" ht="15.75">
      <c r="A21" s="625" t="s">
        <v>361</v>
      </c>
      <c r="B21" s="627" t="s">
        <v>367</v>
      </c>
      <c r="C21" s="625"/>
      <c r="D21" s="625"/>
      <c r="E21" s="625"/>
      <c r="G21" s="632">
        <f>IF(B7="","",MONTH(G20))</f>
      </c>
    </row>
    <row r="22" spans="1:7" ht="15.75">
      <c r="A22" s="625"/>
      <c r="B22" s="625"/>
      <c r="C22" s="625"/>
      <c r="D22" s="625"/>
      <c r="E22" s="625"/>
      <c r="G22" s="633">
        <f>IF(B7="","",DAY(G20))</f>
      </c>
    </row>
    <row r="23" spans="1:7" ht="15.75">
      <c r="A23" s="625" t="s">
        <v>363</v>
      </c>
      <c r="B23" s="625" t="s">
        <v>368</v>
      </c>
      <c r="C23" s="625"/>
      <c r="D23" s="625"/>
      <c r="E23" s="625"/>
      <c r="G23" s="634">
        <f>IF(B7="","",YEAR(G20))</f>
      </c>
    </row>
    <row r="24" spans="1:5" ht="15.75">
      <c r="A24" s="625"/>
      <c r="B24" s="625"/>
      <c r="C24" s="625"/>
      <c r="D24" s="625"/>
      <c r="E24" s="625"/>
    </row>
    <row r="25" spans="1:5" ht="15.75">
      <c r="A25" s="625" t="s">
        <v>364</v>
      </c>
      <c r="B25" s="625" t="s">
        <v>369</v>
      </c>
      <c r="C25" s="625"/>
      <c r="D25" s="625"/>
      <c r="E25" s="625"/>
    </row>
    <row r="26" spans="1:5" ht="15.75">
      <c r="A26" s="625"/>
      <c r="B26" s="625"/>
      <c r="C26" s="625"/>
      <c r="D26" s="625"/>
      <c r="E26" s="625"/>
    </row>
    <row r="27" spans="1:5" ht="15.75">
      <c r="A27" s="625" t="s">
        <v>365</v>
      </c>
      <c r="B27" s="625" t="s">
        <v>369</v>
      </c>
      <c r="C27" s="625"/>
      <c r="D27" s="625"/>
      <c r="E27" s="62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A40"/>
  <sheetViews>
    <sheetView zoomScalePageLayoutView="0" workbookViewId="0" topLeftCell="A1">
      <selection activeCell="A61" sqref="A61"/>
    </sheetView>
  </sheetViews>
  <sheetFormatPr defaultColWidth="8.796875" defaultRowHeight="15"/>
  <cols>
    <col min="1" max="1" width="89.09765625" style="0" customWidth="1"/>
  </cols>
  <sheetData>
    <row r="1" ht="15.75">
      <c r="A1" s="905" t="s">
        <v>1025</v>
      </c>
    </row>
    <row r="2" ht="15.75">
      <c r="A2" s="99"/>
    </row>
    <row r="3" ht="15.75">
      <c r="A3" s="99"/>
    </row>
    <row r="4" ht="15.75">
      <c r="A4" s="99"/>
    </row>
    <row r="5" ht="15.75">
      <c r="A5" s="99"/>
    </row>
    <row r="6" ht="15.75">
      <c r="A6" s="99"/>
    </row>
    <row r="7" ht="15.75">
      <c r="A7" s="99"/>
    </row>
    <row r="8" ht="15.75">
      <c r="A8" s="99"/>
    </row>
    <row r="9" ht="15.75">
      <c r="A9" s="99"/>
    </row>
    <row r="10" ht="15.75">
      <c r="A10" s="99"/>
    </row>
    <row r="11" ht="15.75">
      <c r="A11" s="99"/>
    </row>
    <row r="12" ht="15.75">
      <c r="A12" s="99"/>
    </row>
    <row r="13" ht="15.75">
      <c r="A13" s="99"/>
    </row>
    <row r="14" ht="15.75">
      <c r="A14" s="99"/>
    </row>
    <row r="15" ht="15.75">
      <c r="A15" s="99"/>
    </row>
    <row r="16" ht="15.75">
      <c r="A16" s="99"/>
    </row>
    <row r="17" ht="15.75">
      <c r="A17" s="99"/>
    </row>
    <row r="18" ht="15.75">
      <c r="A18" s="99"/>
    </row>
    <row r="19" ht="15.75">
      <c r="A19" s="99"/>
    </row>
    <row r="20" ht="15.75">
      <c r="A20" s="99"/>
    </row>
    <row r="21" ht="15.75">
      <c r="A21" s="99"/>
    </row>
    <row r="22" ht="15.75">
      <c r="A22" s="99"/>
    </row>
    <row r="23" ht="15.75">
      <c r="A23" s="99"/>
    </row>
    <row r="24" ht="15.75">
      <c r="A24" s="99"/>
    </row>
    <row r="25" ht="15.75">
      <c r="A25" s="99"/>
    </row>
    <row r="26" ht="15.75">
      <c r="A26" s="99"/>
    </row>
    <row r="27" ht="15.75">
      <c r="A27" s="99"/>
    </row>
    <row r="28" ht="15.75">
      <c r="A28" s="99"/>
    </row>
    <row r="29" ht="15.75">
      <c r="A29" s="99"/>
    </row>
    <row r="30" ht="15.75">
      <c r="A30" s="99"/>
    </row>
    <row r="31" ht="15.75">
      <c r="A31" s="99"/>
    </row>
    <row r="32" ht="15.75">
      <c r="A32" s="99"/>
    </row>
    <row r="33" ht="15.75">
      <c r="A33" s="99"/>
    </row>
    <row r="34" ht="15.75">
      <c r="A34" s="99"/>
    </row>
    <row r="35" ht="15.75">
      <c r="A35" s="99"/>
    </row>
    <row r="36" ht="15.75">
      <c r="A36" s="99"/>
    </row>
    <row r="37" ht="15.75">
      <c r="A37" s="99"/>
    </row>
    <row r="38" ht="15.75">
      <c r="A38" s="99"/>
    </row>
    <row r="39" ht="15.75">
      <c r="A39" s="99"/>
    </row>
    <row r="40" ht="15.75">
      <c r="A40" s="9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
      <selection activeCell="J90" sqref="J90"/>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inputPrYr!$C$6</f>
        <v>0</v>
      </c>
    </row>
    <row r="2" spans="1:6" ht="15" customHeight="1">
      <c r="A2" s="74"/>
      <c r="B2" s="74"/>
      <c r="C2" s="76" t="s">
        <v>205</v>
      </c>
      <c r="D2" s="74"/>
      <c r="E2" s="74"/>
      <c r="F2" s="154"/>
    </row>
    <row r="3" spans="1:6" s="75" customFormat="1" ht="15" customHeight="1">
      <c r="A3" s="964" t="str">
        <f>CONCATENATE("To the Clerk of ",inputPrYr!D4,", State of Kansas")</f>
        <v>To the Clerk of , State of Kansas</v>
      </c>
      <c r="B3" s="944"/>
      <c r="C3" s="944"/>
      <c r="D3" s="944"/>
      <c r="E3" s="944"/>
      <c r="F3" s="944"/>
    </row>
    <row r="4" spans="1:6" s="75" customFormat="1" ht="15" customHeight="1">
      <c r="A4" s="81" t="s">
        <v>602</v>
      </c>
      <c r="B4" s="80"/>
      <c r="C4" s="80"/>
      <c r="D4" s="80"/>
      <c r="E4" s="80"/>
      <c r="F4" s="80"/>
    </row>
    <row r="5" spans="1:6" s="75" customFormat="1" ht="15" customHeight="1">
      <c r="A5" s="74"/>
      <c r="B5" s="74"/>
      <c r="C5" s="412">
        <f>(inputPrYr!D3)</f>
        <v>0</v>
      </c>
      <c r="D5" s="74"/>
      <c r="E5" s="74"/>
      <c r="F5" s="74"/>
    </row>
    <row r="6" spans="1:6" s="75" customFormat="1" ht="15" customHeight="1">
      <c r="A6" s="81" t="s">
        <v>123</v>
      </c>
      <c r="B6" s="80"/>
      <c r="C6" s="80"/>
      <c r="D6" s="80"/>
      <c r="E6" s="80"/>
      <c r="F6" s="80"/>
    </row>
    <row r="7" spans="1:6" s="75" customFormat="1" ht="15" customHeight="1">
      <c r="A7" s="81" t="s">
        <v>124</v>
      </c>
      <c r="B7" s="80"/>
      <c r="C7" s="80"/>
      <c r="D7" s="80"/>
      <c r="E7" s="80"/>
      <c r="F7" s="80"/>
    </row>
    <row r="8" spans="1:6" s="75" customFormat="1" ht="15" customHeight="1">
      <c r="A8" s="81" t="str">
        <f>CONCATENATE("maximum expenditure for the various funds for the year ",D11,"; and")</f>
        <v>maximum expenditure for the various funds for the year 0; and</v>
      </c>
      <c r="B8" s="80"/>
      <c r="C8" s="80"/>
      <c r="D8" s="80"/>
      <c r="E8" s="80"/>
      <c r="F8" s="80"/>
    </row>
    <row r="9" spans="1:6" s="75" customFormat="1" ht="15" customHeight="1">
      <c r="A9" s="81" t="str">
        <f>CONCATENATE("(3) the Amount(s) of ",E12," Ad Valorem Tax are within statutory limiations.")</f>
        <v>(3) the Amount(s) of Amount of -1 Ad Valorem Tax Ad Valorem Tax are within statutory limiations.</v>
      </c>
      <c r="B9" s="80"/>
      <c r="C9" s="80"/>
      <c r="D9" s="80"/>
      <c r="E9" s="80"/>
      <c r="F9" s="80"/>
    </row>
    <row r="10" spans="1:6" ht="15" customHeight="1">
      <c r="A10" s="156"/>
      <c r="B10" s="157"/>
      <c r="C10" s="157"/>
      <c r="D10" s="158"/>
      <c r="E10" s="157"/>
      <c r="F10" s="157"/>
    </row>
    <row r="11" spans="1:6" ht="15" customHeight="1">
      <c r="A11" s="74"/>
      <c r="B11" s="74"/>
      <c r="C11" s="159"/>
      <c r="D11" s="160">
        <f>inputPrYr!$C$6</f>
        <v>0</v>
      </c>
      <c r="E11" s="161" t="s">
        <v>147</v>
      </c>
      <c r="F11" s="162"/>
    </row>
    <row r="12" spans="1:6" ht="16.5" customHeight="1">
      <c r="A12" s="157"/>
      <c r="B12" s="74"/>
      <c r="C12" s="163"/>
      <c r="D12" s="165"/>
      <c r="E12" s="965" t="str">
        <f>CONCATENATE("Amount of ",$F$1-1," Ad Valorem Tax")</f>
        <v>Amount of -1 Ad Valorem Tax</v>
      </c>
      <c r="F12" s="165" t="s">
        <v>126</v>
      </c>
    </row>
    <row r="13" spans="1:6" ht="14.25" customHeight="1">
      <c r="A13" s="74"/>
      <c r="B13" s="74"/>
      <c r="C13" s="165" t="s">
        <v>127</v>
      </c>
      <c r="D13" s="166" t="s">
        <v>46</v>
      </c>
      <c r="E13" s="966"/>
      <c r="F13" s="166" t="s">
        <v>128</v>
      </c>
    </row>
    <row r="14" spans="1:6" ht="14.25" customHeight="1">
      <c r="A14" s="167" t="s">
        <v>129</v>
      </c>
      <c r="B14" s="106"/>
      <c r="C14" s="168" t="s">
        <v>130</v>
      </c>
      <c r="D14" s="168" t="s">
        <v>627</v>
      </c>
      <c r="E14" s="967"/>
      <c r="F14" s="168" t="s">
        <v>132</v>
      </c>
    </row>
    <row r="15" spans="1:6" ht="15" customHeight="1">
      <c r="A15" s="169" t="s">
        <v>278</v>
      </c>
      <c r="B15" s="170">
        <f>inputPrYr!$C$6</f>
        <v>0</v>
      </c>
      <c r="C15" s="171">
        <v>2</v>
      </c>
      <c r="D15" s="99"/>
      <c r="E15" s="99"/>
      <c r="F15" s="172"/>
    </row>
    <row r="16" spans="1:6" ht="15" customHeight="1">
      <c r="A16" s="164" t="s">
        <v>772</v>
      </c>
      <c r="B16" s="173"/>
      <c r="C16" s="171">
        <v>3</v>
      </c>
      <c r="D16" s="99"/>
      <c r="E16" s="99"/>
      <c r="F16" s="159"/>
    </row>
    <row r="17" spans="1:6" ht="15" customHeight="1">
      <c r="A17" s="169" t="s">
        <v>260</v>
      </c>
      <c r="B17" s="115"/>
      <c r="C17" s="174">
        <v>4</v>
      </c>
      <c r="D17" s="99"/>
      <c r="E17" s="99"/>
      <c r="F17" s="159"/>
    </row>
    <row r="18" spans="1:6" ht="15" customHeight="1">
      <c r="A18" s="169" t="s">
        <v>133</v>
      </c>
      <c r="B18" s="115"/>
      <c r="C18" s="174">
        <v>5</v>
      </c>
      <c r="D18" s="99"/>
      <c r="E18" s="99"/>
      <c r="F18" s="159"/>
    </row>
    <row r="19" spans="1:7" ht="15" customHeight="1">
      <c r="A19" s="169" t="s">
        <v>134</v>
      </c>
      <c r="B19" s="115"/>
      <c r="C19" s="174">
        <v>6</v>
      </c>
      <c r="D19" s="99"/>
      <c r="E19" s="99"/>
      <c r="F19" s="159"/>
      <c r="G19" s="175"/>
    </row>
    <row r="20" spans="1:7" ht="15" customHeight="1">
      <c r="A20" s="264">
        <f>IF(inputPrYr!D24="","","Computation to Determine State Library Grant")</f>
      </c>
      <c r="B20" s="106"/>
      <c r="C20" s="174">
        <f>IF(inputPrYr!D24="","",'Library Grant'!F40)</f>
      </c>
      <c r="D20" s="99"/>
      <c r="E20" s="99"/>
      <c r="F20" s="159"/>
      <c r="G20" s="175"/>
    </row>
    <row r="21" spans="1:6" ht="15" customHeight="1">
      <c r="A21" s="176" t="s">
        <v>135</v>
      </c>
      <c r="B21" s="177" t="s">
        <v>136</v>
      </c>
      <c r="C21" s="178"/>
      <c r="D21" s="99"/>
      <c r="E21" s="99"/>
      <c r="F21" s="159"/>
    </row>
    <row r="22" spans="1:6" ht="15" customHeight="1">
      <c r="A22" s="88" t="s">
        <v>116</v>
      </c>
      <c r="B22" s="179" t="str">
        <f>inputPrYr!C22</f>
        <v>12-101a</v>
      </c>
      <c r="C22" s="171">
        <f>general!C74</f>
        <v>7</v>
      </c>
      <c r="D22" s="404">
        <f>IF((general!$E$61)&lt;&gt;0,general!$E$61,"")</f>
      </c>
      <c r="E22" s="635">
        <f>IF((general!$E$68)&lt;&gt;0,(general!$E$68),0)</f>
        <v>0</v>
      </c>
      <c r="F22" s="636">
        <f aca="true" t="shared" si="0" ref="F22:F28">IF($F$41=0,"",ROUND(E22/$F$41*1000,3))</f>
      </c>
    </row>
    <row r="23" spans="1:6" ht="15" customHeight="1">
      <c r="A23" s="88" t="s">
        <v>98</v>
      </c>
      <c r="B23" s="179" t="s">
        <v>275</v>
      </c>
      <c r="C23" s="171">
        <f>IF(DebtService!C68&gt;0,DebtService!C68,"")</f>
      </c>
      <c r="D23" s="404">
        <f>IF((DebtService!E55)&lt;&gt;0,(DebtService!E55),"")</f>
      </c>
      <c r="E23" s="635">
        <f>IF((DebtService!E62)&lt;&gt;0,(DebtService!E62),0)</f>
        <v>0</v>
      </c>
      <c r="F23" s="636">
        <f t="shared" si="0"/>
      </c>
    </row>
    <row r="24" spans="1:6" ht="15" customHeight="1">
      <c r="A24" s="109" t="str">
        <f>IF((inputPrYr!$B24&gt;"  "),(inputPrYr!$B24),"  ")</f>
        <v>Library</v>
      </c>
      <c r="B24" s="179" t="str">
        <f>IF((inputPrYr!$C24&gt;"  "),(inputPrYr!$C24),"  ")</f>
        <v>12-1220</v>
      </c>
      <c r="C24" s="171" t="str">
        <f>IF('Library-Rec'!C86&gt;0,'Library-Rec'!C86," ")</f>
        <v> </v>
      </c>
      <c r="D24" s="404">
        <f>IF(('Library-Rec'!$E$35)&lt;&gt;0,('Library-Rec'!$E$35),"")</f>
      </c>
      <c r="E24" s="404">
        <f>IF(('Library-Rec'!$E$42)&lt;&gt;0,('Library-Rec'!$E$42),"")</f>
      </c>
      <c r="F24" s="636">
        <f t="shared" si="0"/>
      </c>
    </row>
    <row r="25" spans="1:6" ht="15" customHeight="1">
      <c r="A25" s="109" t="str">
        <f>IF((inputPrYr!$B26&gt;"  "),(inputPrYr!$B26),"  ")</f>
        <v>  </v>
      </c>
      <c r="B25" s="179" t="str">
        <f>IF((inputPrYr!$C26&gt;"  "),(inputPrYr!$C26),"  ")</f>
        <v>  </v>
      </c>
      <c r="C25" s="171" t="str">
        <f>IF('levy page9'!C83&gt;0,'levy page9'!C83," ")</f>
        <v> </v>
      </c>
      <c r="D25" s="404">
        <f>IF(('levy page9'!$E$35)&lt;&gt;0,('levy page9'!$E$35),"")</f>
      </c>
      <c r="E25" s="635">
        <f>IF(('levy page9'!$E$42)&lt;&gt;0,('levy page9'!$E$42),0)</f>
        <v>0</v>
      </c>
      <c r="F25" s="636">
        <f t="shared" si="0"/>
      </c>
    </row>
    <row r="26" spans="1:6" ht="15" customHeight="1">
      <c r="A26" s="109" t="str">
        <f>IF((inputPrYr!$B27&gt;"  "),(inputPrYr!$B27),"  ")</f>
        <v>  </v>
      </c>
      <c r="B26" s="179" t="str">
        <f>IF((inputPrYr!$C27&gt;"  "),(inputPrYr!$C27),"  ")</f>
        <v>  </v>
      </c>
      <c r="C26" s="171" t="str">
        <f>IF('levy page9'!C83&gt;0,'levy page9'!C83," ")</f>
        <v> </v>
      </c>
      <c r="D26" s="404">
        <f>IF(('levy page9'!$E$71)&lt;&gt;0,('levy page9'!$E$71),"")</f>
      </c>
      <c r="E26" s="635">
        <f>IF(('levy page9'!$E$78)&lt;&gt;0,('levy page9'!$E$78),0)</f>
        <v>0</v>
      </c>
      <c r="F26" s="636">
        <f t="shared" si="0"/>
      </c>
    </row>
    <row r="27" spans="1:6" ht="15" customHeight="1">
      <c r="A27" s="109" t="str">
        <f>IF((inputPrYr!$B28&gt;"  "),(inputPrYr!$B28),"  ")</f>
        <v>  </v>
      </c>
      <c r="B27" s="179" t="str">
        <f>IF((inputPrYr!$C28&gt;"  "),(inputPrYr!$C28),"  ")</f>
        <v>  </v>
      </c>
      <c r="C27" s="171" t="str">
        <f>IF('levy page10'!C86&gt;0,'levy page10'!C86," ")</f>
        <v> </v>
      </c>
      <c r="D27" s="404">
        <f>IF(('levy page10'!$E$35)&lt;&gt;0,('levy page10'!$E$35),"")</f>
      </c>
      <c r="E27" s="635">
        <f>IF(('levy page10'!$E$42)&lt;&gt;0,('levy page10'!$E$42),0)</f>
        <v>0</v>
      </c>
      <c r="F27" s="636">
        <f t="shared" si="0"/>
      </c>
    </row>
    <row r="28" spans="1:6" ht="15" customHeight="1">
      <c r="A28" s="109" t="str">
        <f>IF((inputPrYr!$B29&gt;"  "),(inputPrYr!$B29),"  ")</f>
        <v>  </v>
      </c>
      <c r="B28" s="179" t="str">
        <f>IF((inputPrYr!$C29&gt;"  "),(inputPrYr!$C29),"  ")</f>
        <v>  </v>
      </c>
      <c r="C28" s="171" t="str">
        <f>IF('levy page10'!C86&gt;0,'levy page10'!C86," ")</f>
        <v> </v>
      </c>
      <c r="D28" s="404">
        <f>IF(('levy page10'!$E$74)&lt;&gt;0,('levy page10'!$E$74),"")</f>
      </c>
      <c r="E28" s="635">
        <f>IF(('levy page10'!$E$81)&lt;&gt;0,('levy page10'!$E$81),0)</f>
        <v>0</v>
      </c>
      <c r="F28" s="636">
        <f t="shared" si="0"/>
      </c>
    </row>
    <row r="29" spans="1:6" ht="15" customHeight="1">
      <c r="A29" s="181" t="str">
        <f>IF((inputPrYr!$B35&gt;"  "),(inputPrYr!$B35),"  ")</f>
        <v>Special Highway</v>
      </c>
      <c r="B29" s="115"/>
      <c r="C29" s="174" t="str">
        <f>IF(SpecHwy!C65&gt;0,SpecHwy!C65," ")</f>
        <v> </v>
      </c>
      <c r="D29" s="404">
        <f>IF((SpecHwy!$E$24)&lt;&gt;0,(SpecHwy!$E$24),"")</f>
      </c>
      <c r="E29" s="223"/>
      <c r="F29" s="223"/>
    </row>
    <row r="30" spans="1:6" ht="15" customHeight="1">
      <c r="A30" s="181" t="str">
        <f>IF((inputPrYr!$B36&gt;"  "),(inputPrYr!$B36),"  ")</f>
        <v>  </v>
      </c>
      <c r="B30" s="115"/>
      <c r="C30" s="174" t="str">
        <f>IF(SpecHwy!C65&gt;0,SpecHwy!C65," ")</f>
        <v> </v>
      </c>
      <c r="D30" s="404">
        <f>IF((SpecHwy!$E$58)&lt;&gt;0,(SpecHwy!$E$58),"")</f>
      </c>
      <c r="E30" s="223"/>
      <c r="F30" s="223"/>
    </row>
    <row r="31" spans="1:6" ht="15" customHeight="1">
      <c r="A31" s="182" t="str">
        <f>IF((inputPrYr!$B37&gt;"  "),(inputPrYr!$B37),"  ")</f>
        <v>  </v>
      </c>
      <c r="B31" s="115"/>
      <c r="C31" s="174" t="str">
        <f>IF('no levy page12'!C69&gt;0,'no levy page12'!C69," ")</f>
        <v> </v>
      </c>
      <c r="D31" s="404">
        <f>IF(('no levy page12'!$E$30)&lt;&gt;0,('no levy page12'!$E$30),"")</f>
      </c>
      <c r="E31" s="223"/>
      <c r="F31" s="223"/>
    </row>
    <row r="32" spans="1:6" ht="15" customHeight="1">
      <c r="A32" s="182" t="str">
        <f>IF((inputPrYr!$B38&gt;"  "),(inputPrYr!$B38),"  ")</f>
        <v>  </v>
      </c>
      <c r="B32" s="115"/>
      <c r="C32" s="174" t="str">
        <f>IF('no levy page12'!C69&gt;0,'no levy page12'!C69," ")</f>
        <v> </v>
      </c>
      <c r="D32" s="404">
        <f>IF(('no levy page12'!$E$61)&lt;&gt;0,('no levy page12'!$E$61),"")</f>
      </c>
      <c r="E32" s="223"/>
      <c r="F32" s="223"/>
    </row>
    <row r="33" spans="1:6" ht="15" customHeight="1">
      <c r="A33" s="182" t="str">
        <f>IF((inputPrYr!$B39&gt;"  "),(inputPrYr!$B39),"  ")</f>
        <v>  </v>
      </c>
      <c r="B33" s="115"/>
      <c r="C33" s="174" t="str">
        <f>IF('no levy page13'!C68&gt;0,'no levy page13'!C68," ")</f>
        <v> </v>
      </c>
      <c r="D33" s="404">
        <f>IF(('no levy page13'!$E$28)&lt;&gt;0,('no levy page13'!$E$28),"")</f>
      </c>
      <c r="E33" s="223"/>
      <c r="F33" s="223"/>
    </row>
    <row r="34" spans="1:6" ht="15" customHeight="1">
      <c r="A34" s="183" t="str">
        <f>IF((inputPrYr!$B40&gt;"  "),(inputPrYr!$B40),"  ")</f>
        <v>  </v>
      </c>
      <c r="B34" s="115"/>
      <c r="C34" s="174" t="str">
        <f>IF('no levy page13'!C68&gt;0,'no levy page13'!C68," ")</f>
        <v> </v>
      </c>
      <c r="D34" s="404">
        <f>IF(('no levy page13'!$E$60)&lt;&gt;0,('no levy page13'!$E$60),"")</f>
      </c>
      <c r="E34" s="223"/>
      <c r="F34" s="223"/>
    </row>
    <row r="35" spans="1:6" ht="15" customHeight="1">
      <c r="A35" s="182" t="str">
        <f>IF((inputPrYr!$B42&gt;"  "),(inputPrYr!$B42),"  ")</f>
        <v>  </v>
      </c>
      <c r="B35" s="115"/>
      <c r="C35" s="174" t="str">
        <f>IF(Sinnolevy14!C57&gt;0,Sinnolevy14!C57," ")</f>
        <v> </v>
      </c>
      <c r="D35" s="404">
        <f>IF((Sinnolevy14!$E$49)&lt;&gt;0,(Sinnolevy14!$E$49),"")</f>
      </c>
      <c r="E35" s="223"/>
      <c r="F35" s="223"/>
    </row>
    <row r="36" spans="1:6" ht="15" customHeight="1" thickBot="1">
      <c r="A36" s="181" t="str">
        <f>IF((inputPrYr!$B45&gt;"  "),(nonbud!$A3),"  ")</f>
        <v>  </v>
      </c>
      <c r="B36" s="115"/>
      <c r="C36" s="174" t="str">
        <f>IF(nonbud!F37&gt;0,nonbud!F37," ")</f>
        <v> </v>
      </c>
      <c r="D36" s="637"/>
      <c r="E36" s="638"/>
      <c r="F36" s="638"/>
    </row>
    <row r="37" spans="1:6" ht="16.5" customHeight="1">
      <c r="A37" s="275" t="s">
        <v>625</v>
      </c>
      <c r="B37" s="114"/>
      <c r="C37" s="408" t="s">
        <v>137</v>
      </c>
      <c r="D37" s="639">
        <f>SUM(D22:D35)</f>
        <v>0</v>
      </c>
      <c r="E37" s="639">
        <f>SUM(E22:E35)</f>
        <v>0</v>
      </c>
      <c r="F37" s="640">
        <f>IF(SUM(F22:F36)=0,"",SUM(F22:F36))</f>
      </c>
    </row>
    <row r="38" spans="1:7" ht="16.5" customHeight="1">
      <c r="A38" s="164" t="str">
        <f>inputPrYr!B32</f>
        <v>Recreation</v>
      </c>
      <c r="B38" s="644" t="str">
        <f>inputPrYr!C32</f>
        <v>12-1927</v>
      </c>
      <c r="C38" s="171">
        <f>IF('Library-Rec'!C86&gt;0,'Library-Rec'!C86,"")</f>
      </c>
      <c r="D38" s="404">
        <f>IF(('Library-Rec'!$E$74)&lt;&gt;0,('Library-Rec'!$E$74),"")</f>
      </c>
      <c r="E38" s="404">
        <f>IF(('Library-Rec'!$E$81)&lt;&gt;0,('Library-Rec'!$E$81),"")</f>
      </c>
      <c r="F38" s="641">
        <f>IF(F41=0,0,ROUND(E38/$F$41*1000,3))</f>
        <v>0</v>
      </c>
      <c r="G38" s="418">
        <f>IF(F38&gt;inputOth!E6,"Exceed Limit","")</f>
      </c>
    </row>
    <row r="39" spans="1:6" ht="16.5" customHeight="1" thickBot="1">
      <c r="A39" s="406" t="s">
        <v>626</v>
      </c>
      <c r="B39" s="130"/>
      <c r="C39" s="674" t="s">
        <v>137</v>
      </c>
      <c r="D39" s="675">
        <f>SUM(D37:D38)</f>
        <v>0</v>
      </c>
      <c r="E39" s="642">
        <f>SUM(E37:E38)</f>
        <v>0</v>
      </c>
      <c r="F39" s="643">
        <f>IF(SUM(F37:F38)=0,"",SUM(F37:F38))</f>
      </c>
    </row>
    <row r="40" spans="1:6" ht="16.5" customHeight="1" thickTop="1">
      <c r="A40" s="740"/>
      <c r="B40" s="416"/>
      <c r="C40" s="415"/>
      <c r="D40" s="676"/>
      <c r="E40" s="414"/>
      <c r="F40" s="407" t="s">
        <v>265</v>
      </c>
    </row>
    <row r="41" spans="1:6" ht="15" customHeight="1">
      <c r="A41" s="169" t="s">
        <v>22</v>
      </c>
      <c r="B41" s="115"/>
      <c r="C41" s="673">
        <f>summ!D51</f>
        <v>0</v>
      </c>
      <c r="D41" s="185"/>
      <c r="E41" s="74"/>
      <c r="F41" s="413"/>
    </row>
    <row r="42" spans="1:6" ht="15" customHeight="1">
      <c r="A42" s="169" t="s">
        <v>109</v>
      </c>
      <c r="B42" s="115"/>
      <c r="C42" s="174">
        <f>IF(Nhood!C33&gt;0,Nhood!C33,"")</f>
      </c>
      <c r="D42" s="185"/>
      <c r="E42" s="74"/>
      <c r="F42" s="968" t="str">
        <f>CONCATENATE("Nov 1, ",F1-1," Total Assessed Valuation")</f>
        <v>Nov 1, -1 Total Assessed Valuation</v>
      </c>
    </row>
    <row r="43" spans="1:6" ht="15" customHeight="1">
      <c r="A43" s="102"/>
      <c r="B43" s="99"/>
      <c r="C43" s="923"/>
      <c r="D43" s="924"/>
      <c r="E43" s="74"/>
      <c r="F43" s="969"/>
    </row>
    <row r="44" spans="1:6" ht="15" customHeight="1">
      <c r="A44" s="108" t="s">
        <v>1085</v>
      </c>
      <c r="B44" s="99"/>
      <c r="C44" s="923"/>
      <c r="D44" s="924"/>
      <c r="E44" s="925" t="e">
        <f>Comp3!J16</f>
        <v>#DIV/0!</v>
      </c>
      <c r="F44" s="74"/>
    </row>
    <row r="45" spans="1:6" ht="15" customHeight="1">
      <c r="A45" s="108" t="s">
        <v>1084</v>
      </c>
      <c r="B45" s="99"/>
      <c r="C45" s="923"/>
      <c r="D45" s="924"/>
      <c r="E45" s="1062" t="e">
        <f>IF(E39&gt;E44,YES,NO)</f>
        <v>#DIV/0!</v>
      </c>
      <c r="F45" s="74"/>
    </row>
    <row r="46" spans="1:6" ht="15" customHeight="1">
      <c r="A46" s="447"/>
      <c r="B46" s="445"/>
      <c r="C46" s="448"/>
      <c r="D46" s="449"/>
      <c r="E46" s="450"/>
      <c r="F46" s="74"/>
    </row>
    <row r="47" spans="1:6" ht="15" customHeight="1">
      <c r="A47" s="77" t="s">
        <v>138</v>
      </c>
      <c r="B47" s="99"/>
      <c r="C47" s="186"/>
      <c r="D47" s="99"/>
      <c r="E47" s="74"/>
      <c r="F47" s="74"/>
    </row>
    <row r="48" spans="1:6" ht="15" customHeight="1">
      <c r="A48" s="187"/>
      <c r="B48" s="74"/>
      <c r="C48" s="74"/>
      <c r="D48" s="445"/>
      <c r="E48" s="446"/>
      <c r="F48" s="74"/>
    </row>
    <row r="49" spans="1:6" ht="15" customHeight="1">
      <c r="A49" s="355"/>
      <c r="B49" s="74"/>
      <c r="C49" s="99" t="s">
        <v>774</v>
      </c>
      <c r="D49" s="99"/>
      <c r="E49" s="463"/>
      <c r="F49" s="463"/>
    </row>
    <row r="50" spans="1:6" ht="15" customHeight="1">
      <c r="A50" s="74" t="s">
        <v>274</v>
      </c>
      <c r="B50" s="99"/>
      <c r="C50" s="99"/>
      <c r="D50" s="99"/>
      <c r="E50" s="99"/>
      <c r="F50" s="99"/>
    </row>
    <row r="51" spans="1:6" ht="15" customHeight="1">
      <c r="A51" s="187"/>
      <c r="B51" s="354"/>
      <c r="C51" s="99" t="s">
        <v>774</v>
      </c>
      <c r="D51" s="99"/>
      <c r="E51" s="99"/>
      <c r="F51" s="99"/>
    </row>
    <row r="52" spans="1:6" ht="15" customHeight="1">
      <c r="A52" s="355"/>
      <c r="B52" s="99"/>
      <c r="C52" s="102"/>
      <c r="D52" s="99"/>
      <c r="E52" s="99"/>
      <c r="F52" s="99"/>
    </row>
    <row r="53" spans="1:6" ht="15" customHeight="1">
      <c r="A53" s="445" t="s">
        <v>773</v>
      </c>
      <c r="B53" s="74"/>
      <c r="C53" s="99" t="s">
        <v>774</v>
      </c>
      <c r="D53" s="99"/>
      <c r="E53" s="609"/>
      <c r="F53" s="609"/>
    </row>
    <row r="54" spans="1:6" ht="15" customHeight="1">
      <c r="A54" s="187"/>
      <c r="B54" s="77"/>
      <c r="C54" s="99"/>
      <c r="D54" s="99"/>
      <c r="E54" s="609"/>
      <c r="F54" s="609"/>
    </row>
    <row r="55" spans="1:6" ht="15" customHeight="1">
      <c r="A55" s="354"/>
      <c r="B55" s="74"/>
      <c r="C55" s="99" t="s">
        <v>774</v>
      </c>
      <c r="D55" s="99"/>
      <c r="E55" s="609"/>
      <c r="F55" s="609"/>
    </row>
    <row r="56" spans="1:6" ht="15" customHeight="1">
      <c r="A56" s="74"/>
      <c r="B56" s="74"/>
      <c r="C56" s="99"/>
      <c r="D56" s="99"/>
      <c r="E56" s="609"/>
      <c r="F56" s="609"/>
    </row>
    <row r="57" spans="1:6" ht="15" customHeight="1">
      <c r="A57" s="77" t="s">
        <v>21</v>
      </c>
      <c r="B57" s="188">
        <f>inputPrYr!$C$6-1</f>
        <v>-1</v>
      </c>
      <c r="C57" s="99" t="s">
        <v>774</v>
      </c>
      <c r="D57" s="99"/>
      <c r="E57" s="609"/>
      <c r="F57" s="609"/>
    </row>
    <row r="58" spans="1:6" ht="15" customHeight="1">
      <c r="A58" s="74"/>
      <c r="B58" s="74"/>
      <c r="C58" s="116"/>
      <c r="D58" s="116"/>
      <c r="E58" s="189"/>
      <c r="F58" s="190"/>
    </row>
    <row r="59" spans="1:6" ht="15" customHeight="1">
      <c r="A59" s="163"/>
      <c r="B59" s="74"/>
      <c r="C59" s="99" t="s">
        <v>774</v>
      </c>
      <c r="D59" s="99"/>
      <c r="E59" s="609"/>
      <c r="F59" s="609"/>
    </row>
    <row r="60" spans="1:6" ht="15" customHeight="1">
      <c r="A60" s="86" t="s">
        <v>140</v>
      </c>
      <c r="B60" s="74"/>
      <c r="C60" s="838" t="s">
        <v>139</v>
      </c>
      <c r="D60" s="74"/>
      <c r="E60" s="74"/>
      <c r="F60" s="74"/>
    </row>
    <row r="61" spans="1:6" ht="15" customHeight="1">
      <c r="A61" s="116"/>
      <c r="B61" s="116"/>
      <c r="C61" s="116"/>
      <c r="D61" s="116"/>
      <c r="E61" s="116"/>
      <c r="F61" s="116"/>
    </row>
    <row r="62" spans="1:6" ht="15" customHeight="1">
      <c r="A62" s="811" t="s">
        <v>1025</v>
      </c>
      <c r="B62" s="800"/>
      <c r="C62" s="800"/>
      <c r="D62" s="800"/>
      <c r="E62" s="800"/>
      <c r="F62" s="812"/>
    </row>
    <row r="63" spans="1:6" ht="15" customHeight="1">
      <c r="A63" s="813"/>
      <c r="B63" s="609"/>
      <c r="C63" s="609"/>
      <c r="D63" s="609"/>
      <c r="E63" s="609"/>
      <c r="F63" s="700"/>
    </row>
    <row r="64" spans="1:6" ht="15" customHeight="1">
      <c r="A64" s="814"/>
      <c r="B64" s="105"/>
      <c r="C64" s="105"/>
      <c r="D64" s="105"/>
      <c r="E64" s="105"/>
      <c r="F64" s="119"/>
    </row>
    <row r="65" spans="1:6" ht="15" customHeight="1" hidden="1">
      <c r="A65" s="609"/>
      <c r="B65" s="609"/>
      <c r="C65" s="609"/>
      <c r="D65" s="609"/>
      <c r="E65" s="609"/>
      <c r="F65" s="609"/>
    </row>
    <row r="66" spans="1:6" ht="15" customHeight="1">
      <c r="A66" s="116"/>
      <c r="B66" s="116"/>
      <c r="C66" s="116"/>
      <c r="D66" s="116"/>
      <c r="E66" s="116"/>
      <c r="F66" s="116"/>
    </row>
    <row r="67" ht="15" customHeight="1">
      <c r="A67" s="61"/>
    </row>
    <row r="68" ht="15" customHeight="1">
      <c r="D68" s="419"/>
    </row>
  </sheetData>
  <sheetProtection/>
  <mergeCells count="3">
    <mergeCell ref="A3:F3"/>
    <mergeCell ref="E12:E14"/>
    <mergeCell ref="F42:F43"/>
  </mergeCells>
  <conditionalFormatting sqref="F38">
    <cfRule type="cellIs" priority="1" dxfId="0" operator="greaterThan" stopIfTrue="1">
      <formula>$D$68</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85" zoomScaleNormal="85" zoomScalePageLayoutView="0" workbookViewId="0" topLeftCell="A1">
      <selection activeCell="G32" sqref="G32"/>
    </sheetView>
  </sheetViews>
  <sheetFormatPr defaultColWidth="8.796875" defaultRowHeight="15.75" customHeight="1"/>
  <cols>
    <col min="1" max="1" width="2.8984375" style="61" customWidth="1"/>
    <col min="2" max="2" width="3.296875" style="61" customWidth="1"/>
    <col min="3" max="3" width="31.296875" style="61" customWidth="1"/>
    <col min="4" max="4" width="2.296875" style="61" customWidth="1"/>
    <col min="5" max="5" width="19.19921875" style="61" customWidth="1"/>
    <col min="6" max="6" width="2" style="61" customWidth="1"/>
    <col min="7" max="7" width="15.796875" style="61" customWidth="1"/>
    <col min="8" max="8" width="1.8984375" style="61" customWidth="1"/>
    <col min="9" max="9" width="1.796875" style="61" customWidth="1"/>
    <col min="10" max="10" width="15.796875" style="61" customWidth="1"/>
    <col min="11" max="16384" width="8.8984375" style="61" customWidth="1"/>
  </cols>
  <sheetData>
    <row r="1" spans="1:10" ht="15.75" customHeight="1">
      <c r="A1" s="74"/>
      <c r="B1" s="74"/>
      <c r="C1" s="192">
        <f>inputPrYr!D3</f>
        <v>0</v>
      </c>
      <c r="D1" s="74"/>
      <c r="E1" s="74"/>
      <c r="F1" s="74"/>
      <c r="G1" s="74"/>
      <c r="H1" s="74"/>
      <c r="I1" s="74"/>
      <c r="J1" s="152">
        <f>inputPrYr!C6</f>
        <v>0</v>
      </c>
    </row>
    <row r="2" spans="1:10" ht="15.75" customHeight="1">
      <c r="A2" s="74"/>
      <c r="B2" s="74"/>
      <c r="C2" s="74"/>
      <c r="D2" s="74"/>
      <c r="E2" s="74"/>
      <c r="F2" s="74"/>
      <c r="G2" s="74"/>
      <c r="H2" s="74"/>
      <c r="I2" s="74"/>
      <c r="J2" s="74"/>
    </row>
    <row r="3" spans="1:10" ht="15.75">
      <c r="A3" s="839" t="str">
        <f>CONCATENATE("Computation to Determine Limit for ",J1)</f>
        <v>Computation to Determine Limit for 0</v>
      </c>
      <c r="B3" s="840"/>
      <c r="C3" s="840"/>
      <c r="D3" s="840"/>
      <c r="E3" s="840"/>
      <c r="F3" s="840"/>
      <c r="G3" s="840"/>
      <c r="H3" s="840"/>
      <c r="I3" s="840"/>
      <c r="J3" s="840"/>
    </row>
    <row r="4" spans="1:10" ht="15.75">
      <c r="A4" s="74"/>
      <c r="B4" s="74"/>
      <c r="C4" s="74"/>
      <c r="D4" s="74"/>
      <c r="E4" s="970"/>
      <c r="F4" s="970"/>
      <c r="G4" s="970"/>
      <c r="H4" s="193"/>
      <c r="I4" s="74"/>
      <c r="J4" s="194" t="s">
        <v>216</v>
      </c>
    </row>
    <row r="5" spans="1:10" ht="15.75">
      <c r="A5" s="841" t="s">
        <v>217</v>
      </c>
      <c r="B5" s="74" t="str">
        <f>CONCATENATE("Total tax levy amount in ",J1-1," budget")</f>
        <v>Total tax levy amount in -1 budget</v>
      </c>
      <c r="C5" s="74"/>
      <c r="D5" s="74"/>
      <c r="E5" s="91"/>
      <c r="F5" s="91"/>
      <c r="G5" s="91"/>
      <c r="H5" s="196" t="s">
        <v>218</v>
      </c>
      <c r="I5" s="91" t="s">
        <v>219</v>
      </c>
      <c r="J5" s="197">
        <f>inputPrYr!E30+inputPrYr!E32</f>
        <v>0</v>
      </c>
    </row>
    <row r="6" spans="1:10" ht="15.75">
      <c r="A6" s="841" t="s">
        <v>220</v>
      </c>
      <c r="B6" s="74" t="str">
        <f>CONCATENATE("Library levy in ",J1-1," budget")</f>
        <v>Library levy in -1 budget</v>
      </c>
      <c r="C6" s="74"/>
      <c r="D6" s="74"/>
      <c r="E6" s="91"/>
      <c r="F6" s="91"/>
      <c r="G6" s="91"/>
      <c r="H6" s="196" t="s">
        <v>221</v>
      </c>
      <c r="I6" s="91" t="s">
        <v>219</v>
      </c>
      <c r="J6" s="842"/>
    </row>
    <row r="7" spans="1:10" ht="15.75">
      <c r="A7" s="195"/>
      <c r="B7" s="74" t="str">
        <f>CONCATENATE("Recreation Commission levy in ",J1-1," budget")</f>
        <v>Recreation Commission levy in -1 budget</v>
      </c>
      <c r="C7" s="74"/>
      <c r="D7" s="74"/>
      <c r="E7" s="91"/>
      <c r="F7" s="91"/>
      <c r="G7" s="91"/>
      <c r="H7" s="196" t="s">
        <v>221</v>
      </c>
      <c r="I7" s="91" t="s">
        <v>219</v>
      </c>
      <c r="J7" s="91">
        <f>inputPrYr!E32</f>
        <v>0</v>
      </c>
    </row>
    <row r="8" spans="1:10" ht="15.75">
      <c r="A8" s="841" t="s">
        <v>245</v>
      </c>
      <c r="B8" s="74" t="s">
        <v>1028</v>
      </c>
      <c r="C8" s="74"/>
      <c r="D8" s="74"/>
      <c r="E8" s="91"/>
      <c r="F8" s="91"/>
      <c r="G8" s="91"/>
      <c r="H8" s="91"/>
      <c r="I8" s="91" t="s">
        <v>219</v>
      </c>
      <c r="J8" s="96">
        <f>J5-J6-J7</f>
        <v>0</v>
      </c>
    </row>
    <row r="9" spans="1:10" ht="15.75">
      <c r="A9" s="74"/>
      <c r="B9" s="74"/>
      <c r="C9" s="74"/>
      <c r="D9" s="74"/>
      <c r="E9" s="91"/>
      <c r="F9" s="91"/>
      <c r="G9" s="91"/>
      <c r="H9" s="91"/>
      <c r="I9" s="91"/>
      <c r="J9" s="91"/>
    </row>
    <row r="10" spans="1:10" ht="15.75">
      <c r="A10" s="970" t="str">
        <f>CONCATENATE(J1," Budget Percentage Adjustments")</f>
        <v>0 Budget Percentage Adjustments</v>
      </c>
      <c r="B10" s="944"/>
      <c r="C10" s="944"/>
      <c r="D10" s="944"/>
      <c r="E10" s="944"/>
      <c r="F10" s="944"/>
      <c r="G10" s="944"/>
      <c r="H10" s="944"/>
      <c r="I10" s="944"/>
      <c r="J10" s="944"/>
    </row>
    <row r="11" spans="1:10" ht="15.75">
      <c r="A11" s="74"/>
      <c r="B11" s="74"/>
      <c r="C11" s="74"/>
      <c r="D11" s="74"/>
      <c r="E11" s="91"/>
      <c r="F11" s="91"/>
      <c r="G11" s="91"/>
      <c r="H11" s="91"/>
      <c r="I11" s="91"/>
      <c r="J11" s="91"/>
    </row>
    <row r="12" spans="1:10" ht="15.75">
      <c r="A12" s="841" t="s">
        <v>222</v>
      </c>
      <c r="B12" s="74" t="str">
        <f>CONCATENATE("New improvements for ",J1-1," :")</f>
        <v>New improvements for -1 :</v>
      </c>
      <c r="C12" s="74"/>
      <c r="D12" s="74"/>
      <c r="E12" s="196"/>
      <c r="F12" s="196" t="s">
        <v>218</v>
      </c>
      <c r="G12" s="197">
        <f>inputOth!E10</f>
        <v>0</v>
      </c>
      <c r="H12" s="198"/>
      <c r="I12" s="91"/>
      <c r="J12" s="91"/>
    </row>
    <row r="13" spans="1:10" ht="15.75">
      <c r="A13" s="195"/>
      <c r="B13" s="199"/>
      <c r="C13" s="74"/>
      <c r="D13" s="74"/>
      <c r="E13" s="196"/>
      <c r="F13" s="196"/>
      <c r="G13" s="198"/>
      <c r="H13" s="198"/>
      <c r="I13" s="91"/>
      <c r="J13" s="91"/>
    </row>
    <row r="14" spans="1:10" ht="15.75">
      <c r="A14" s="841" t="s">
        <v>223</v>
      </c>
      <c r="B14" s="74" t="str">
        <f>CONCATENATE("Increase in personal property for ",J1-1," :")</f>
        <v>Increase in personal property for -1 :</v>
      </c>
      <c r="C14" s="74"/>
      <c r="D14" s="74"/>
      <c r="E14" s="196"/>
      <c r="F14" s="196"/>
      <c r="G14" s="198"/>
      <c r="H14" s="198"/>
      <c r="I14" s="91"/>
      <c r="J14" s="91"/>
    </row>
    <row r="15" spans="1:13" ht="15.75">
      <c r="A15" s="200"/>
      <c r="B15" s="74" t="s">
        <v>224</v>
      </c>
      <c r="C15" s="74" t="str">
        <f>CONCATENATE("Personal property ",J1-1)</f>
        <v>Personal property -1</v>
      </c>
      <c r="D15" s="199" t="s">
        <v>218</v>
      </c>
      <c r="E15" s="197">
        <f>inputOth!E11</f>
        <v>0</v>
      </c>
      <c r="F15" s="196"/>
      <c r="G15" s="91"/>
      <c r="H15" s="91"/>
      <c r="I15" s="198"/>
      <c r="J15" s="91"/>
      <c r="M15" s="62"/>
    </row>
    <row r="16" spans="1:10" ht="15.75">
      <c r="A16" s="199"/>
      <c r="B16" s="74" t="s">
        <v>225</v>
      </c>
      <c r="C16" s="74" t="str">
        <f>CONCATENATE("Personal property ",J1-2)</f>
        <v>Personal property -2</v>
      </c>
      <c r="D16" s="199" t="s">
        <v>221</v>
      </c>
      <c r="E16" s="96">
        <f>inputOth!E17</f>
        <v>0</v>
      </c>
      <c r="F16" s="196"/>
      <c r="G16" s="198"/>
      <c r="H16" s="198"/>
      <c r="I16" s="91"/>
      <c r="J16" s="91"/>
    </row>
    <row r="17" spans="1:10" ht="15.75">
      <c r="A17" s="199"/>
      <c r="B17" s="74" t="s">
        <v>226</v>
      </c>
      <c r="C17" s="74" t="s">
        <v>953</v>
      </c>
      <c r="D17" s="74"/>
      <c r="E17" s="91"/>
      <c r="F17" s="91" t="s">
        <v>218</v>
      </c>
      <c r="G17" s="197">
        <f>IF(E15&gt;E16,E15-E16,0)</f>
        <v>0</v>
      </c>
      <c r="H17" s="198"/>
      <c r="I17" s="91"/>
      <c r="J17" s="91"/>
    </row>
    <row r="18" spans="1:10" ht="15.75">
      <c r="A18" s="199"/>
      <c r="B18" s="199"/>
      <c r="C18" s="74"/>
      <c r="D18" s="74"/>
      <c r="E18" s="91"/>
      <c r="F18" s="91"/>
      <c r="G18" s="198" t="s">
        <v>239</v>
      </c>
      <c r="H18" s="198"/>
      <c r="I18" s="91"/>
      <c r="J18" s="91"/>
    </row>
    <row r="19" spans="1:10" ht="15.75">
      <c r="A19" s="199" t="s">
        <v>227</v>
      </c>
      <c r="B19" s="74" t="str">
        <f>CONCATENATE("Valuation of annexed territory for ",J1-1," :")</f>
        <v>Valuation of annexed territory for -1 :</v>
      </c>
      <c r="C19" s="74"/>
      <c r="D19" s="74"/>
      <c r="E19" s="198"/>
      <c r="F19" s="91"/>
      <c r="G19" s="91"/>
      <c r="H19" s="91"/>
      <c r="I19" s="91"/>
      <c r="J19" s="91"/>
    </row>
    <row r="20" spans="1:15" ht="15.75">
      <c r="A20" s="199"/>
      <c r="B20" s="74" t="s">
        <v>228</v>
      </c>
      <c r="C20" s="74" t="s">
        <v>954</v>
      </c>
      <c r="D20" s="199" t="s">
        <v>218</v>
      </c>
      <c r="E20" s="197">
        <f>inputOth!E13</f>
        <v>0</v>
      </c>
      <c r="F20" s="91"/>
      <c r="G20" s="91"/>
      <c r="H20" s="91"/>
      <c r="I20" s="91"/>
      <c r="J20" s="91"/>
      <c r="O20" s="62"/>
    </row>
    <row r="21" spans="1:10" ht="15.75">
      <c r="A21" s="199"/>
      <c r="B21" s="74" t="s">
        <v>229</v>
      </c>
      <c r="C21" s="74" t="s">
        <v>955</v>
      </c>
      <c r="D21" s="199" t="s">
        <v>218</v>
      </c>
      <c r="E21" s="96">
        <f>inputOth!E14</f>
        <v>0</v>
      </c>
      <c r="F21" s="91"/>
      <c r="G21" s="198"/>
      <c r="H21" s="198"/>
      <c r="I21" s="91"/>
      <c r="J21" s="91"/>
    </row>
    <row r="22" spans="1:10" ht="15.75">
      <c r="A22" s="199"/>
      <c r="B22" s="74" t="s">
        <v>230</v>
      </c>
      <c r="C22" s="74" t="s">
        <v>956</v>
      </c>
      <c r="D22" s="199" t="s">
        <v>218</v>
      </c>
      <c r="E22" s="96">
        <f>inputOth!E15</f>
        <v>0</v>
      </c>
      <c r="F22" s="91"/>
      <c r="G22" s="198"/>
      <c r="H22" s="198"/>
      <c r="I22" s="91"/>
      <c r="J22" s="91"/>
    </row>
    <row r="23" spans="1:10" ht="15.75">
      <c r="A23" s="199"/>
      <c r="B23" s="74" t="s">
        <v>231</v>
      </c>
      <c r="C23" s="74" t="s">
        <v>957</v>
      </c>
      <c r="D23" s="199"/>
      <c r="E23" s="198"/>
      <c r="F23" s="91" t="s">
        <v>218</v>
      </c>
      <c r="G23" s="197">
        <f>E20+E21+E22</f>
        <v>0</v>
      </c>
      <c r="H23" s="198"/>
      <c r="I23" s="91"/>
      <c r="J23" s="91"/>
    </row>
    <row r="24" spans="1:10" ht="15.75">
      <c r="A24" s="199"/>
      <c r="B24" s="199"/>
      <c r="C24" s="74"/>
      <c r="D24" s="199"/>
      <c r="E24" s="198"/>
      <c r="F24" s="91"/>
      <c r="G24" s="198"/>
      <c r="H24" s="198"/>
      <c r="I24" s="91"/>
      <c r="J24" s="91"/>
    </row>
    <row r="25" spans="1:10" ht="15.75">
      <c r="A25" s="199" t="s">
        <v>232</v>
      </c>
      <c r="B25" s="74" t="str">
        <f>CONCATENATE("Valuation of property that has changed in use during ",J1-1," :")</f>
        <v>Valuation of property that has changed in use during -1 :</v>
      </c>
      <c r="C25" s="74"/>
      <c r="D25" s="74"/>
      <c r="E25" s="91"/>
      <c r="F25" s="196" t="s">
        <v>218</v>
      </c>
      <c r="G25" s="197">
        <f>inputOth!E16</f>
        <v>0</v>
      </c>
      <c r="H25" s="91"/>
      <c r="I25" s="91"/>
      <c r="J25" s="91"/>
    </row>
    <row r="26" spans="1:10" ht="15.75">
      <c r="A26" s="199"/>
      <c r="B26" s="74"/>
      <c r="C26" s="74"/>
      <c r="D26" s="74"/>
      <c r="E26" s="91"/>
      <c r="F26" s="196"/>
      <c r="G26" s="198"/>
      <c r="H26" s="91"/>
      <c r="I26" s="91"/>
      <c r="J26" s="91"/>
    </row>
    <row r="27" spans="1:10" ht="15.75">
      <c r="A27" s="843" t="s">
        <v>233</v>
      </c>
      <c r="B27" s="74" t="s">
        <v>1029</v>
      </c>
      <c r="C27" s="74"/>
      <c r="D27" s="74"/>
      <c r="E27" s="91"/>
      <c r="F27" s="196" t="s">
        <v>218</v>
      </c>
      <c r="G27" s="197">
        <f>inputOth!E18</f>
        <v>0</v>
      </c>
      <c r="H27" s="91"/>
      <c r="I27" s="91"/>
      <c r="J27" s="91"/>
    </row>
    <row r="28" spans="1:10" ht="15.75">
      <c r="A28" s="843"/>
      <c r="B28" s="74"/>
      <c r="C28" s="74"/>
      <c r="D28" s="74"/>
      <c r="E28" s="91"/>
      <c r="F28" s="196"/>
      <c r="G28" s="198"/>
      <c r="H28" s="91"/>
      <c r="I28" s="91"/>
      <c r="J28" s="91"/>
    </row>
    <row r="29" spans="1:10" ht="15.75">
      <c r="A29" s="843" t="s">
        <v>234</v>
      </c>
      <c r="B29" s="74" t="s">
        <v>1030</v>
      </c>
      <c r="C29" s="74"/>
      <c r="D29" s="74"/>
      <c r="E29" s="91"/>
      <c r="F29" s="196" t="s">
        <v>218</v>
      </c>
      <c r="G29" s="844"/>
      <c r="H29" s="91"/>
      <c r="I29" s="91"/>
      <c r="J29" s="91"/>
    </row>
    <row r="30" spans="1:10" ht="15.75">
      <c r="A30" s="843"/>
      <c r="B30" s="74" t="s">
        <v>1031</v>
      </c>
      <c r="C30" s="74"/>
      <c r="D30" s="74"/>
      <c r="E30" s="91"/>
      <c r="F30" s="196"/>
      <c r="G30" s="198"/>
      <c r="H30" s="91"/>
      <c r="I30" s="91"/>
      <c r="J30" s="91"/>
    </row>
    <row r="31" spans="1:10" ht="15.75">
      <c r="A31" s="74" t="s">
        <v>125</v>
      </c>
      <c r="B31" s="74"/>
      <c r="C31" s="74"/>
      <c r="D31" s="199"/>
      <c r="E31" s="198"/>
      <c r="F31" s="91"/>
      <c r="G31" s="91"/>
      <c r="H31" s="91"/>
      <c r="I31" s="91"/>
      <c r="J31" s="91"/>
    </row>
    <row r="32" spans="1:10" ht="15.75">
      <c r="A32" s="845" t="s">
        <v>235</v>
      </c>
      <c r="B32" s="74" t="s">
        <v>1032</v>
      </c>
      <c r="C32" s="74"/>
      <c r="D32" s="74"/>
      <c r="E32" s="91"/>
      <c r="F32" s="91"/>
      <c r="G32" s="197">
        <f>G12+G17+G23+G25+G27+G29</f>
        <v>0</v>
      </c>
      <c r="H32" s="198"/>
      <c r="I32" s="91"/>
      <c r="J32" s="91"/>
    </row>
    <row r="33" spans="1:10" ht="15.75">
      <c r="A33" s="845"/>
      <c r="B33" s="199"/>
      <c r="C33" s="74"/>
      <c r="D33" s="74"/>
      <c r="E33" s="91"/>
      <c r="F33" s="91"/>
      <c r="G33" s="198"/>
      <c r="H33" s="198"/>
      <c r="I33" s="91"/>
      <c r="J33" s="91"/>
    </row>
    <row r="34" spans="1:10" ht="15.75">
      <c r="A34" s="845" t="s">
        <v>236</v>
      </c>
      <c r="B34" s="74" t="str">
        <f>CONCATENATE("Total estimated valuation July 1, ",J1-1)</f>
        <v>Total estimated valuation July 1, -1</v>
      </c>
      <c r="C34" s="74"/>
      <c r="D34" s="74"/>
      <c r="E34" s="197">
        <f>inputOth!E9</f>
        <v>0</v>
      </c>
      <c r="F34" s="91"/>
      <c r="G34" s="91"/>
      <c r="H34" s="91"/>
      <c r="I34" s="196"/>
      <c r="J34" s="91"/>
    </row>
    <row r="35" spans="1:10" ht="15.75">
      <c r="A35" s="845"/>
      <c r="B35" s="199"/>
      <c r="C35" s="74"/>
      <c r="D35" s="74"/>
      <c r="E35" s="198"/>
      <c r="F35" s="91"/>
      <c r="G35" s="91"/>
      <c r="H35" s="91"/>
      <c r="I35" s="196"/>
      <c r="J35" s="91"/>
    </row>
    <row r="36" spans="1:10" ht="15.75">
      <c r="A36" s="845" t="s">
        <v>237</v>
      </c>
      <c r="B36" s="74" t="s">
        <v>1033</v>
      </c>
      <c r="C36" s="74"/>
      <c r="D36" s="74"/>
      <c r="E36" s="74"/>
      <c r="F36" s="74"/>
      <c r="G36" s="846" t="e">
        <f>G32/(E34-G32)</f>
        <v>#DIV/0!</v>
      </c>
      <c r="H36" s="99"/>
      <c r="I36" s="74"/>
      <c r="J36" s="74"/>
    </row>
    <row r="37" spans="1:10" ht="15.75">
      <c r="A37" s="845"/>
      <c r="B37" s="199"/>
      <c r="C37" s="74"/>
      <c r="D37" s="74"/>
      <c r="E37" s="74"/>
      <c r="F37" s="74"/>
      <c r="G37" s="99"/>
      <c r="H37" s="99"/>
      <c r="I37" s="74"/>
      <c r="J37" s="74"/>
    </row>
    <row r="38" spans="1:10" ht="15.75">
      <c r="A38" s="845" t="s">
        <v>238</v>
      </c>
      <c r="B38" s="74" t="s">
        <v>1034</v>
      </c>
      <c r="C38" s="74"/>
      <c r="D38" s="74"/>
      <c r="E38" s="74"/>
      <c r="F38" s="74"/>
      <c r="G38" s="99"/>
      <c r="H38" s="202" t="s">
        <v>218</v>
      </c>
      <c r="I38" s="74" t="s">
        <v>219</v>
      </c>
      <c r="J38" s="197" t="e">
        <f>ROUND(G36*J8,0)</f>
        <v>#DIV/0!</v>
      </c>
    </row>
    <row r="39" spans="1:10" ht="15.75">
      <c r="A39" s="847"/>
      <c r="B39" s="788"/>
      <c r="C39" s="788"/>
      <c r="D39" s="788"/>
      <c r="E39" s="788"/>
      <c r="F39" s="788"/>
      <c r="G39" s="788"/>
      <c r="H39" s="788"/>
      <c r="I39" s="788"/>
      <c r="J39" s="734"/>
    </row>
    <row r="40" spans="1:10" ht="15.75">
      <c r="A40" s="847" t="s">
        <v>252</v>
      </c>
      <c r="B40" s="788" t="str">
        <f>CONCATENATE("Consumer Price Index for all urban consumers for calendar year ",J1-2," (5 year average)")</f>
        <v>Consumer Price Index for all urban consumers for calendar year -2 (5 year average)</v>
      </c>
      <c r="C40" s="788"/>
      <c r="D40" s="788"/>
      <c r="E40" s="788"/>
      <c r="F40" s="788"/>
      <c r="G40" s="788"/>
      <c r="H40" s="788"/>
      <c r="I40" s="788"/>
      <c r="J40" s="848">
        <f>inputPrYr!C8</f>
        <v>0</v>
      </c>
    </row>
    <row r="41" spans="1:10" ht="15.75">
      <c r="A41" s="847"/>
      <c r="B41" s="788"/>
      <c r="C41" s="788"/>
      <c r="D41" s="788"/>
      <c r="E41" s="788"/>
      <c r="F41" s="788"/>
      <c r="G41" s="788"/>
      <c r="H41" s="788"/>
      <c r="I41" s="788"/>
      <c r="J41" s="737"/>
    </row>
    <row r="42" spans="1:10" ht="15.75">
      <c r="A42" s="847" t="s">
        <v>253</v>
      </c>
      <c r="B42" s="788" t="s">
        <v>1035</v>
      </c>
      <c r="C42" s="788"/>
      <c r="D42" s="788"/>
      <c r="E42" s="788"/>
      <c r="F42" s="788"/>
      <c r="G42" s="788"/>
      <c r="H42" s="788"/>
      <c r="I42" s="735" t="s">
        <v>219</v>
      </c>
      <c r="J42" s="733">
        <f>ROUND(J8*J40,0)</f>
        <v>0</v>
      </c>
    </row>
    <row r="43" spans="1:10" ht="15.75">
      <c r="A43" s="736"/>
      <c r="B43" s="788"/>
      <c r="C43" s="788"/>
      <c r="D43" s="788"/>
      <c r="E43" s="788"/>
      <c r="F43" s="788"/>
      <c r="G43" s="788"/>
      <c r="H43" s="788"/>
      <c r="I43" s="788"/>
      <c r="J43" s="734"/>
    </row>
    <row r="44" spans="1:10" ht="15.75">
      <c r="A44" s="736"/>
      <c r="B44" s="788"/>
      <c r="C44" s="788"/>
      <c r="D44" s="788"/>
      <c r="E44" s="788"/>
      <c r="F44" s="788"/>
      <c r="G44" s="788"/>
      <c r="H44" s="788"/>
      <c r="I44" s="788"/>
      <c r="J44" s="732"/>
    </row>
    <row r="45" spans="1:10" ht="18.75">
      <c r="A45" s="849" t="s">
        <v>950</v>
      </c>
      <c r="B45" s="850" t="s">
        <v>1036</v>
      </c>
      <c r="C45" s="850"/>
      <c r="D45" s="731"/>
      <c r="E45" s="731"/>
      <c r="F45" s="731"/>
      <c r="G45" s="731"/>
      <c r="H45" s="731"/>
      <c r="I45" s="735" t="s">
        <v>219</v>
      </c>
      <c r="J45" s="851" t="e">
        <f>J38+J42</f>
        <v>#DIV/0!</v>
      </c>
    </row>
    <row r="46" spans="1:10" ht="18.75">
      <c r="A46" s="731"/>
      <c r="B46" s="738"/>
      <c r="C46" s="731"/>
      <c r="D46" s="731"/>
      <c r="E46" s="731"/>
      <c r="F46" s="731"/>
      <c r="G46" s="731"/>
      <c r="H46" s="731"/>
      <c r="I46" s="735"/>
      <c r="J46" s="734"/>
    </row>
    <row r="47" spans="1:10" ht="18.75">
      <c r="A47" s="731"/>
      <c r="B47" s="738"/>
      <c r="C47" s="731"/>
      <c r="D47" s="731"/>
      <c r="E47" s="731"/>
      <c r="F47" s="731"/>
      <c r="G47" s="731"/>
      <c r="H47" s="731"/>
      <c r="I47" s="735"/>
      <c r="J47" s="734"/>
    </row>
    <row r="48" spans="1:10" ht="15" customHeight="1">
      <c r="A48" s="972"/>
      <c r="B48" s="972"/>
      <c r="C48" s="972"/>
      <c r="D48" s="972"/>
      <c r="E48" s="972"/>
      <c r="F48" s="972"/>
      <c r="G48" s="972"/>
      <c r="H48" s="972"/>
      <c r="I48" s="972"/>
      <c r="J48" s="972"/>
    </row>
    <row r="49" spans="1:10" ht="31.5" customHeight="1">
      <c r="A49" s="852"/>
      <c r="B49" s="852"/>
      <c r="C49" s="852"/>
      <c r="D49" s="852"/>
      <c r="E49" s="852"/>
      <c r="F49" s="852"/>
      <c r="G49" s="852"/>
      <c r="H49" s="852"/>
      <c r="I49" s="852"/>
      <c r="J49" s="852"/>
    </row>
    <row r="50" spans="1:10" ht="15" customHeight="1">
      <c r="A50" s="971"/>
      <c r="B50" s="971"/>
      <c r="C50" s="971"/>
      <c r="D50" s="971"/>
      <c r="E50" s="971"/>
      <c r="F50" s="971"/>
      <c r="G50" s="971"/>
      <c r="H50" s="971"/>
      <c r="I50" s="971"/>
      <c r="J50" s="971"/>
    </row>
    <row r="51" spans="1:10" ht="15" customHeight="1">
      <c r="A51" s="971"/>
      <c r="B51" s="971"/>
      <c r="C51" s="971"/>
      <c r="D51" s="971"/>
      <c r="E51" s="971"/>
      <c r="F51" s="971"/>
      <c r="G51" s="971"/>
      <c r="H51" s="971"/>
      <c r="I51" s="971"/>
      <c r="J51" s="971"/>
    </row>
    <row r="52" ht="15.75" customHeight="1">
      <c r="J52" s="853"/>
    </row>
  </sheetData>
  <sheetProtection/>
  <mergeCells count="5">
    <mergeCell ref="E4:G4"/>
    <mergeCell ref="A51:J51"/>
    <mergeCell ref="A50:J50"/>
    <mergeCell ref="A10:J10"/>
    <mergeCell ref="A48:J48"/>
  </mergeCells>
  <printOptions/>
  <pageMargins left="0.5" right="0.5" top="1" bottom="0.5" header="0.5" footer="0.5"/>
  <pageSetup blackAndWhite="1" fitToHeight="1" fitToWidth="1" horizontalDpi="600" verticalDpi="600" orientation="portrait" scale="74"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M53" sqref="M53"/>
    </sheetView>
  </sheetViews>
  <sheetFormatPr defaultColWidth="8.796875" defaultRowHeight="15"/>
  <cols>
    <col min="1" max="1" width="3.59765625" style="892" customWidth="1"/>
    <col min="2" max="2" width="9.796875" style="0" customWidth="1"/>
    <col min="3" max="3" width="27.8984375" style="0" customWidth="1"/>
    <col min="4" max="4" width="13.69921875" style="0" customWidth="1"/>
    <col min="5" max="5" width="7.59765625" style="0" customWidth="1"/>
    <col min="6" max="6" width="5.296875" style="0" customWidth="1"/>
    <col min="7" max="7" width="8" style="0" customWidth="1"/>
    <col min="8" max="8" width="3" style="0" customWidth="1"/>
    <col min="9" max="9" width="2.09765625" style="0" customWidth="1"/>
    <col min="11" max="11" width="4.796875" style="0" customWidth="1"/>
  </cols>
  <sheetData>
    <row r="1" spans="1:11" ht="15.75">
      <c r="A1" s="854"/>
      <c r="B1" s="855"/>
      <c r="C1" s="856">
        <f>inputPrYr!D3</f>
        <v>0</v>
      </c>
      <c r="D1" s="855"/>
      <c r="E1" s="855"/>
      <c r="F1" s="855"/>
      <c r="G1" s="855"/>
      <c r="H1" s="855"/>
      <c r="I1" s="855"/>
      <c r="J1" s="855"/>
      <c r="K1" s="857">
        <f>inputPrYr!C6</f>
        <v>0</v>
      </c>
    </row>
    <row r="2" spans="1:11" ht="15.75">
      <c r="A2" s="854"/>
      <c r="B2" s="855"/>
      <c r="C2" s="855"/>
      <c r="D2" s="855"/>
      <c r="E2" s="855"/>
      <c r="F2" s="855"/>
      <c r="G2" s="855"/>
      <c r="H2" s="855"/>
      <c r="I2" s="855"/>
      <c r="J2" s="855"/>
      <c r="K2" s="855"/>
    </row>
    <row r="3" spans="1:11" ht="15.75">
      <c r="A3" s="854"/>
      <c r="B3" s="855"/>
      <c r="C3" s="855"/>
      <c r="D3" s="855"/>
      <c r="E3" s="858"/>
      <c r="F3" s="858"/>
      <c r="G3" s="858"/>
      <c r="H3" s="858"/>
      <c r="I3" s="858"/>
      <c r="J3" s="858"/>
      <c r="K3" s="858"/>
    </row>
    <row r="4" spans="1:11" ht="15.75">
      <c r="A4" s="970" t="str">
        <f>CONCATENATE(K1," Revenue Adjustments")</f>
        <v>0 Revenue Adjustments</v>
      </c>
      <c r="B4" s="970"/>
      <c r="C4" s="970"/>
      <c r="D4" s="970"/>
      <c r="E4" s="970"/>
      <c r="F4" s="970"/>
      <c r="G4" s="970"/>
      <c r="H4" s="970"/>
      <c r="I4" s="970"/>
      <c r="J4" s="970"/>
      <c r="K4" s="970"/>
    </row>
    <row r="5" spans="1:11" ht="15.75">
      <c r="A5" s="854"/>
      <c r="B5" s="855"/>
      <c r="C5" s="855"/>
      <c r="D5" s="855"/>
      <c r="E5" s="858"/>
      <c r="F5" s="858"/>
      <c r="G5" s="858"/>
      <c r="H5" s="858"/>
      <c r="I5" s="858"/>
      <c r="J5" s="858"/>
      <c r="K5" s="858"/>
    </row>
    <row r="6" spans="1:11" ht="15.75">
      <c r="A6" s="859" t="s">
        <v>951</v>
      </c>
      <c r="B6" s="855" t="str">
        <f>CONCATENATE("Property tax revenues for debt service in  ",K1," budget:")</f>
        <v>Property tax revenues for debt service in  0 budget:</v>
      </c>
      <c r="C6" s="855"/>
      <c r="D6" s="855"/>
      <c r="E6" s="860"/>
      <c r="F6" s="860"/>
      <c r="G6" s="861"/>
      <c r="H6" s="861"/>
      <c r="I6" s="860" t="s">
        <v>218</v>
      </c>
      <c r="J6" s="862">
        <f>DebtService!E62</f>
        <v>0</v>
      </c>
      <c r="K6" s="858"/>
    </row>
    <row r="7" spans="1:11" ht="15.75">
      <c r="A7" s="859"/>
      <c r="B7" s="855" t="str">
        <f>CONCATENATE("Property tax revenues for debt service in  ",K1-1," budget:")</f>
        <v>Property tax revenues for debt service in  -1 budget:</v>
      </c>
      <c r="C7" s="855"/>
      <c r="D7" s="855"/>
      <c r="E7" s="860"/>
      <c r="F7" s="860"/>
      <c r="G7" s="861"/>
      <c r="H7" s="861"/>
      <c r="I7" s="860" t="s">
        <v>221</v>
      </c>
      <c r="J7" s="863">
        <f>inputPrYr!E23</f>
        <v>0</v>
      </c>
      <c r="K7" s="858"/>
    </row>
    <row r="8" spans="1:11" ht="15.75">
      <c r="A8" s="859"/>
      <c r="B8" s="855" t="s">
        <v>1037</v>
      </c>
      <c r="C8" s="855"/>
      <c r="D8" s="855"/>
      <c r="E8" s="860"/>
      <c r="F8" s="860"/>
      <c r="G8" s="861"/>
      <c r="H8" s="861"/>
      <c r="I8" s="860"/>
      <c r="J8" s="863">
        <f>IF(J6-J7&gt;0,J6-J7,0)</f>
        <v>0</v>
      </c>
      <c r="K8" s="858"/>
    </row>
    <row r="9" spans="1:11" ht="15.75">
      <c r="A9" s="859"/>
      <c r="B9" s="855"/>
      <c r="C9" s="855"/>
      <c r="D9" s="855"/>
      <c r="E9" s="860"/>
      <c r="F9" s="860"/>
      <c r="G9" s="861"/>
      <c r="H9" s="861"/>
      <c r="I9" s="860"/>
      <c r="J9" s="861"/>
      <c r="K9" s="858"/>
    </row>
    <row r="10" spans="1:11" ht="15.75">
      <c r="A10" s="859"/>
      <c r="B10" s="864"/>
      <c r="C10" s="855"/>
      <c r="D10" s="855"/>
      <c r="E10" s="860"/>
      <c r="F10" s="860"/>
      <c r="G10" s="861"/>
      <c r="H10" s="861"/>
      <c r="I10" s="860"/>
      <c r="J10" s="861"/>
      <c r="K10" s="858"/>
    </row>
    <row r="11" spans="1:11" ht="15.75">
      <c r="A11" s="859" t="s">
        <v>952</v>
      </c>
      <c r="B11" s="855" t="str">
        <f>CONCATENATE("Property tax revenues spent for public building commission and lease payments in the ",K1," budget:")</f>
        <v>Property tax revenues spent for public building commission and lease payments in the 0 budget:</v>
      </c>
      <c r="C11" s="855"/>
      <c r="D11" s="855"/>
      <c r="E11" s="860"/>
      <c r="F11" s="860"/>
      <c r="G11" s="861"/>
      <c r="H11" s="861"/>
      <c r="I11" s="860" t="s">
        <v>218</v>
      </c>
      <c r="J11" s="844"/>
      <c r="K11" s="858"/>
    </row>
    <row r="12" spans="1:11" ht="15.75">
      <c r="A12" s="854"/>
      <c r="B12" s="855" t="s">
        <v>1038</v>
      </c>
      <c r="C12" s="855"/>
      <c r="D12" s="864"/>
      <c r="E12" s="861"/>
      <c r="F12" s="865"/>
      <c r="G12" s="861"/>
      <c r="H12" s="861"/>
      <c r="I12" s="865"/>
      <c r="J12" s="861"/>
      <c r="K12" s="858"/>
    </row>
    <row r="13" spans="1:11" ht="15.75">
      <c r="A13" s="859"/>
      <c r="B13" s="855" t="s">
        <v>1039</v>
      </c>
      <c r="C13" s="855"/>
      <c r="D13" s="864"/>
      <c r="E13" s="861"/>
      <c r="F13" s="865"/>
      <c r="G13" s="861"/>
      <c r="H13" s="861"/>
      <c r="I13" s="865"/>
      <c r="J13" s="861"/>
      <c r="K13" s="858"/>
    </row>
    <row r="14" spans="1:11" ht="15.75">
      <c r="A14" s="859"/>
      <c r="B14" s="855"/>
      <c r="C14" s="855"/>
      <c r="D14" s="864"/>
      <c r="E14" s="861"/>
      <c r="F14" s="865"/>
      <c r="G14" s="861"/>
      <c r="H14" s="861"/>
      <c r="I14" s="865"/>
      <c r="J14" s="861"/>
      <c r="K14" s="858"/>
    </row>
    <row r="15" spans="1:11" ht="15.75">
      <c r="A15" s="859"/>
      <c r="B15" s="855" t="s">
        <v>1040</v>
      </c>
      <c r="C15" s="855"/>
      <c r="D15" s="855"/>
      <c r="E15" s="860"/>
      <c r="F15" s="860"/>
      <c r="G15" s="861"/>
      <c r="H15" s="861"/>
      <c r="I15" s="860" t="s">
        <v>221</v>
      </c>
      <c r="J15" s="844"/>
      <c r="K15" s="858"/>
    </row>
    <row r="16" spans="1:11" ht="15.75">
      <c r="A16" s="859"/>
      <c r="B16" s="855" t="s">
        <v>1041</v>
      </c>
      <c r="C16" s="855"/>
      <c r="D16" s="855"/>
      <c r="E16" s="860"/>
      <c r="F16" s="860"/>
      <c r="G16" s="861"/>
      <c r="H16" s="861"/>
      <c r="I16" s="860"/>
      <c r="J16" s="863">
        <f>IF(J14-J15&gt;0,J14-J15,0)</f>
        <v>0</v>
      </c>
      <c r="K16" s="858"/>
    </row>
    <row r="17" spans="1:11" ht="15.75">
      <c r="A17" s="859"/>
      <c r="B17" s="855"/>
      <c r="C17" s="855"/>
      <c r="D17" s="855"/>
      <c r="E17" s="861"/>
      <c r="F17" s="861"/>
      <c r="G17" s="861"/>
      <c r="H17" s="861"/>
      <c r="I17" s="861"/>
      <c r="J17" s="861"/>
      <c r="K17" s="858"/>
    </row>
    <row r="18" spans="1:11" ht="15.75">
      <c r="A18" s="859" t="s">
        <v>1042</v>
      </c>
      <c r="B18" s="855" t="str">
        <f>CONCATENATE("Property tax revenues spent on special assessments in the  ",K1," budget:")</f>
        <v>Property tax revenues spent on special assessments in the  0 budget:</v>
      </c>
      <c r="C18" s="855"/>
      <c r="D18" s="855"/>
      <c r="E18" s="860"/>
      <c r="F18" s="860"/>
      <c r="G18" s="861"/>
      <c r="H18" s="861"/>
      <c r="I18" s="860" t="s">
        <v>218</v>
      </c>
      <c r="J18" s="844"/>
      <c r="K18" s="858"/>
    </row>
    <row r="19" spans="1:11" ht="15.75">
      <c r="A19" s="866"/>
      <c r="B19" s="855" t="s">
        <v>1039</v>
      </c>
      <c r="C19" s="867"/>
      <c r="D19" s="867"/>
      <c r="E19" s="861"/>
      <c r="F19" s="861"/>
      <c r="G19" s="861"/>
      <c r="H19" s="861"/>
      <c r="I19" s="861"/>
      <c r="J19" s="861"/>
      <c r="K19" s="861"/>
    </row>
    <row r="20" spans="1:11" ht="15.75">
      <c r="A20" s="866"/>
      <c r="B20" s="867"/>
      <c r="C20" s="867"/>
      <c r="D20" s="868"/>
      <c r="E20" s="861"/>
      <c r="F20" s="861"/>
      <c r="G20" s="861"/>
      <c r="H20" s="861"/>
      <c r="I20" s="861"/>
      <c r="J20" s="861"/>
      <c r="K20" s="861"/>
    </row>
    <row r="21" spans="1:11" ht="15.75">
      <c r="A21" s="866" t="s">
        <v>1043</v>
      </c>
      <c r="B21" s="855" t="str">
        <f>CONCATENATE("Property tax revenues spent on court judgments or settlements and associated legal costs in the ",K1," budget:")</f>
        <v>Property tax revenues spent on court judgments or settlements and associated legal costs in the 0 budget:</v>
      </c>
      <c r="C21" s="867"/>
      <c r="D21" s="868"/>
      <c r="E21" s="861"/>
      <c r="F21" s="860"/>
      <c r="G21" s="861"/>
      <c r="H21" s="861"/>
      <c r="I21" s="860" t="s">
        <v>218</v>
      </c>
      <c r="J21" s="844"/>
      <c r="K21" s="861"/>
    </row>
    <row r="22" spans="1:11" ht="15.75">
      <c r="A22" s="866"/>
      <c r="B22" s="867"/>
      <c r="C22" s="867"/>
      <c r="D22" s="868"/>
      <c r="E22" s="861"/>
      <c r="F22" s="861"/>
      <c r="G22" s="861"/>
      <c r="H22" s="861"/>
      <c r="I22" s="861"/>
      <c r="J22" s="861"/>
      <c r="K22" s="861"/>
    </row>
    <row r="23" spans="1:11" ht="15.75">
      <c r="A23" s="866" t="s">
        <v>1044</v>
      </c>
      <c r="B23" s="855" t="s">
        <v>1045</v>
      </c>
      <c r="C23" s="867"/>
      <c r="D23" s="868"/>
      <c r="E23" s="861"/>
      <c r="F23" s="861"/>
      <c r="G23" s="861"/>
      <c r="H23" s="861"/>
      <c r="I23" s="861"/>
      <c r="J23" s="861"/>
      <c r="K23" s="861"/>
    </row>
    <row r="24" spans="1:11" ht="15.75">
      <c r="A24" s="866"/>
      <c r="B24" s="855" t="str">
        <f>CONCATENATE("and loss of funding from Federal sources after January 1, 2017 in the ",K1," budget:")</f>
        <v>and loss of funding from Federal sources after January 1, 2017 in the 0 budget:</v>
      </c>
      <c r="C24" s="867"/>
      <c r="D24" s="868"/>
      <c r="E24" s="861"/>
      <c r="F24" s="860"/>
      <c r="G24" s="861"/>
      <c r="H24" s="861"/>
      <c r="I24" s="860" t="s">
        <v>218</v>
      </c>
      <c r="J24" s="844"/>
      <c r="K24" s="861"/>
    </row>
    <row r="25" spans="1:11" ht="15.75">
      <c r="A25" s="866"/>
      <c r="B25" s="867"/>
      <c r="C25" s="867"/>
      <c r="D25" s="867"/>
      <c r="E25" s="861"/>
      <c r="F25" s="865"/>
      <c r="G25" s="861"/>
      <c r="H25" s="861"/>
      <c r="I25" s="865"/>
      <c r="J25" s="861"/>
      <c r="K25" s="861"/>
    </row>
    <row r="26" spans="1:11" ht="15.75">
      <c r="A26" s="866" t="s">
        <v>1046</v>
      </c>
      <c r="B26" s="855" t="str">
        <f>CONCATENATE("Property tax revenues spent on expenses realted to disaster or Federal Emergency in the ",K1," budget:")</f>
        <v>Property tax revenues spent on expenses realted to disaster or Federal Emergency in the 0 budget:</v>
      </c>
      <c r="C26" s="867"/>
      <c r="D26" s="868"/>
      <c r="E26" s="861"/>
      <c r="F26" s="860"/>
      <c r="G26" s="861"/>
      <c r="H26" s="861"/>
      <c r="I26" s="860" t="s">
        <v>218</v>
      </c>
      <c r="J26" s="844"/>
      <c r="K26" s="861"/>
    </row>
    <row r="27" spans="1:11" ht="15.75">
      <c r="A27" s="866"/>
      <c r="B27" s="855"/>
      <c r="C27" s="867"/>
      <c r="D27" s="868"/>
      <c r="E27" s="861"/>
      <c r="F27" s="860"/>
      <c r="G27" s="861"/>
      <c r="H27" s="861"/>
      <c r="I27" s="860"/>
      <c r="J27" s="861"/>
      <c r="K27" s="861"/>
    </row>
    <row r="28" spans="1:11" ht="15.75">
      <c r="A28" s="866"/>
      <c r="B28" s="867"/>
      <c r="C28" s="867"/>
      <c r="D28" s="867"/>
      <c r="E28" s="861"/>
      <c r="F28" s="861"/>
      <c r="G28" s="861"/>
      <c r="H28" s="861"/>
      <c r="I28" s="861"/>
      <c r="J28" s="861"/>
      <c r="K28" s="861"/>
    </row>
    <row r="29" spans="1:11" ht="15.75">
      <c r="A29" s="866" t="s">
        <v>1047</v>
      </c>
      <c r="B29" s="855" t="str">
        <f>CONCATENATE("Law enforcement expenses - ",K1," budget:")</f>
        <v>Law enforcement expenses - 0 budget:</v>
      </c>
      <c r="C29" s="867"/>
      <c r="D29" s="867"/>
      <c r="E29" s="861"/>
      <c r="F29" s="869" t="s">
        <v>218</v>
      </c>
      <c r="G29" s="844"/>
      <c r="H29" s="861"/>
      <c r="I29" s="861"/>
      <c r="J29" s="861"/>
      <c r="K29" s="861"/>
    </row>
    <row r="30" spans="1:11" ht="15.75">
      <c r="A30" s="866"/>
      <c r="B30" s="855" t="str">
        <f>CONCATENATE("Law enforcement expenses - ",K1-1," budget:")</f>
        <v>Law enforcement expenses - -1 budget:</v>
      </c>
      <c r="C30" s="867"/>
      <c r="D30" s="867"/>
      <c r="E30" s="861"/>
      <c r="F30" s="870" t="s">
        <v>221</v>
      </c>
      <c r="G30" s="871"/>
      <c r="H30" s="861"/>
      <c r="I30" s="861"/>
      <c r="J30" s="865"/>
      <c r="K30" s="861"/>
    </row>
    <row r="31" spans="1:11" ht="15.75">
      <c r="A31" s="866"/>
      <c r="B31" s="855" t="s">
        <v>1048</v>
      </c>
      <c r="C31" s="867"/>
      <c r="D31" s="867"/>
      <c r="E31" s="872">
        <f>inputPrYr!C8</f>
        <v>0</v>
      </c>
      <c r="F31" s="861"/>
      <c r="G31" s="863">
        <f>G30*E31</f>
        <v>0</v>
      </c>
      <c r="H31" s="861"/>
      <c r="I31" s="861"/>
      <c r="J31" s="865"/>
      <c r="K31" s="861"/>
    </row>
    <row r="32" spans="1:11" ht="15.75">
      <c r="A32" s="866"/>
      <c r="B32" s="855" t="str">
        <f>CONCATENATE("Increased law enforcement expenses in ",K1," budget:")</f>
        <v>Increased law enforcement expenses in 0 budget:</v>
      </c>
      <c r="C32" s="867"/>
      <c r="D32" s="867"/>
      <c r="E32" s="861"/>
      <c r="F32" s="861"/>
      <c r="G32" s="861"/>
      <c r="H32" s="861"/>
      <c r="I32" s="860" t="s">
        <v>218</v>
      </c>
      <c r="J32" s="862">
        <f>IF(G29-G30-G31&gt;0,G29-G30-G31,0)</f>
        <v>0</v>
      </c>
      <c r="K32" s="861"/>
    </row>
    <row r="33" spans="1:11" ht="15.75">
      <c r="A33" s="866"/>
      <c r="B33" s="868" t="s">
        <v>1049</v>
      </c>
      <c r="C33" s="867"/>
      <c r="D33" s="867"/>
      <c r="E33" s="861"/>
      <c r="F33" s="861"/>
      <c r="G33" s="861"/>
      <c r="H33" s="861"/>
      <c r="I33" s="861"/>
      <c r="J33" s="865"/>
      <c r="K33" s="861"/>
    </row>
    <row r="34" spans="1:11" ht="15.75">
      <c r="A34" s="866"/>
      <c r="B34" s="867"/>
      <c r="C34" s="867"/>
      <c r="D34" s="867"/>
      <c r="E34" s="867"/>
      <c r="F34" s="867"/>
      <c r="G34" s="873"/>
      <c r="H34" s="873"/>
      <c r="I34" s="867"/>
      <c r="J34" s="867"/>
      <c r="K34" s="867"/>
    </row>
    <row r="35" spans="1:11" ht="15.75">
      <c r="A35" s="866" t="s">
        <v>1050</v>
      </c>
      <c r="B35" s="855" t="str">
        <f>CONCATENATE("Fire protection expenses - ",K1," budget:")</f>
        <v>Fire protection expenses - 0 budget:</v>
      </c>
      <c r="C35" s="867"/>
      <c r="D35" s="867"/>
      <c r="E35" s="861"/>
      <c r="F35" s="869" t="s">
        <v>218</v>
      </c>
      <c r="G35" s="844"/>
      <c r="H35" s="861"/>
      <c r="I35" s="861"/>
      <c r="J35" s="861"/>
      <c r="K35" s="861"/>
    </row>
    <row r="36" spans="1:11" ht="15.75">
      <c r="A36" s="866"/>
      <c r="B36" s="855" t="str">
        <f>CONCATENATE("Fire protection expenses - ",K1-1," budget:")</f>
        <v>Fire protection expenses - -1 budget:</v>
      </c>
      <c r="C36" s="867"/>
      <c r="D36" s="867"/>
      <c r="E36" s="861"/>
      <c r="F36" s="870" t="s">
        <v>221</v>
      </c>
      <c r="G36" s="871"/>
      <c r="H36" s="861"/>
      <c r="I36" s="861"/>
      <c r="J36" s="865"/>
      <c r="K36" s="861"/>
    </row>
    <row r="37" spans="1:11" ht="15.75">
      <c r="A37" s="866"/>
      <c r="B37" s="855" t="s">
        <v>1048</v>
      </c>
      <c r="C37" s="867"/>
      <c r="D37" s="867"/>
      <c r="E37" s="872">
        <f>inputPrYr!C8</f>
        <v>0</v>
      </c>
      <c r="F37" s="861"/>
      <c r="G37" s="863">
        <f>G36*E37</f>
        <v>0</v>
      </c>
      <c r="H37" s="861"/>
      <c r="I37" s="861"/>
      <c r="J37" s="865"/>
      <c r="K37" s="861"/>
    </row>
    <row r="38" spans="1:11" ht="15.75">
      <c r="A38" s="866"/>
      <c r="B38" s="855" t="str">
        <f>CONCATENATE("Increased fire protection expense in ",K1," budget:")</f>
        <v>Increased fire protection expense in 0 budget:</v>
      </c>
      <c r="C38" s="867"/>
      <c r="D38" s="867"/>
      <c r="E38" s="861"/>
      <c r="F38" s="861"/>
      <c r="G38" s="861"/>
      <c r="H38" s="861"/>
      <c r="I38" s="860" t="s">
        <v>218</v>
      </c>
      <c r="J38" s="862">
        <f>IF(G35-G36-G37&gt;0,G35-G36-G37,0)</f>
        <v>0</v>
      </c>
      <c r="K38" s="861"/>
    </row>
    <row r="39" spans="1:11" ht="15.75">
      <c r="A39" s="874"/>
      <c r="B39" s="868" t="s">
        <v>1049</v>
      </c>
      <c r="C39" s="867"/>
      <c r="D39" s="867"/>
      <c r="E39" s="867"/>
      <c r="F39" s="867"/>
      <c r="G39" s="867"/>
      <c r="H39" s="867"/>
      <c r="I39" s="867"/>
      <c r="J39" s="867"/>
      <c r="K39" s="861"/>
    </row>
    <row r="40" spans="1:11" ht="15.75">
      <c r="A40" s="866"/>
      <c r="B40" s="867"/>
      <c r="C40" s="867"/>
      <c r="D40" s="867"/>
      <c r="E40" s="867"/>
      <c r="F40" s="867"/>
      <c r="G40" s="867"/>
      <c r="H40" s="867"/>
      <c r="I40" s="867"/>
      <c r="J40" s="867"/>
      <c r="K40" s="875"/>
    </row>
    <row r="41" spans="1:11" ht="15.75">
      <c r="A41" s="866" t="s">
        <v>1051</v>
      </c>
      <c r="B41" s="855" t="str">
        <f>CONCATENATE("Emergency medical expenses - ",K1," budget:")</f>
        <v>Emergency medical expenses - 0 budget:</v>
      </c>
      <c r="C41" s="867"/>
      <c r="D41" s="867"/>
      <c r="E41" s="861"/>
      <c r="F41" s="869" t="s">
        <v>218</v>
      </c>
      <c r="G41" s="844"/>
      <c r="H41" s="861"/>
      <c r="I41" s="861"/>
      <c r="J41" s="861"/>
      <c r="K41" s="861"/>
    </row>
    <row r="42" spans="1:11" ht="15.75">
      <c r="A42" s="866"/>
      <c r="B42" s="855" t="str">
        <f>CONCATENATE("Emergency medical expenses - ",K1-1," budget:")</f>
        <v>Emergency medical expenses - -1 budget:</v>
      </c>
      <c r="C42" s="867"/>
      <c r="D42" s="867"/>
      <c r="E42" s="861"/>
      <c r="F42" s="870" t="s">
        <v>221</v>
      </c>
      <c r="G42" s="871"/>
      <c r="H42" s="861"/>
      <c r="I42" s="861"/>
      <c r="J42" s="865"/>
      <c r="K42" s="861"/>
    </row>
    <row r="43" spans="1:11" ht="15.75">
      <c r="A43" s="876"/>
      <c r="B43" s="855" t="s">
        <v>1048</v>
      </c>
      <c r="C43" s="867"/>
      <c r="D43" s="867"/>
      <c r="E43" s="872">
        <f>inputPrYr!C8</f>
        <v>0</v>
      </c>
      <c r="F43" s="861"/>
      <c r="G43" s="863">
        <f>G42*E43</f>
        <v>0</v>
      </c>
      <c r="H43" s="861"/>
      <c r="I43" s="861"/>
      <c r="J43" s="865"/>
      <c r="K43" s="861"/>
    </row>
    <row r="44" spans="1:11" ht="15.75">
      <c r="A44" s="876"/>
      <c r="B44" s="855" t="str">
        <f>CONCATENATE("Increased emergency medical expenses in ",K1," budget:")</f>
        <v>Increased emergency medical expenses in 0 budget:</v>
      </c>
      <c r="C44" s="867"/>
      <c r="D44" s="867"/>
      <c r="E44" s="861"/>
      <c r="F44" s="861"/>
      <c r="G44" s="861"/>
      <c r="H44" s="861"/>
      <c r="I44" s="860" t="s">
        <v>218</v>
      </c>
      <c r="J44" s="862">
        <f>IF(G41-G42-G43&gt;0,G41-G42-G43,0)</f>
        <v>0</v>
      </c>
      <c r="K44" s="861"/>
    </row>
    <row r="45" spans="1:11" ht="15.75">
      <c r="A45" s="876"/>
      <c r="B45" s="868" t="s">
        <v>1049</v>
      </c>
      <c r="C45" s="867"/>
      <c r="D45" s="877"/>
      <c r="E45" s="877"/>
      <c r="F45" s="877"/>
      <c r="G45" s="877"/>
      <c r="H45" s="877"/>
      <c r="I45" s="877"/>
      <c r="J45" s="877"/>
      <c r="K45" s="878"/>
    </row>
    <row r="46" spans="1:11" ht="15.75">
      <c r="A46" s="876"/>
      <c r="B46" s="877"/>
      <c r="C46" s="877"/>
      <c r="D46" s="877"/>
      <c r="E46" s="877"/>
      <c r="F46" s="877"/>
      <c r="G46" s="877"/>
      <c r="H46" s="877"/>
      <c r="I46" s="877"/>
      <c r="J46" s="879"/>
      <c r="K46" s="880"/>
    </row>
    <row r="47" spans="1:11" ht="15.75">
      <c r="A47" s="876"/>
      <c r="B47" s="877"/>
      <c r="C47" s="877"/>
      <c r="D47" s="877"/>
      <c r="E47" s="877"/>
      <c r="F47" s="877"/>
      <c r="G47" s="877"/>
      <c r="H47" s="877"/>
      <c r="I47" s="877"/>
      <c r="J47" s="877"/>
      <c r="K47" s="880"/>
    </row>
    <row r="48" spans="1:11" ht="15.75">
      <c r="A48" s="881" t="s">
        <v>1052</v>
      </c>
      <c r="B48" s="882" t="s">
        <v>1053</v>
      </c>
      <c r="C48" s="882"/>
      <c r="D48" s="877"/>
      <c r="E48" s="877"/>
      <c r="F48" s="877"/>
      <c r="G48" s="877"/>
      <c r="H48" s="877"/>
      <c r="I48" s="877"/>
      <c r="J48" s="883">
        <f>J8+J16+J18+J21+J24+J26+J32+J38+J44</f>
        <v>0</v>
      </c>
      <c r="K48" s="880"/>
    </row>
    <row r="49" spans="1:11" ht="18.75">
      <c r="A49" s="876"/>
      <c r="B49" s="877"/>
      <c r="C49" s="877"/>
      <c r="D49" s="884"/>
      <c r="E49" s="884"/>
      <c r="F49" s="884"/>
      <c r="G49" s="884"/>
      <c r="H49" s="884"/>
      <c r="I49" s="884"/>
      <c r="J49" s="879"/>
      <c r="K49" s="880"/>
    </row>
    <row r="50" spans="1:11" ht="18.75">
      <c r="A50" s="885"/>
      <c r="B50" s="885"/>
      <c r="C50" s="886"/>
      <c r="D50" s="886"/>
      <c r="E50" s="886"/>
      <c r="F50" s="886"/>
      <c r="G50" s="886"/>
      <c r="H50" s="886"/>
      <c r="I50" s="886"/>
      <c r="J50" s="887"/>
      <c r="K50" s="880"/>
    </row>
    <row r="51" spans="1:11" ht="18.75">
      <c r="A51" s="885"/>
      <c r="B51" s="885"/>
      <c r="C51" s="888"/>
      <c r="D51" s="886"/>
      <c r="E51" s="886"/>
      <c r="F51" s="886"/>
      <c r="G51" s="886"/>
      <c r="H51" s="886"/>
      <c r="I51" s="886"/>
      <c r="J51" s="889"/>
      <c r="K51" s="880"/>
    </row>
    <row r="52" spans="1:11" ht="15.75">
      <c r="A52" s="973"/>
      <c r="B52" s="973"/>
      <c r="C52" s="973"/>
      <c r="D52" s="973"/>
      <c r="E52" s="973"/>
      <c r="F52" s="973"/>
      <c r="G52" s="973"/>
      <c r="H52" s="973"/>
      <c r="I52" s="973"/>
      <c r="J52" s="973"/>
      <c r="K52" s="973"/>
    </row>
    <row r="53" spans="1:11" ht="15.75">
      <c r="A53" s="890"/>
      <c r="B53" s="891"/>
      <c r="C53" s="891"/>
      <c r="D53" s="891"/>
      <c r="E53" s="891"/>
      <c r="F53" s="891"/>
      <c r="G53" s="891"/>
      <c r="H53" s="891"/>
      <c r="I53" s="891"/>
      <c r="J53" s="891"/>
      <c r="K53" s="891"/>
    </row>
  </sheetData>
  <sheetProtection sheet="1"/>
  <mergeCells count="2">
    <mergeCell ref="A4:K4"/>
    <mergeCell ref="A52:K5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8"/>
  <sheetViews>
    <sheetView zoomScalePageLayoutView="0" workbookViewId="0" topLeftCell="A1">
      <selection activeCell="U33" sqref="U33"/>
    </sheetView>
  </sheetViews>
  <sheetFormatPr defaultColWidth="8.796875" defaultRowHeight="15"/>
  <cols>
    <col min="1" max="1" width="3.69921875" style="0" customWidth="1"/>
    <col min="8" max="8" width="15.796875" style="0" customWidth="1"/>
    <col min="9" max="9" width="3.796875" style="0" customWidth="1"/>
  </cols>
  <sheetData>
    <row r="1" spans="1:10" ht="15.75">
      <c r="A1" s="855"/>
      <c r="B1" s="855"/>
      <c r="C1" s="856">
        <f>inputPrYr!D3</f>
        <v>0</v>
      </c>
      <c r="D1" s="855"/>
      <c r="E1" s="855"/>
      <c r="F1" s="855"/>
      <c r="G1" s="855"/>
      <c r="H1" s="855"/>
      <c r="I1" s="855"/>
      <c r="J1" s="893">
        <f>inputPrYr!C6</f>
        <v>0</v>
      </c>
    </row>
    <row r="2" spans="1:10" ht="15.75">
      <c r="A2" s="855"/>
      <c r="B2" s="855"/>
      <c r="C2" s="855"/>
      <c r="D2" s="855"/>
      <c r="E2" s="855"/>
      <c r="F2" s="855"/>
      <c r="G2" s="855"/>
      <c r="H2" s="855"/>
      <c r="I2" s="855"/>
      <c r="J2" s="855"/>
    </row>
    <row r="3" spans="1:10" ht="15.75">
      <c r="A3" s="894"/>
      <c r="B3" s="895"/>
      <c r="C3" s="895"/>
      <c r="D3" s="896"/>
      <c r="E3" s="895"/>
      <c r="F3" s="895"/>
      <c r="G3" s="895"/>
      <c r="H3" s="895"/>
      <c r="I3" s="895"/>
      <c r="J3" s="895"/>
    </row>
    <row r="4" spans="1:10" ht="15.75">
      <c r="A4" s="897"/>
      <c r="B4" s="867"/>
      <c r="C4" s="898"/>
      <c r="D4" s="899"/>
      <c r="E4" s="974"/>
      <c r="F4" s="974"/>
      <c r="G4" s="974"/>
      <c r="H4" s="900"/>
      <c r="I4" s="867"/>
      <c r="J4" s="901"/>
    </row>
    <row r="5" spans="1:10" ht="15.75">
      <c r="A5" s="866"/>
      <c r="B5" s="867"/>
      <c r="C5" s="902" t="s">
        <v>1054</v>
      </c>
      <c r="D5" s="867"/>
      <c r="E5" s="861"/>
      <c r="F5" s="861"/>
      <c r="G5" s="861"/>
      <c r="H5" s="865"/>
      <c r="I5" s="861"/>
      <c r="J5" s="861"/>
    </row>
    <row r="6" spans="1:10" ht="15.75">
      <c r="A6" s="866"/>
      <c r="B6" s="867"/>
      <c r="C6" s="902"/>
      <c r="D6" s="867"/>
      <c r="E6" s="861"/>
      <c r="F6" s="861"/>
      <c r="G6" s="861"/>
      <c r="H6" s="865"/>
      <c r="I6" s="861"/>
      <c r="J6" s="861"/>
    </row>
    <row r="7" spans="1:10" ht="15.75">
      <c r="A7" s="866"/>
      <c r="B7" s="867"/>
      <c r="C7" s="867"/>
      <c r="D7" s="867"/>
      <c r="E7" s="861"/>
      <c r="F7" s="861"/>
      <c r="G7" s="861"/>
      <c r="H7" s="865"/>
      <c r="I7" s="861"/>
      <c r="J7" s="875"/>
    </row>
    <row r="8" spans="1:10" ht="15.75">
      <c r="A8" s="866" t="s">
        <v>1055</v>
      </c>
      <c r="B8" s="855" t="str">
        <f>CONCATENATE("Library levy  - ",J1," budget:")</f>
        <v>Library levy  - 0 budget:</v>
      </c>
      <c r="C8" s="861"/>
      <c r="D8" s="867"/>
      <c r="E8" s="861"/>
      <c r="F8" s="861"/>
      <c r="G8" s="861"/>
      <c r="H8" s="865"/>
      <c r="I8" s="860" t="s">
        <v>218</v>
      </c>
      <c r="J8" s="844"/>
    </row>
    <row r="9" spans="1:10" ht="15.75">
      <c r="A9" s="866"/>
      <c r="B9" s="855" t="str">
        <f>CONCATENATE("Recreation Commission Tax Levy - ",J1," budget:")</f>
        <v>Recreation Commission Tax Levy - 0 budget:</v>
      </c>
      <c r="C9" s="867"/>
      <c r="D9" s="867"/>
      <c r="E9" s="861"/>
      <c r="F9" s="861"/>
      <c r="G9" s="861"/>
      <c r="H9" s="861"/>
      <c r="I9" s="860" t="s">
        <v>218</v>
      </c>
      <c r="J9" s="861">
        <f>'Library-Rec'!E81</f>
        <v>0</v>
      </c>
    </row>
    <row r="10" spans="1:10" ht="15.75">
      <c r="A10" s="867"/>
      <c r="B10" s="855" t="str">
        <f>CONCATENATE("Other tax entity levy  - ",J1," budget:")</f>
        <v>Other tax entity levy  - 0 budget:</v>
      </c>
      <c r="C10" s="867"/>
      <c r="D10" s="867"/>
      <c r="E10" s="861"/>
      <c r="F10" s="903"/>
      <c r="G10" s="861"/>
      <c r="H10" s="861"/>
      <c r="I10" s="860" t="s">
        <v>218</v>
      </c>
      <c r="J10" s="844"/>
    </row>
    <row r="11" spans="1:10" ht="15.75">
      <c r="A11" s="974"/>
      <c r="B11" s="975"/>
      <c r="C11" s="975"/>
      <c r="D11" s="975"/>
      <c r="E11" s="975"/>
      <c r="F11" s="975"/>
      <c r="G11" s="975"/>
      <c r="H11" s="975"/>
      <c r="I11" s="975"/>
      <c r="J11" s="975"/>
    </row>
    <row r="12" spans="1:10" ht="15.75">
      <c r="A12" s="867"/>
      <c r="B12" s="867"/>
      <c r="C12" s="867"/>
      <c r="D12" s="867"/>
      <c r="E12" s="861"/>
      <c r="F12" s="861"/>
      <c r="G12" s="861"/>
      <c r="H12" s="861"/>
      <c r="I12" s="861"/>
      <c r="J12" s="861"/>
    </row>
    <row r="13" spans="1:10" ht="15.75">
      <c r="A13" s="904" t="s">
        <v>1056</v>
      </c>
      <c r="B13" s="905" t="s">
        <v>1057</v>
      </c>
      <c r="C13" s="905"/>
      <c r="D13" s="905"/>
      <c r="E13" s="906"/>
      <c r="F13" s="906"/>
      <c r="G13" s="907"/>
      <c r="H13" s="861"/>
      <c r="I13" s="860" t="s">
        <v>218</v>
      </c>
      <c r="J13" s="862">
        <f>SUM(J8:J10)</f>
        <v>0</v>
      </c>
    </row>
    <row r="14" spans="1:10" ht="15.75">
      <c r="A14" s="904"/>
      <c r="B14" s="905"/>
      <c r="C14" s="905"/>
      <c r="D14" s="905"/>
      <c r="E14" s="906"/>
      <c r="F14" s="906"/>
      <c r="G14" s="907"/>
      <c r="H14" s="861"/>
      <c r="I14" s="860"/>
      <c r="J14" s="861"/>
    </row>
    <row r="15" spans="1:10" ht="15.75">
      <c r="A15" s="908"/>
      <c r="B15" s="868"/>
      <c r="C15" s="867"/>
      <c r="D15" s="867"/>
      <c r="E15" s="865"/>
      <c r="F15" s="865"/>
      <c r="G15" s="861"/>
      <c r="H15" s="861"/>
      <c r="I15" s="861"/>
      <c r="J15" s="861"/>
    </row>
    <row r="16" spans="1:10" ht="15.75">
      <c r="A16" s="904" t="s">
        <v>1058</v>
      </c>
      <c r="B16" s="905" t="s">
        <v>1059</v>
      </c>
      <c r="C16" s="905"/>
      <c r="D16" s="905"/>
      <c r="E16" s="906"/>
      <c r="F16" s="906"/>
      <c r="G16" s="907"/>
      <c r="H16" s="907"/>
      <c r="I16" s="861"/>
      <c r="J16" s="909" t="e">
        <f>Comp1!J8+Comp1!J45+Comp2!J48+Comp3!J13</f>
        <v>#DIV/0!</v>
      </c>
    </row>
    <row r="17" spans="1:10" ht="15.75">
      <c r="A17" s="897"/>
      <c r="B17" s="867"/>
      <c r="C17" s="867"/>
      <c r="D17" s="868"/>
      <c r="E17" s="861"/>
      <c r="F17" s="865"/>
      <c r="G17" s="861"/>
      <c r="H17" s="861"/>
      <c r="I17" s="861"/>
      <c r="J17" s="861"/>
    </row>
    <row r="18" spans="1:10" ht="15.75">
      <c r="A18" s="897"/>
      <c r="B18" s="867"/>
      <c r="C18" s="867"/>
      <c r="D18" s="868"/>
      <c r="E18" s="861"/>
      <c r="F18" s="865"/>
      <c r="G18" s="861"/>
      <c r="H18" s="861"/>
      <c r="I18" s="861"/>
      <c r="J18" s="861"/>
    </row>
    <row r="19" spans="1:10" ht="15.75">
      <c r="A19" s="897"/>
      <c r="B19" s="867"/>
      <c r="C19" s="867"/>
      <c r="D19" s="868"/>
      <c r="E19" s="861"/>
      <c r="F19" s="865"/>
      <c r="G19" s="861"/>
      <c r="H19" s="861"/>
      <c r="I19" s="861"/>
      <c r="J19" s="861"/>
    </row>
    <row r="20" spans="1:10" ht="15.75">
      <c r="A20" s="868"/>
      <c r="B20" s="867"/>
      <c r="C20" s="867"/>
      <c r="D20" s="868"/>
      <c r="E20" s="861"/>
      <c r="F20" s="865"/>
      <c r="G20" s="861"/>
      <c r="H20" s="861"/>
      <c r="I20" s="861"/>
      <c r="J20" s="861"/>
    </row>
    <row r="21" spans="1:10" ht="15.75">
      <c r="A21" s="868"/>
      <c r="B21" s="867"/>
      <c r="C21" s="867"/>
      <c r="D21" s="867"/>
      <c r="E21" s="861"/>
      <c r="F21" s="861"/>
      <c r="G21" s="861"/>
      <c r="H21" s="861"/>
      <c r="I21" s="861"/>
      <c r="J21" s="861"/>
    </row>
    <row r="22" spans="1:10" ht="15.75">
      <c r="A22" s="868"/>
      <c r="B22" s="902"/>
      <c r="C22" s="902" t="s">
        <v>1060</v>
      </c>
      <c r="D22" s="867"/>
      <c r="E22" s="861"/>
      <c r="F22" s="861"/>
      <c r="G22" s="861"/>
      <c r="H22" s="861"/>
      <c r="I22" s="861"/>
      <c r="J22" s="861"/>
    </row>
    <row r="23" spans="1:10" ht="15.75">
      <c r="A23" s="868"/>
      <c r="B23" s="902"/>
      <c r="C23" s="902"/>
      <c r="D23" s="867"/>
      <c r="E23" s="861"/>
      <c r="F23" s="861"/>
      <c r="G23" s="861"/>
      <c r="H23" s="861"/>
      <c r="I23" s="861"/>
      <c r="J23" s="861"/>
    </row>
    <row r="24" spans="1:10" ht="15.75">
      <c r="A24" s="868"/>
      <c r="B24" s="867" t="s">
        <v>1061</v>
      </c>
      <c r="C24" s="902"/>
      <c r="D24" s="867"/>
      <c r="E24" s="861"/>
      <c r="F24" s="861"/>
      <c r="G24" s="861"/>
      <c r="H24" s="861"/>
      <c r="I24" s="861"/>
      <c r="J24" s="861"/>
    </row>
    <row r="25" spans="1:10" ht="15.75">
      <c r="A25" s="868"/>
      <c r="B25" s="867"/>
      <c r="C25" s="902"/>
      <c r="D25" s="867"/>
      <c r="E25" s="861"/>
      <c r="F25" s="861"/>
      <c r="G25" s="861"/>
      <c r="H25" s="861"/>
      <c r="I25" s="861"/>
      <c r="J25" s="861"/>
    </row>
    <row r="26" spans="1:10" ht="15.75">
      <c r="A26" s="868"/>
      <c r="B26" s="867"/>
      <c r="C26" s="867"/>
      <c r="D26" s="867"/>
      <c r="E26" s="861"/>
      <c r="F26" s="861"/>
      <c r="G26" s="861"/>
      <c r="H26" s="861"/>
      <c r="I26" s="861"/>
      <c r="J26" s="861"/>
    </row>
    <row r="27" spans="1:10" ht="15.75">
      <c r="A27" s="868"/>
      <c r="B27" s="867"/>
      <c r="C27" s="867" t="str">
        <f>CONCATENATE(J1-4," Tax Levy (Less Levy for other Governmental Units)")</f>
        <v>-4 Tax Levy (Less Levy for other Governmental Units)</v>
      </c>
      <c r="D27" s="868"/>
      <c r="E27" s="861"/>
      <c r="F27" s="861"/>
      <c r="G27" s="861"/>
      <c r="H27" s="910"/>
      <c r="I27" s="861"/>
      <c r="J27" s="861"/>
    </row>
    <row r="28" spans="1:10" ht="15.75">
      <c r="A28" s="868"/>
      <c r="B28" s="867"/>
      <c r="C28" s="867" t="str">
        <f>CONCATENATE(J1-3," Tax Levy (Less Levy for other Governmental Units)")</f>
        <v>-3 Tax Levy (Less Levy for other Governmental Units)</v>
      </c>
      <c r="D28" s="868"/>
      <c r="E28" s="861"/>
      <c r="F28" s="861"/>
      <c r="G28" s="861"/>
      <c r="H28" s="910"/>
      <c r="I28" s="861"/>
      <c r="J28" s="861" t="str">
        <f>IF(H28&lt;H27,"Decline","None")</f>
        <v>None</v>
      </c>
    </row>
    <row r="29" spans="1:10" ht="15.75">
      <c r="A29" s="868"/>
      <c r="B29" s="867"/>
      <c r="C29" s="867" t="str">
        <f>CONCATENATE(J1-2," Tax Levy (Less Levy for other Governmental Units)")</f>
        <v>-2 Tax Levy (Less Levy for other Governmental Units)</v>
      </c>
      <c r="D29" s="868"/>
      <c r="E29" s="861"/>
      <c r="F29" s="861"/>
      <c r="G29" s="861"/>
      <c r="H29" s="910"/>
      <c r="I29" s="861"/>
      <c r="J29" s="861" t="str">
        <f>IF(H29&lt;H28,"Decline","None")</f>
        <v>None</v>
      </c>
    </row>
    <row r="30" spans="1:10" ht="15.75">
      <c r="A30" s="868"/>
      <c r="B30" s="867"/>
      <c r="C30" s="867" t="str">
        <f>CONCATENATE(J1-1," Tax Levy (Less Levy for other Governmental Units)")</f>
        <v>-1 Tax Levy (Less Levy for other Governmental Units)</v>
      </c>
      <c r="D30" s="868"/>
      <c r="E30" s="861"/>
      <c r="F30" s="861"/>
      <c r="G30" s="861"/>
      <c r="H30" s="910"/>
      <c r="I30" s="861"/>
      <c r="J30" s="861" t="str">
        <f>IF(H30&lt;H29,"Decline","None")</f>
        <v>None</v>
      </c>
    </row>
    <row r="31" spans="1:10" ht="15.75">
      <c r="A31" s="868"/>
      <c r="B31" s="867"/>
      <c r="C31" s="867"/>
      <c r="D31" s="868"/>
      <c r="E31" s="861"/>
      <c r="F31" s="861"/>
      <c r="G31" s="861"/>
      <c r="H31" s="861"/>
      <c r="I31" s="861"/>
      <c r="J31" s="861"/>
    </row>
    <row r="32" spans="1:10" ht="15.75">
      <c r="A32" s="868"/>
      <c r="B32" s="867"/>
      <c r="C32" s="874" t="s">
        <v>1062</v>
      </c>
      <c r="D32" s="868"/>
      <c r="E32" s="861"/>
      <c r="F32" s="861"/>
      <c r="G32" s="861"/>
      <c r="H32" s="861" t="e">
        <f>AVERAGE(H28:H30)</f>
        <v>#DIV/0!</v>
      </c>
      <c r="I32" s="861"/>
      <c r="J32" s="861"/>
    </row>
    <row r="33" spans="1:10" ht="15.75">
      <c r="A33" s="868"/>
      <c r="B33" s="867"/>
      <c r="C33" s="874" t="str">
        <f>CONCATENATE("CPI Adjustment of  ",inputPrYr!C10)</f>
        <v>CPI Adjustment of  </v>
      </c>
      <c r="D33" s="868"/>
      <c r="E33" s="861"/>
      <c r="F33" s="861"/>
      <c r="G33" s="861"/>
      <c r="H33" s="861" t="e">
        <f>H32*inputPrYr!C10</f>
        <v>#DIV/0!</v>
      </c>
      <c r="I33" s="861"/>
      <c r="J33" s="861"/>
    </row>
    <row r="34" spans="1:10" ht="15.75">
      <c r="A34" s="868"/>
      <c r="B34" s="867"/>
      <c r="C34" s="867" t="s">
        <v>1063</v>
      </c>
      <c r="D34" s="868"/>
      <c r="E34" s="861"/>
      <c r="F34" s="861"/>
      <c r="G34" s="861"/>
      <c r="H34" s="861" t="e">
        <f>SUM(H32:H33)</f>
        <v>#DIV/0!</v>
      </c>
      <c r="I34" s="861"/>
      <c r="J34" s="861"/>
    </row>
    <row r="35" spans="1:10" ht="15.75">
      <c r="A35" s="868"/>
      <c r="B35" s="867"/>
      <c r="C35" s="867"/>
      <c r="D35" s="868"/>
      <c r="E35" s="861"/>
      <c r="F35" s="861"/>
      <c r="G35" s="861"/>
      <c r="H35" s="861"/>
      <c r="I35" s="861"/>
      <c r="J35" s="861"/>
    </row>
    <row r="36" spans="1:10" ht="15.75">
      <c r="A36" s="868"/>
      <c r="B36" s="867"/>
      <c r="C36" s="867" t="str">
        <f>CONCATENATE(J1," Total Tax Levy - Less Levy for Other Governmental Units")</f>
        <v>0 Total Tax Levy - Less Levy for Other Governmental Units</v>
      </c>
      <c r="D36" s="868"/>
      <c r="E36" s="861"/>
      <c r="F36" s="861"/>
      <c r="G36" s="861"/>
      <c r="H36" s="940"/>
      <c r="I36" s="861"/>
      <c r="J36" s="861"/>
    </row>
    <row r="37" spans="1:10" ht="15.75">
      <c r="A37" s="868"/>
      <c r="B37" s="868"/>
      <c r="C37" s="867"/>
      <c r="D37" s="868"/>
      <c r="E37" s="861"/>
      <c r="F37" s="861"/>
      <c r="G37" s="861"/>
      <c r="H37" s="861"/>
      <c r="I37" s="861"/>
      <c r="J37" s="861"/>
    </row>
    <row r="38" spans="1:10" ht="15.75">
      <c r="A38" s="868"/>
      <c r="B38" s="867"/>
      <c r="C38" s="905" t="s">
        <v>1064</v>
      </c>
      <c r="D38" s="905"/>
      <c r="E38" s="907"/>
      <c r="F38" s="906"/>
      <c r="G38" s="907"/>
      <c r="H38" s="911" t="e">
        <f>IF(H34&gt;H36,"Yes","No")</f>
        <v>#DIV/0!</v>
      </c>
      <c r="I38" s="861"/>
      <c r="J38" s="861"/>
    </row>
    <row r="39" spans="1:10" ht="15.75">
      <c r="A39" s="867"/>
      <c r="B39" s="867"/>
      <c r="C39" s="867"/>
      <c r="D39" s="868"/>
      <c r="E39" s="861"/>
      <c r="F39" s="861"/>
      <c r="G39" s="861"/>
      <c r="H39" s="861"/>
      <c r="I39" s="861"/>
      <c r="J39" s="861"/>
    </row>
    <row r="40" spans="1:10" ht="15.75">
      <c r="A40" s="868"/>
      <c r="B40" s="867"/>
      <c r="C40" s="867"/>
      <c r="D40" s="867" t="s">
        <v>1065</v>
      </c>
      <c r="E40" s="861"/>
      <c r="F40" s="861"/>
      <c r="G40" s="861"/>
      <c r="H40" s="861"/>
      <c r="I40" s="861"/>
      <c r="J40" s="861"/>
    </row>
    <row r="41" spans="1:10" ht="15.75">
      <c r="A41" s="868"/>
      <c r="B41" s="868"/>
      <c r="C41" s="867"/>
      <c r="D41" s="867"/>
      <c r="E41" s="861"/>
      <c r="F41" s="861"/>
      <c r="G41" s="861"/>
      <c r="H41" s="861"/>
      <c r="I41" s="861"/>
      <c r="J41" s="861"/>
    </row>
    <row r="42" spans="1:10" ht="15.75">
      <c r="A42" s="868"/>
      <c r="B42" s="867"/>
      <c r="C42" s="902" t="s">
        <v>1066</v>
      </c>
      <c r="D42" s="867"/>
      <c r="E42" s="861"/>
      <c r="F42" s="861"/>
      <c r="G42" s="861"/>
      <c r="H42" s="861"/>
      <c r="I42" s="865"/>
      <c r="J42" s="861"/>
    </row>
    <row r="43" spans="1:10" ht="15.75">
      <c r="A43" s="868"/>
      <c r="B43" s="868"/>
      <c r="C43" s="867"/>
      <c r="D43" s="867"/>
      <c r="E43" s="861"/>
      <c r="F43" s="861"/>
      <c r="G43" s="861"/>
      <c r="H43" s="861"/>
      <c r="I43" s="865"/>
      <c r="J43" s="861"/>
    </row>
    <row r="44" spans="1:10" ht="15.75">
      <c r="A44" s="868"/>
      <c r="B44" s="867"/>
      <c r="C44" s="867" t="s">
        <v>1067</v>
      </c>
      <c r="D44" s="867"/>
      <c r="E44" s="861"/>
      <c r="F44" s="861"/>
      <c r="G44" s="861"/>
      <c r="H44" s="940"/>
      <c r="I44" s="865"/>
      <c r="J44" s="861"/>
    </row>
    <row r="45" spans="1:10" ht="15.75">
      <c r="A45" s="868"/>
      <c r="B45" s="867"/>
      <c r="C45" s="867"/>
      <c r="D45" s="867"/>
      <c r="E45" s="861"/>
      <c r="F45" s="861"/>
      <c r="G45" s="861"/>
      <c r="H45" s="861"/>
      <c r="I45" s="865"/>
      <c r="J45" s="861"/>
    </row>
    <row r="46" spans="1:10" ht="15.75">
      <c r="A46" s="868"/>
      <c r="B46" s="868"/>
      <c r="C46" s="867"/>
      <c r="D46" s="867"/>
      <c r="E46" s="861"/>
      <c r="F46" s="861"/>
      <c r="G46" s="861"/>
      <c r="H46" s="861"/>
      <c r="I46" s="865"/>
      <c r="J46" s="861"/>
    </row>
    <row r="47" spans="1:10" ht="15.75">
      <c r="A47" s="868"/>
      <c r="B47" s="867"/>
      <c r="C47" s="867" t="str">
        <f>CONCATENATE(J1," Tax Levy (Less Levy for other Governmental Units)")</f>
        <v>0 Tax Levy (Less Levy for other Governmental Units)</v>
      </c>
      <c r="D47" s="868"/>
      <c r="E47" s="861"/>
      <c r="F47" s="861"/>
      <c r="G47" s="861"/>
      <c r="H47" s="910"/>
      <c r="I47" s="867"/>
      <c r="J47" s="867"/>
    </row>
    <row r="48" spans="1:10" ht="15.75">
      <c r="A48" s="868"/>
      <c r="B48" s="868"/>
      <c r="C48" s="867" t="str">
        <f>CONCATENATE(J1-1," Tax Levy (Less Levy for other Governmental Units)")</f>
        <v>-1 Tax Levy (Less Levy for other Governmental Units)</v>
      </c>
      <c r="D48" s="868"/>
      <c r="E48" s="861"/>
      <c r="F48" s="861"/>
      <c r="G48" s="861"/>
      <c r="H48" s="910"/>
      <c r="I48" s="867"/>
      <c r="J48" s="867"/>
    </row>
    <row r="49" spans="1:10" ht="15.75">
      <c r="A49" s="868"/>
      <c r="B49" s="867"/>
      <c r="C49" s="867" t="s">
        <v>1068</v>
      </c>
      <c r="D49" s="867"/>
      <c r="E49" s="867"/>
      <c r="F49" s="867"/>
      <c r="G49" s="867"/>
      <c r="H49" s="865">
        <f>H47-H48</f>
        <v>0</v>
      </c>
      <c r="I49" s="867"/>
      <c r="J49" s="861"/>
    </row>
    <row r="50" spans="1:10" ht="15.75">
      <c r="A50" s="868"/>
      <c r="B50" s="868"/>
      <c r="C50" s="867"/>
      <c r="D50" s="867"/>
      <c r="E50" s="867"/>
      <c r="F50" s="867"/>
      <c r="G50" s="867"/>
      <c r="H50" s="868"/>
      <c r="I50" s="867"/>
      <c r="J50" s="861"/>
    </row>
    <row r="51" spans="1:10" ht="15.75">
      <c r="A51" s="868"/>
      <c r="B51" s="867"/>
      <c r="C51" s="867"/>
      <c r="D51" s="867"/>
      <c r="E51" s="867"/>
      <c r="F51" s="867"/>
      <c r="G51" s="867"/>
      <c r="H51" s="867"/>
      <c r="I51" s="867"/>
      <c r="J51" s="861"/>
    </row>
    <row r="52" spans="1:10" ht="15.75">
      <c r="A52" s="867"/>
      <c r="B52" s="867"/>
      <c r="C52" s="867" t="s">
        <v>1069</v>
      </c>
      <c r="D52" s="867"/>
      <c r="E52" s="867"/>
      <c r="F52" s="867"/>
      <c r="G52" s="867"/>
      <c r="H52" s="861"/>
      <c r="I52" s="867"/>
      <c r="J52" s="861">
        <f>Comp1!J42</f>
        <v>0</v>
      </c>
    </row>
    <row r="53" spans="1:10" ht="15.75">
      <c r="A53" s="868"/>
      <c r="B53" s="867"/>
      <c r="C53" s="867" t="str">
        <f>CONCATENATE(J1," Mill Rate (Less Mills  for other Governmental Units)")</f>
        <v>0 Mill Rate (Less Mills  for other Governmental Units)</v>
      </c>
      <c r="D53" s="867"/>
      <c r="E53" s="867"/>
      <c r="F53" s="867"/>
      <c r="G53" s="867"/>
      <c r="H53" s="912"/>
      <c r="I53" s="867"/>
      <c r="J53" s="875"/>
    </row>
    <row r="54" spans="1:10" ht="15.75">
      <c r="A54" s="868"/>
      <c r="B54" s="867"/>
      <c r="C54" s="867"/>
      <c r="D54" s="867"/>
      <c r="E54" s="867"/>
      <c r="F54" s="867"/>
      <c r="G54" s="867"/>
      <c r="H54" s="867"/>
      <c r="I54" s="867"/>
      <c r="J54" s="861"/>
    </row>
    <row r="55" spans="1:10" ht="15.75">
      <c r="A55" s="868"/>
      <c r="B55" s="867"/>
      <c r="C55" s="867" t="str">
        <f>CONCATENATE("Loss of Assessed Valuation Multiplied by ",J1," Mill Rate")</f>
        <v>Loss of Assessed Valuation Multiplied by 0 Mill Rate</v>
      </c>
      <c r="D55" s="867"/>
      <c r="E55" s="867"/>
      <c r="F55" s="867"/>
      <c r="G55" s="867"/>
      <c r="H55" s="867"/>
      <c r="I55" s="867"/>
      <c r="J55" s="862">
        <f>(H44/1000)*H53</f>
        <v>0</v>
      </c>
    </row>
    <row r="56" spans="1:10" ht="15.75">
      <c r="A56" s="913"/>
      <c r="B56" s="877"/>
      <c r="C56" s="877" t="s">
        <v>1070</v>
      </c>
      <c r="D56" s="877"/>
      <c r="E56" s="877"/>
      <c r="F56" s="877"/>
      <c r="G56" s="877"/>
      <c r="H56" s="877"/>
      <c r="I56" s="877"/>
      <c r="J56" s="880">
        <f>SUM(J52:J55)</f>
        <v>0</v>
      </c>
    </row>
    <row r="57" spans="1:10" ht="15.75">
      <c r="A57" s="876"/>
      <c r="B57" s="877"/>
      <c r="C57" s="877"/>
      <c r="D57" s="877"/>
      <c r="E57" s="877"/>
      <c r="F57" s="877"/>
      <c r="G57" s="877"/>
      <c r="H57" s="877"/>
      <c r="I57" s="877"/>
      <c r="J57" s="878"/>
    </row>
    <row r="58" spans="1:10" ht="15.75">
      <c r="A58" s="876"/>
      <c r="B58" s="877"/>
      <c r="C58" s="877"/>
      <c r="D58" s="877"/>
      <c r="E58" s="877"/>
      <c r="F58" s="877"/>
      <c r="G58" s="877"/>
      <c r="H58" s="877"/>
      <c r="I58" s="877"/>
      <c r="J58" s="878"/>
    </row>
    <row r="59" spans="1:10" ht="15.75">
      <c r="A59" s="876"/>
      <c r="B59" s="877"/>
      <c r="C59" s="914" t="s">
        <v>1071</v>
      </c>
      <c r="D59" s="914"/>
      <c r="E59" s="914"/>
      <c r="F59" s="877"/>
      <c r="G59" s="877"/>
      <c r="H59" s="877"/>
      <c r="I59" s="879"/>
      <c r="J59" s="915" t="str">
        <f>IF(H49&lt;=J56,"Yes","No")</f>
        <v>Yes</v>
      </c>
    </row>
    <row r="60" spans="1:10" ht="15.75">
      <c r="A60" s="913"/>
      <c r="B60" s="877"/>
      <c r="C60" s="877"/>
      <c r="D60" s="877"/>
      <c r="E60" s="877"/>
      <c r="F60" s="877"/>
      <c r="G60" s="877"/>
      <c r="H60" s="877"/>
      <c r="I60" s="877"/>
      <c r="J60" s="880"/>
    </row>
    <row r="61" spans="1:10" ht="15.75">
      <c r="A61" s="913"/>
      <c r="B61" s="877"/>
      <c r="C61" s="877"/>
      <c r="D61" s="877"/>
      <c r="E61" s="877"/>
      <c r="F61" s="877"/>
      <c r="G61" s="877"/>
      <c r="H61" s="877"/>
      <c r="I61" s="877"/>
      <c r="J61" s="880"/>
    </row>
    <row r="62" spans="1:10" ht="18.75">
      <c r="A62" s="916"/>
      <c r="B62" s="914"/>
      <c r="C62" s="914"/>
      <c r="D62" s="884"/>
      <c r="E62" s="884"/>
      <c r="F62" s="884"/>
      <c r="G62" s="884"/>
      <c r="H62" s="884"/>
      <c r="I62" s="879"/>
      <c r="J62" s="915"/>
    </row>
    <row r="63" spans="1:10" ht="18.75">
      <c r="A63" s="886"/>
      <c r="B63" s="885"/>
      <c r="C63" s="886"/>
      <c r="D63" s="886"/>
      <c r="E63" s="886"/>
      <c r="F63" s="886"/>
      <c r="G63" s="886"/>
      <c r="H63" s="886"/>
      <c r="I63" s="887"/>
      <c r="J63" s="880"/>
    </row>
    <row r="64" spans="1:10" ht="18.75">
      <c r="A64" s="917"/>
      <c r="B64" s="918"/>
      <c r="C64" s="917"/>
      <c r="D64" s="917"/>
      <c r="E64" s="917"/>
      <c r="F64" s="917"/>
      <c r="G64" s="917"/>
      <c r="H64" s="917"/>
      <c r="I64" s="919"/>
      <c r="J64" s="920"/>
    </row>
    <row r="65" spans="1:10" ht="15.75">
      <c r="A65" s="976"/>
      <c r="B65" s="976"/>
      <c r="C65" s="976"/>
      <c r="D65" s="976"/>
      <c r="E65" s="976"/>
      <c r="F65" s="976"/>
      <c r="G65" s="976"/>
      <c r="H65" s="976"/>
      <c r="I65" s="976"/>
      <c r="J65" s="976"/>
    </row>
    <row r="66" spans="1:10" ht="15.75">
      <c r="A66" s="891"/>
      <c r="B66" s="891"/>
      <c r="C66" s="891"/>
      <c r="D66" s="891"/>
      <c r="E66" s="891"/>
      <c r="F66" s="890"/>
      <c r="G66" s="891"/>
      <c r="H66" s="891"/>
      <c r="I66" s="891"/>
      <c r="J66" s="891"/>
    </row>
    <row r="67" spans="1:10" ht="15.75">
      <c r="A67" s="977"/>
      <c r="B67" s="977"/>
      <c r="C67" s="977"/>
      <c r="D67" s="977"/>
      <c r="E67" s="977"/>
      <c r="F67" s="977"/>
      <c r="G67" s="977"/>
      <c r="H67" s="977"/>
      <c r="I67" s="977"/>
      <c r="J67" s="977"/>
    </row>
    <row r="68" spans="1:10" ht="15">
      <c r="A68" s="921"/>
      <c r="B68" s="921"/>
      <c r="C68" s="921"/>
      <c r="D68" s="921"/>
      <c r="E68" s="921"/>
      <c r="F68" s="921"/>
      <c r="G68" s="921"/>
      <c r="H68" s="921"/>
      <c r="I68" s="921"/>
      <c r="J68" s="921"/>
    </row>
  </sheetData>
  <sheetProtection/>
  <mergeCells count="4">
    <mergeCell ref="E4:G4"/>
    <mergeCell ref="A11:J11"/>
    <mergeCell ref="A65:J65"/>
    <mergeCell ref="A67:J6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2018-04-25T16:19:21Z</cp:lastPrinted>
  <dcterms:created xsi:type="dcterms:W3CDTF">1998-12-22T16:13:18Z</dcterms:created>
  <dcterms:modified xsi:type="dcterms:W3CDTF">2018-04-25T19:50:37Z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