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Pub. Notice Option 3"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'DebtSvs-Library'!$B$1:$E$87</definedName>
    <definedName name="_xlnm.Print_Area" localSheetId="11">'gen'!$B$1:$E$63</definedName>
    <definedName name="_xlnm.Print_Area" localSheetId="1">'inputPrYr'!$A$1:$E$88</definedName>
    <definedName name="_xlnm.Print_Area" localSheetId="15">'levypage10'!$A$1:$E$90</definedName>
    <definedName name="_xlnm.Print_Area" localSheetId="16">'levypage11'!$A$1:$E$90</definedName>
    <definedName name="_xlnm.Print_Area" localSheetId="14">'levypage9'!$A$1:$E$90</definedName>
    <definedName name="_xlnm.Print_Area" localSheetId="10">'Library Grant'!$A$1:$J$40</definedName>
    <definedName name="_xlnm.Print_Area" localSheetId="25">'Resolution'!$B$5:$B$16</definedName>
    <definedName name="_xlnm.Print_Area" localSheetId="13">'road'!$B$1:$F$70</definedName>
    <definedName name="_xlnm.Print_Area" localSheetId="20">'summ'!$B$2:$I$49</definedName>
  </definedNames>
  <calcPr fullCalcOnLoad="1"/>
</workbook>
</file>

<file path=xl/sharedStrings.xml><?xml version="1.0" encoding="utf-8"?>
<sst xmlns="http://schemas.openxmlformats.org/spreadsheetml/2006/main" count="1620" uniqueCount="977">
  <si>
    <t>Special Road Election held ___________ for ___Mills for ___ years.</t>
  </si>
  <si>
    <t>First levy in ______.</t>
  </si>
  <si>
    <t>$</t>
  </si>
  <si>
    <t>Rate</t>
  </si>
  <si>
    <t>Amount</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</si>
  <si>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</si>
  <si>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</si>
  <si>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</si>
  <si>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</si>
  <si>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</si>
  <si>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</si>
  <si>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</si>
  <si>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</si>
  <si>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</si>
  <si>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</si>
  <si>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</si>
  <si>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</si>
  <si>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</si>
  <si>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</si>
  <si>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</si>
  <si>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</si>
  <si>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</si>
  <si>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</si>
  <si>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</si>
  <si>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</si>
  <si>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</si>
  <si>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</si>
  <si>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</si>
  <si>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</si>
  <si>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</si>
  <si>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</si>
  <si>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</si>
  <si>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</si>
  <si>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</si>
  <si>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</si>
  <si>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</si>
  <si>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</si>
  <si>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</si>
  <si>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</si>
  <si>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</si>
  <si>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</si>
  <si>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</si>
  <si>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</si>
  <si>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</si>
  <si>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</si>
  <si>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</si>
  <si>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</si>
  <si>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</si>
  <si>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</si>
  <si>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</si>
  <si>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</si>
  <si>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</si>
  <si>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</si>
  <si>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</si>
  <si>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</si>
  <si>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</si>
  <si>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</si>
  <si>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</si>
  <si>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</si>
  <si>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</si>
  <si>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</si>
  <si>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</si>
  <si>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</si>
  <si>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</si>
  <si>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</si>
  <si>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</si>
  <si>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</si>
  <si>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</si>
  <si>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</si>
  <si>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</si>
  <si>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</si>
  <si>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</si>
  <si>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</si>
  <si>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</si>
  <si>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</si>
  <si>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</si>
  <si>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</si>
  <si>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</si>
  <si>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</si>
  <si>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</si>
  <si>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</si>
  <si>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</si>
  <si>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</si>
  <si>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</si>
  <si>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</si>
  <si>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</si>
  <si>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</si>
  <si>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</si>
  <si>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</si>
  <si>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</si>
  <si>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</si>
  <si>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</si>
  <si>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</si>
  <si>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</si>
  <si>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</si>
  <si>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</si>
  <si>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</si>
  <si>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</si>
  <si>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</si>
  <si>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</si>
  <si>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</si>
  <si>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</si>
  <si>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</si>
  <si>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</si>
  <si>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</si>
  <si>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</si>
  <si>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</si>
  <si>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</si>
  <si>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</si>
  <si>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</si>
  <si>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</si>
  <si>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</si>
  <si>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</si>
  <si>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</si>
  <si>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</si>
  <si>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</si>
  <si>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</si>
  <si>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</si>
  <si>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</si>
  <si>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</si>
  <si>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</si>
  <si>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</si>
  <si>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</si>
  <si>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</si>
  <si>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</si>
  <si>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</si>
  <si>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</si>
  <si>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</si>
  <si>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</si>
  <si>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</si>
  <si>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</si>
  <si>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</si>
  <si>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</si>
  <si>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</si>
  <si>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</si>
  <si>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</si>
  <si>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</si>
  <si>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</si>
  <si>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</si>
  <si>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</si>
  <si>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</si>
  <si>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</si>
  <si>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</si>
  <si>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</si>
  <si>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</si>
  <si>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</si>
  <si>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</si>
  <si>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</si>
  <si>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</si>
  <si>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</si>
  <si>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</si>
  <si>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</si>
  <si>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</si>
  <si>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</si>
  <si>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</si>
  <si>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</si>
  <si>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</si>
  <si>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</si>
  <si>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</si>
  <si>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</si>
  <si>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</si>
  <si>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</si>
  <si>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</si>
  <si>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</si>
  <si>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</si>
  <si>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</si>
  <si>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</si>
  <si>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</si>
  <si>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</si>
  <si>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</si>
  <si>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</si>
  <si>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</si>
  <si>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</si>
  <si>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</si>
  <si>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</si>
  <si>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</si>
  <si>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</si>
  <si>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</si>
  <si>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</si>
  <si>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</si>
  <si>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</si>
  <si>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</si>
  <si>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</si>
  <si>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</si>
  <si>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</si>
  <si>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</si>
  <si>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</si>
  <si>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</si>
  <si>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</si>
  <si>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</si>
  <si>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</si>
  <si>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</si>
  <si>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</si>
  <si>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</si>
  <si>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</si>
  <si>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</si>
  <si>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</si>
  <si>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</si>
  <si>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</si>
  <si>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</si>
  <si>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</si>
  <si>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</si>
  <si>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</si>
  <si>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</si>
  <si>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</si>
  <si>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</si>
  <si>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</si>
  <si>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</si>
  <si>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</si>
  <si>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</si>
  <si>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</si>
  <si>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</si>
  <si>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</si>
  <si>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</si>
  <si>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</si>
  <si>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</si>
  <si>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</si>
  <si>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</si>
  <si>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</si>
  <si>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</si>
  <si>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</si>
  <si>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</si>
  <si>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</si>
  <si>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</si>
  <si>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</si>
  <si>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</si>
  <si>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</si>
  <si>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</si>
  <si>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</si>
  <si>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</si>
  <si>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</si>
  <si>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</si>
  <si>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</si>
  <si>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</si>
  <si>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</si>
  <si>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</si>
  <si>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</si>
  <si>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</si>
  <si>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</si>
  <si>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</si>
  <si>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</si>
  <si>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</si>
  <si>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</si>
  <si>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</si>
  <si>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</si>
  <si>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</si>
  <si>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</si>
  <si>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</si>
  <si>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</si>
  <si>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</si>
  <si>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</si>
  <si>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</si>
  <si>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</si>
  <si>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</si>
  <si>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</si>
  <si>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</si>
  <si>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1. General fund cell c51formula changed to calulate the Unecumber Cash Balance correctly.</t>
  </si>
  <si>
    <t>1. Instruction under Submitting of Budget ….required electronic submission.</t>
  </si>
  <si>
    <t>2. Input other tab line 45 change from Budget Summary to Budget Certificate.</t>
  </si>
  <si>
    <t>Debt Service</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</si>
  <si>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</si>
  <si>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</si>
  <si>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</si>
  <si>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</si>
  <si>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</si>
  <si>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</si>
  <si>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</si>
  <si>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</si>
  <si>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</si>
  <si>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</si>
  <si>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</si>
  <si>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</si>
  <si>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</si>
  <si>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</si>
  <si>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</si>
  <si>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</si>
  <si>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</si>
  <si>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</si>
  <si>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</si>
  <si>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</si>
  <si>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</si>
  <si>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</si>
  <si>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</si>
  <si>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</si>
  <si>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</si>
  <si>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</si>
  <si>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</si>
  <si>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</si>
  <si>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</si>
  <si>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</si>
  <si>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</si>
  <si>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</si>
  <si>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</si>
  <si>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</si>
  <si>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</si>
  <si>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</si>
  <si>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</si>
  <si>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</si>
  <si>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</si>
  <si>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</si>
  <si>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</si>
  <si>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</si>
  <si>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</si>
  <si>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</si>
  <si>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</si>
  <si>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</si>
  <si>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</si>
  <si>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</si>
  <si>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</si>
  <si>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</si>
  <si>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</si>
  <si>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</si>
  <si>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</si>
  <si>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</si>
  <si>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</si>
  <si>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</si>
  <si>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</si>
  <si>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</si>
  <si>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</si>
  <si>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</si>
  <si>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</si>
  <si>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</si>
  <si>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</si>
  <si>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</si>
  <si>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</si>
  <si>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</si>
  <si>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</si>
  <si>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</si>
  <si>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</si>
  <si>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</si>
  <si>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</si>
  <si>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</si>
  <si>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</si>
  <si>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</si>
  <si>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</si>
  <si>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</si>
  <si>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</si>
  <si>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</si>
  <si>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</si>
  <si>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</si>
  <si>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</si>
  <si>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</si>
  <si>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</si>
  <si>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</si>
  <si>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</si>
  <si>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</si>
  <si>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</si>
  <si>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</si>
  <si>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</si>
  <si>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</si>
  <si>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</si>
  <si>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</si>
  <si>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</si>
  <si>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</si>
  <si>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</si>
  <si>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</si>
  <si>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</si>
  <si>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</si>
  <si>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</si>
  <si>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</si>
  <si>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</si>
  <si>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</si>
  <si>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</si>
  <si>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</si>
  <si>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</si>
  <si>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</si>
  <si>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</si>
  <si>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</si>
  <si>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</si>
  <si>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</si>
  <si>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</si>
  <si>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</si>
  <si>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</si>
  <si>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</si>
  <si>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</si>
  <si>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</si>
  <si>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</si>
  <si>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</si>
  <si>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</si>
  <si>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</si>
  <si>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</si>
  <si>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</si>
  <si>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</si>
  <si>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</si>
  <si>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</si>
  <si>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</si>
  <si>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</si>
  <si>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</si>
  <si>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</si>
  <si>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</si>
  <si>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</si>
  <si>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</si>
  <si>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</si>
  <si>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</si>
  <si>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</si>
  <si>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</si>
  <si>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</si>
  <si>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</si>
  <si>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</si>
  <si>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</si>
  <si>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</si>
  <si>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</si>
  <si>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</si>
  <si>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</si>
  <si>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</si>
  <si>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</si>
  <si>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</si>
  <si>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</si>
  <si>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</si>
  <si>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</si>
  <si>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</si>
  <si>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</si>
  <si>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</si>
  <si>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</si>
  <si>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</si>
  <si>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</si>
  <si>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</si>
  <si>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</si>
  <si>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</si>
  <si>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</si>
  <si>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</si>
  <si>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</si>
  <si>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</si>
  <si>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</si>
  <si>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</si>
  <si>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</si>
  <si>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</si>
  <si>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</si>
  <si>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</si>
  <si>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</si>
  <si>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</si>
  <si>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</si>
  <si>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</si>
  <si>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</si>
  <si>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</si>
  <si>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</si>
  <si>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</si>
  <si>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</si>
  <si>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</si>
  <si>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</si>
  <si>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</si>
  <si>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</si>
  <si>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</si>
  <si>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</si>
  <si>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</si>
  <si>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</si>
  <si>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</si>
  <si>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</si>
  <si>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</si>
  <si>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</si>
  <si>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</si>
  <si>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</si>
  <si>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</si>
  <si>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</si>
  <si>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</si>
  <si>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</si>
  <si>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</si>
  <si>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</si>
  <si>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</si>
  <si>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</si>
  <si>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</si>
  <si>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</si>
  <si>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</si>
  <si>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</si>
  <si>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</si>
  <si>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</si>
  <si>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</si>
  <si>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</si>
  <si>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</si>
  <si>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</si>
  <si>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</si>
  <si>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</si>
  <si>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</si>
  <si>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</si>
  <si>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</si>
  <si>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</si>
  <si>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</si>
  <si>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</si>
  <si>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</si>
  <si>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</si>
  <si>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</si>
  <si>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</si>
  <si>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</si>
  <si>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</si>
  <si>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</si>
  <si>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</si>
  <si>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</si>
  <si>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</si>
  <si>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</si>
  <si>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</si>
  <si>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</si>
  <si>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</si>
  <si>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</si>
  <si>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</si>
  <si>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</si>
  <si>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</si>
  <si>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</si>
  <si>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</si>
  <si>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</si>
  <si>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</si>
  <si>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</si>
  <si>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</si>
  <si>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</si>
  <si>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</si>
  <si>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</si>
  <si>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</si>
  <si>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</si>
  <si>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</si>
  <si>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</si>
  <si>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</si>
  <si>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</si>
  <si>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</si>
  <si>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</si>
  <si>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</si>
  <si>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</si>
  <si>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</si>
  <si>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</si>
  <si>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</si>
  <si>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</si>
  <si>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</si>
  <si>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</si>
  <si>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</si>
  <si>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</si>
  <si>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</si>
  <si>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</si>
  <si>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</si>
  <si>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</si>
  <si>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</si>
  <si>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</si>
  <si>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</si>
  <si>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</si>
  <si>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</si>
  <si>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</si>
  <si>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</si>
  <si>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</si>
  <si>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Does misc. exceed 10% of Total Expenditures</t>
  </si>
  <si>
    <t>Non-Appropriated Balance</t>
  </si>
  <si>
    <t>Total Expenditure/Non-Appr Balance</t>
  </si>
  <si>
    <t>Delinquent Comp Rate:</t>
  </si>
  <si>
    <t>Does transfer exceed 25% of Resources Available</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</si>
  <si>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</si>
  <si>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</si>
  <si>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</si>
  <si>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</si>
  <si>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</si>
  <si>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</si>
  <si>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</si>
  <si>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</si>
  <si>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</si>
  <si>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</si>
  <si>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</si>
  <si>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</si>
  <si>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</si>
  <si>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</si>
  <si>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</si>
  <si>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</si>
  <si>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</si>
  <si>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</si>
  <si>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</si>
  <si>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</si>
  <si>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</si>
  <si>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</si>
  <si>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</si>
  <si>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</si>
  <si>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</si>
  <si>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</si>
  <si>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</si>
  <si>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</si>
  <si>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</si>
  <si>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</si>
  <si>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</si>
  <si>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</si>
  <si>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</si>
  <si>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</si>
  <si>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</si>
  <si>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</si>
  <si>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</si>
  <si>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</si>
  <si>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</si>
  <si>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</si>
  <si>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</si>
  <si>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</si>
  <si>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</si>
  <si>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</si>
  <si>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</si>
  <si>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</si>
  <si>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</si>
  <si>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</si>
  <si>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</si>
  <si>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</si>
  <si>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</si>
  <si>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</si>
  <si>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</si>
  <si>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</si>
  <si>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</si>
  <si>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</si>
  <si>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</si>
  <si>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</si>
  <si>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</si>
  <si>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</si>
  <si>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</si>
  <si>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</si>
  <si>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</si>
  <si>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</si>
  <si>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</si>
  <si>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</si>
  <si>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</si>
  <si>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</si>
  <si>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</si>
  <si>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</si>
  <si>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</si>
  <si>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</si>
  <si>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</si>
  <si>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</si>
  <si>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</si>
  <si>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</si>
  <si>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</si>
  <si>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</si>
  <si>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</si>
  <si>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</si>
  <si>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</si>
  <si>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</si>
  <si>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</si>
  <si>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</si>
  <si>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</si>
  <si>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</si>
  <si>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</si>
  <si>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</si>
  <si>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</si>
  <si>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</si>
  <si>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</si>
  <si>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</si>
  <si>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</si>
  <si>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</si>
  <si>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Lease Purchase Principal</t>
  </si>
  <si>
    <t>Transfer can not exceed 25% Resources Available</t>
  </si>
  <si>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</si>
  <si>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</si>
  <si>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</si>
  <si>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</si>
  <si>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</si>
  <si>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</si>
  <si>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</si>
  <si>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</si>
  <si>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</si>
  <si>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</si>
  <si>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</si>
  <si>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</si>
  <si>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</si>
  <si>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</si>
  <si>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</si>
  <si>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</si>
  <si>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</si>
  <si>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</si>
  <si>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</si>
  <si>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</si>
  <si>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</si>
  <si>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</si>
  <si>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</si>
  <si>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</si>
  <si>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</si>
  <si>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</si>
  <si>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</si>
  <si>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</si>
  <si>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</si>
  <si>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</si>
  <si>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</si>
  <si>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</si>
  <si>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</si>
  <si>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</si>
  <si>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</si>
  <si>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</si>
  <si>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</si>
  <si>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</si>
  <si>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</si>
  <si>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</si>
  <si>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</si>
  <si>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</si>
  <si>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</si>
  <si>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</si>
  <si>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</si>
  <si>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</si>
  <si>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</si>
  <si>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</si>
  <si>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</si>
  <si>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</si>
  <si>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</si>
  <si>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</si>
  <si>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</si>
  <si>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</si>
  <si>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</si>
  <si>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</si>
  <si>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</si>
  <si>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</si>
  <si>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</si>
  <si>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</si>
  <si>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</si>
  <si>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</si>
  <si>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</si>
  <si>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</si>
  <si>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</si>
  <si>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</si>
  <si>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</si>
  <si>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</si>
  <si>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</si>
  <si>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</si>
  <si>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</si>
  <si>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</si>
  <si>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</si>
  <si>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</si>
  <si>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</si>
  <si>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</si>
  <si>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</si>
  <si>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</si>
  <si>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</si>
  <si>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</si>
  <si>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</si>
  <si>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</si>
  <si>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</si>
  <si>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</si>
  <si>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</si>
  <si>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</si>
  <si>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</si>
  <si>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</si>
  <si>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</si>
  <si>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</si>
  <si>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</si>
  <si>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</si>
  <si>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</si>
  <si>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</si>
  <si>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</si>
  <si>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</si>
  <si>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</si>
  <si>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</si>
  <si>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</si>
  <si>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</si>
  <si>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</si>
  <si>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</si>
  <si>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</si>
  <si>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</si>
  <si>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</si>
  <si>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</si>
  <si>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</si>
  <si>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</si>
  <si>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</si>
  <si>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</si>
  <si>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</si>
  <si>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</si>
  <si>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</si>
  <si>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</si>
  <si>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</si>
  <si>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</si>
  <si>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</si>
  <si>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</si>
  <si>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</si>
  <si>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</si>
  <si>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</si>
  <si>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</si>
  <si>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</si>
  <si>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</si>
  <si>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</si>
  <si>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</si>
  <si>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</si>
  <si>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</si>
  <si>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</si>
  <si>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</si>
  <si>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</si>
  <si>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</si>
  <si>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</si>
  <si>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</si>
  <si>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</si>
  <si>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</si>
  <si>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</si>
  <si>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</si>
  <si>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</si>
  <si>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</si>
  <si>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</si>
  <si>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</si>
  <si>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</si>
  <si>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</si>
  <si>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Consumer Price Index adjustment (3 times 15)</t>
  </si>
  <si>
    <t>17.</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</si>
  <si>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</si>
  <si>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</si>
  <si>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</si>
  <si>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</si>
  <si>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</si>
  <si>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</si>
  <si>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</si>
  <si>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</si>
  <si>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</si>
  <si>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</si>
  <si>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</si>
  <si>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</si>
  <si>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</si>
  <si>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</si>
  <si>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</si>
  <si>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</si>
  <si>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1.  Added the ROUND function to cell J38 in the computation tab so result will be a whole number.</t>
  </si>
  <si>
    <t>Input Sheet for Township Budget Workbook</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</si>
  <si>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</si>
  <si>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</si>
  <si>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</si>
  <si>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</si>
  <si>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 xml:space="preserve">megan.schulz@library.ks.gov </t>
  </si>
  <si>
    <t>How to Compute the Value of One Mill, and the Impact of Tax Dollars and Assessed Valuation on Mill Rates</t>
  </si>
  <si>
    <t>1.  Update of State Library contact name on library grant tab.</t>
  </si>
  <si>
    <t>Enter township name followed by "Township":</t>
  </si>
  <si>
    <t>Enter county name followed by "County":</t>
  </si>
  <si>
    <t>Township Budget Workbook Instructions</t>
  </si>
  <si>
    <t>Commercial Vehicle Tax Estimate</t>
  </si>
  <si>
    <t>Watercraft Tax Estimate</t>
  </si>
  <si>
    <t xml:space="preserve">Allocation of MV, RV, 16/20M, Commercial Vehicle, and Watercraft Tax Estimates </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</si>
  <si>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</si>
  <si>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</si>
  <si>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</si>
  <si>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</si>
  <si>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</si>
  <si>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</si>
  <si>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</si>
  <si>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</si>
  <si>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</si>
  <si>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</si>
  <si>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Comm Veh</t>
  </si>
  <si>
    <t>Watercraft</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</si>
  <si>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</si>
  <si>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</si>
  <si>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</si>
  <si>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</si>
  <si>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</si>
  <si>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</si>
  <si>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</si>
  <si>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</si>
  <si>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</si>
  <si>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</si>
  <si>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</si>
  <si>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</si>
  <si>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</si>
  <si>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</si>
  <si>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The following changes were made to this workbook on 10/2/2015</t>
  </si>
  <si>
    <t>The following changes were made to this workbook on 1/22/2016</t>
  </si>
  <si>
    <t>1.  On tax levy funds NR estimate shown as a negative receipt.</t>
  </si>
  <si>
    <t>The following changes were made to this workbook on 2/3/2016</t>
  </si>
  <si>
    <t>1.  Inserted 2015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</si>
  <si>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</si>
  <si>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</si>
  <si>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</si>
  <si>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</si>
  <si>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</si>
  <si>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1/23/2015</t>
  </si>
  <si>
    <t>The following changes were made to this workbook on 10/30/2014</t>
  </si>
  <si>
    <t>The following changes were made to this workbook on 8/28/2014</t>
  </si>
  <si>
    <t>The following changes were made to this workbook on 7/15/2014</t>
  </si>
  <si>
    <t>The following changes were made to this workbook on 5/23/2014</t>
  </si>
  <si>
    <t>The following changes were made to this workbook on 4/22/2014</t>
  </si>
  <si>
    <t>The following changes were made to this workbook on 3/27/2013</t>
  </si>
  <si>
    <t>1.  Instruction tab narrative modification.</t>
  </si>
  <si>
    <t>The following changes were made to this workbook on 1/31/2013</t>
  </si>
  <si>
    <t>1.  Corrected formula in cell e28 of Library Grant tab.</t>
  </si>
  <si>
    <t>The following changes were made to this workbook on 10/8/2012</t>
  </si>
  <si>
    <t>1.  Added "ordinance required?  yes/no" message to area adjacent to each tax levy fund.</t>
  </si>
  <si>
    <t>The following changes were made to this workbook on 5/29/2012</t>
  </si>
  <si>
    <t>1. Corrected formulas for linking AV tax estimates to the Debt Service and Library funds.</t>
  </si>
  <si>
    <t>The following changes were made to this workbook on 2/22/2012</t>
  </si>
  <si>
    <t>1. Library Grant tab, updated State Library e-mail contact address.</t>
  </si>
  <si>
    <t>The following changes were made to this workbook on 2/2/2012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</si>
  <si>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</si>
  <si>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</si>
  <si>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</si>
  <si>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</si>
  <si>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</si>
  <si>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</si>
  <si>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</si>
  <si>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</si>
  <si>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</si>
  <si>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</si>
  <si>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</si>
  <si>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</si>
  <si>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</si>
  <si>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</si>
  <si>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</si>
  <si>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</si>
  <si>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</si>
  <si>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</si>
  <si>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</si>
  <si>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</si>
  <si>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</si>
  <si>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</si>
  <si>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</si>
  <si>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</si>
  <si>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</si>
  <si>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</si>
  <si>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</si>
  <si>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</si>
  <si>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</si>
  <si>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5/13/2011</t>
  </si>
  <si>
    <t>1. Road tab cell c54 change ref from h1 to e1 so the Special Machinery date will reflect correctly.</t>
  </si>
  <si>
    <t>The following changes were made to this workbook on 5/4/2011</t>
  </si>
  <si>
    <t>1. Gen tab cell B46 corrected the spelling of Resources.</t>
  </si>
  <si>
    <t>The following changes were made to this workbook on 4/19/2011</t>
  </si>
  <si>
    <t>1. Summ tab changed proposed year expenditure column to 'Budget Authority for Expenditures.'</t>
  </si>
  <si>
    <t>The following changes were made to this workbook on 3/21/2011</t>
  </si>
  <si>
    <t>1. General tab corrected cell G52 from E22 to E26.</t>
  </si>
  <si>
    <t>2. Debt Service tab corrected cell G55 from E42 to E29.</t>
  </si>
  <si>
    <t>The following changes were made to this workbook on 10/13/2010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</si>
  <si>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</si>
  <si>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</si>
  <si>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</si>
  <si>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</si>
  <si>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</si>
  <si>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</si>
  <si>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</si>
  <si>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</si>
  <si>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</si>
  <si>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</si>
  <si>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</si>
  <si>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</si>
  <si>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</si>
  <si>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</si>
  <si>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</si>
  <si>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</si>
  <si>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</si>
  <si>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</si>
  <si>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</si>
  <si>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</si>
  <si>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</si>
  <si>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</si>
  <si>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Remove w-2 info from certificate page.</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</si>
  <si>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</si>
  <si>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</si>
  <si>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</si>
  <si>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</si>
  <si>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</si>
  <si>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</si>
  <si>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</si>
  <si>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</si>
  <si>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</si>
  <si>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</si>
  <si>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</si>
  <si>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</si>
  <si>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</si>
  <si>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8/25/2009</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</si>
  <si>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</si>
  <si>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</si>
  <si>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</si>
  <si>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</si>
  <si>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</si>
  <si>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7. Instruction tab added 9m to explain about Non-Budgeted Form.</t>
  </si>
  <si>
    <t>8. Cert tab added Non-Budgeted Funds line A35.</t>
  </si>
  <si>
    <t>9. Added nonbud tab for the Non-Budgeted Funds.</t>
  </si>
  <si>
    <t>10. Summ tab added A34 for Non-Budgeted Funds.</t>
  </si>
  <si>
    <t>11. Added Tabs A to E for violations.</t>
  </si>
  <si>
    <t>12. Changed each fund page taking out the 'Yes' and 'No' and replacing them with See Tab when a possible violation occurs.</t>
  </si>
  <si>
    <t>13. NonBud tab changed Net Vaulation to July 1.</t>
  </si>
  <si>
    <t>14. Certificate tab moved the Assisted By: and added more lines for governing body signatures.</t>
  </si>
  <si>
    <t>15. Created NonBudFunds tab.</t>
  </si>
  <si>
    <t>The following changes were made to this workbook on 5/14/2009</t>
  </si>
  <si>
    <t>1. Mvalloc tab, changed cell d10  to -2 vs -1 to reflect correct year to tax.</t>
  </si>
  <si>
    <t>2. Mvalloc tab, changed cells d12-21 to add = in formula to prevent VALUE error - affects very few townships.</t>
  </si>
  <si>
    <t>The following changes were made to this workbook on 5/13/2009</t>
  </si>
  <si>
    <t>1. Transfer tab, changed cells c12, d12, and e12 to reflect link on the gen tab transfer from 43 to 45.</t>
  </si>
  <si>
    <t>The following changes were made to this workbook on 5/5/2009</t>
  </si>
  <si>
    <t>1. Summ tab, the special machinery's expenditure block B34 link was changed from C63 to B63.</t>
  </si>
  <si>
    <t>The following were changed to this spreadsheet on 4/3/2009</t>
  </si>
  <si>
    <t>1. Corrected mvalloc column d for ad valorem tax as was picking up expenditures instead.</t>
  </si>
  <si>
    <t>2. Corrected gen unencumbered cash balances for both actual and current columns.</t>
  </si>
  <si>
    <t>The following were changed to this spreadsheet on 3/19/2009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</si>
  <si>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</si>
  <si>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</si>
  <si>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</si>
  <si>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2/23/2009</t>
  </si>
  <si>
    <t>The following were changed to this spreadsheet on 2/02/2009</t>
  </si>
  <si>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</si>
  <si>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CPI - Consumer Price Index Percentage (%):</t>
  </si>
  <si>
    <t>The following changes were made to this workbook on 3/7/2017</t>
  </si>
  <si>
    <t>1.  inputPrYr tab, inserted CPI percentage, linked the percentage to the Computation tab.</t>
  </si>
  <si>
    <t xml:space="preserve">Please read these instructions carefully.  If after reviewing them you still have questions, call Rico Aguayo at 785.296.6033 or email to armunis@ks.gov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</si>
</sst>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5">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0"/>
      <name val="Courier New"/>
      <family val="3"/>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rgb="FFFFFFC0"/>
        <bgColor indexed="64"/>
      </patternFill>
    </fill>
    <fill>
      <patternFill patternType="solid">
        <fgColor theme="0"/>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4"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4" borderId="0" applyNumberFormat="0" applyBorder="0" applyAlignment="0" applyProtection="0"/>
    <xf numFmtId="0" fontId="74" fillId="7"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0" borderId="0" applyNumberFormat="0" applyBorder="0" applyAlignment="0" applyProtection="0"/>
    <xf numFmtId="0" fontId="74" fillId="7" borderId="0" applyNumberFormat="0" applyBorder="0" applyAlignment="0" applyProtection="0"/>
    <xf numFmtId="0" fontId="74" fillId="3" borderId="0" applyNumberFormat="0" applyBorder="0" applyAlignment="0" applyProtection="0"/>
    <xf numFmtId="0" fontId="74" fillId="13"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5" fillId="17" borderId="0" applyNumberFormat="0" applyBorder="0" applyAlignment="0" applyProtection="0"/>
    <xf numFmtId="0" fontId="58" fillId="18" borderId="1" applyNumberFormat="0" applyAlignment="0" applyProtection="0"/>
    <xf numFmtId="0" fontId="76"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78" fillId="7"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9" borderId="1" applyNumberFormat="0" applyAlignment="0" applyProtection="0"/>
    <xf numFmtId="0" fontId="66" fillId="0" borderId="6" applyNumberFormat="0" applyFill="0" applyAlignment="0" applyProtection="0"/>
    <xf numFmtId="0" fontId="67"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80" fillId="18"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981">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5"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5" fillId="23" borderId="16" xfId="0" applyNumberFormat="1" applyFont="1" applyFill="1" applyBorder="1" applyAlignment="1" applyProtection="1">
      <alignment horizontal="center" vertical="center"/>
      <protection locked="0"/>
    </xf>
    <xf numFmtId="3" fontId="15"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6"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6"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horizontal="fill" vertical="center"/>
      <protection/>
    </xf>
    <xf numFmtId="3" fontId="15"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5"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6"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2" fillId="4" borderId="11" xfId="0" applyFont="1" applyFill="1" applyBorder="1" applyAlignment="1">
      <alignment vertical="center"/>
    </xf>
    <xf numFmtId="0" fontId="22" fillId="4" borderId="15" xfId="0" applyFont="1" applyFill="1" applyBorder="1" applyAlignment="1">
      <alignment horizontal="center" vertical="center"/>
    </xf>
    <xf numFmtId="0" fontId="22" fillId="4" borderId="18" xfId="0" applyFont="1" applyFill="1" applyBorder="1" applyAlignment="1">
      <alignment vertical="center"/>
    </xf>
    <xf numFmtId="0" fontId="22"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2" fillId="4" borderId="17" xfId="0" applyFont="1" applyFill="1" applyBorder="1" applyAlignment="1">
      <alignment vertical="center"/>
    </xf>
    <xf numFmtId="3" fontId="22" fillId="22" borderId="16" xfId="0" applyNumberFormat="1" applyFont="1" applyFill="1" applyBorder="1" applyAlignment="1" applyProtection="1">
      <alignment horizontal="center" vertical="center"/>
      <protection locked="0"/>
    </xf>
    <xf numFmtId="0" fontId="22" fillId="4" borderId="10" xfId="0" applyFont="1" applyFill="1" applyBorder="1" applyAlignment="1">
      <alignment vertical="center"/>
    </xf>
    <xf numFmtId="3" fontId="22" fillId="9" borderId="16"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6" xfId="0" applyFont="1" applyFill="1" applyBorder="1" applyAlignment="1" applyProtection="1">
      <alignment vertical="center"/>
      <protection locked="0"/>
    </xf>
    <xf numFmtId="0" fontId="22" fillId="22" borderId="18" xfId="0" applyFont="1" applyFill="1" applyBorder="1" applyAlignment="1" applyProtection="1">
      <alignment vertical="center"/>
      <protection locked="0"/>
    </xf>
    <xf numFmtId="3" fontId="22" fillId="22" borderId="18"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2" xfId="0" applyNumberFormat="1" applyFont="1" applyFill="1" applyBorder="1" applyAlignment="1" applyProtection="1">
      <alignment horizontal="center" vertical="center"/>
      <protection locked="0"/>
    </xf>
    <xf numFmtId="3" fontId="22" fillId="22" borderId="15" xfId="0" applyNumberFormat="1" applyFont="1" applyFill="1" applyBorder="1" applyAlignment="1" applyProtection="1">
      <alignment horizontal="center" vertical="center"/>
      <protection locked="0"/>
    </xf>
    <xf numFmtId="0" fontId="22" fillId="22" borderId="15" xfId="0" applyFont="1" applyFill="1" applyBorder="1" applyAlignment="1" applyProtection="1">
      <alignment vertical="center"/>
      <protection locked="0"/>
    </xf>
    <xf numFmtId="0" fontId="22" fillId="22" borderId="13"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3" xfId="0" applyNumberFormat="1" applyFont="1" applyFill="1" applyBorder="1" applyAlignment="1">
      <alignment horizontal="center" vertical="center"/>
    </xf>
    <xf numFmtId="3" fontId="22"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6"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37" fontId="6" fillId="4" borderId="0" xfId="574" applyNumberFormat="1" applyFont="1" applyFill="1" applyAlignment="1" applyProtection="1">
      <alignment vertical="center"/>
      <protection/>
    </xf>
    <xf numFmtId="0" fontId="6" fillId="4" borderId="0" xfId="574" applyFont="1" applyFill="1" applyAlignment="1" applyProtection="1">
      <alignment vertical="center"/>
      <protection/>
    </xf>
    <xf numFmtId="0" fontId="6" fillId="0" borderId="0" xfId="574" applyFont="1" applyAlignment="1" applyProtection="1">
      <alignment vertical="center"/>
      <protection locked="0"/>
    </xf>
    <xf numFmtId="0" fontId="5" fillId="4" borderId="0" xfId="575" applyFont="1" applyFill="1" applyAlignment="1" applyProtection="1">
      <alignment horizontal="centerContinuous" vertical="center"/>
      <protection/>
    </xf>
    <xf numFmtId="0" fontId="6" fillId="4" borderId="0" xfId="57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74" applyFont="1" applyFill="1" applyBorder="1" applyAlignment="1" applyProtection="1">
      <alignment horizontal="left" vertical="center"/>
      <protection/>
    </xf>
    <xf numFmtId="0" fontId="5" fillId="4" borderId="24" xfId="574" applyFont="1" applyFill="1" applyBorder="1" applyAlignment="1" applyProtection="1">
      <alignment vertical="center"/>
      <protection/>
    </xf>
    <xf numFmtId="37" fontId="5" fillId="9" borderId="16" xfId="574" applyNumberFormat="1" applyFont="1" applyFill="1" applyBorder="1" applyAlignment="1" applyProtection="1">
      <alignment vertical="center"/>
      <protection/>
    </xf>
    <xf numFmtId="0" fontId="6" fillId="4" borderId="0" xfId="575" applyFont="1" applyFill="1" applyAlignment="1" applyProtection="1">
      <alignment horizontal="centerContinuous" vertical="center"/>
      <protection/>
    </xf>
    <xf numFmtId="0" fontId="6" fillId="4" borderId="0" xfId="575" applyFont="1" applyFill="1" applyAlignment="1" applyProtection="1">
      <alignment vertical="center"/>
      <protection/>
    </xf>
    <xf numFmtId="0" fontId="6" fillId="0" borderId="0" xfId="57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5" applyFont="1" applyFill="1" applyBorder="1" applyAlignment="1" applyProtection="1">
      <alignment vertical="center"/>
      <protection/>
    </xf>
    <xf numFmtId="0" fontId="6" fillId="4" borderId="0" xfId="575"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7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4" fillId="0" borderId="0" xfId="0" applyFont="1" applyAlignment="1">
      <alignment vertical="center" wrapText="1"/>
    </xf>
    <xf numFmtId="0" fontId="28" fillId="0" borderId="0" xfId="0" applyFont="1" applyAlignment="1">
      <alignment vertical="center"/>
    </xf>
    <xf numFmtId="0" fontId="27"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4" borderId="0" xfId="0" applyFont="1" applyFill="1" applyBorder="1" applyAlignment="1" applyProtection="1">
      <alignment horizontal="center" vertical="center" shrinkToFit="1"/>
      <protection/>
    </xf>
    <xf numFmtId="0" fontId="15"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6" fillId="4" borderId="16" xfId="0" applyNumberFormat="1" applyFont="1" applyFill="1" applyBorder="1" applyAlignment="1">
      <alignment vertical="center"/>
    </xf>
    <xf numFmtId="37" fontId="17"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8"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63" applyFont="1" applyAlignment="1">
      <alignment vertical="center"/>
      <protection/>
    </xf>
    <xf numFmtId="0" fontId="6" fillId="0" borderId="0" xfId="523" applyFont="1" applyAlignment="1">
      <alignment vertical="center"/>
      <protection/>
    </xf>
    <xf numFmtId="0" fontId="19" fillId="0" borderId="0" xfId="0" applyFont="1" applyAlignment="1">
      <alignment/>
    </xf>
    <xf numFmtId="0" fontId="19" fillId="0" borderId="0" xfId="0" applyFont="1" applyAlignment="1">
      <alignment/>
    </xf>
    <xf numFmtId="0" fontId="4" fillId="0" borderId="0" xfId="0" applyFont="1" applyAlignment="1">
      <alignment/>
    </xf>
    <xf numFmtId="0" fontId="31" fillId="0" borderId="0" xfId="0" applyFont="1" applyAlignment="1">
      <alignment horizontal="center"/>
    </xf>
    <xf numFmtId="0" fontId="0" fillId="0" borderId="0" xfId="539">
      <alignment/>
      <protection/>
    </xf>
    <xf numFmtId="0" fontId="6" fillId="0" borderId="0" xfId="539" applyFont="1" applyAlignment="1">
      <alignment horizontal="left" vertical="center"/>
      <protection/>
    </xf>
    <xf numFmtId="0" fontId="0" fillId="0" borderId="0" xfId="539" applyNumberFormat="1" applyFont="1" applyAlignment="1">
      <alignment horizontal="left" vertical="center"/>
      <protection/>
    </xf>
    <xf numFmtId="182" fontId="22" fillId="0" borderId="0" xfId="539" applyNumberFormat="1" applyFont="1" applyAlignment="1">
      <alignment horizontal="left" vertical="center"/>
      <protection/>
    </xf>
    <xf numFmtId="49" fontId="6" fillId="0" borderId="0" xfId="539" applyNumberFormat="1" applyFont="1" applyAlignment="1">
      <alignment horizontal="left" vertical="center"/>
      <protection/>
    </xf>
    <xf numFmtId="0" fontId="22" fillId="0" borderId="0" xfId="539" applyFont="1" applyAlignment="1">
      <alignment horizontal="left" vertical="center"/>
      <protection/>
    </xf>
    <xf numFmtId="183" fontId="22" fillId="0" borderId="0" xfId="539" applyNumberFormat="1" applyFont="1" applyAlignment="1">
      <alignment horizontal="left" vertical="center"/>
      <protection/>
    </xf>
    <xf numFmtId="0" fontId="4" fillId="0" borderId="0" xfId="236" applyFont="1">
      <alignment/>
      <protection/>
    </xf>
    <xf numFmtId="0" fontId="4" fillId="0" borderId="0" xfId="236"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19" fillId="0" borderId="0" xfId="0" applyFont="1" applyAlignment="1">
      <alignment horizontal="center"/>
    </xf>
    <xf numFmtId="0" fontId="6" fillId="0" borderId="0" xfId="559"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5" fillId="23" borderId="14" xfId="0" applyNumberFormat="1" applyFont="1" applyFill="1" applyBorder="1" applyAlignment="1" applyProtection="1">
      <alignment horizontal="center" vertical="center"/>
      <protection locked="0"/>
    </xf>
    <xf numFmtId="3" fontId="15"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5"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4" fillId="0" borderId="0" xfId="0" applyFont="1" applyAlignment="1">
      <alignment wrapText="1"/>
    </xf>
    <xf numFmtId="0" fontId="1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34" fillId="25" borderId="0" xfId="0" applyFont="1" applyFill="1" applyAlignment="1">
      <alignment/>
    </xf>
    <xf numFmtId="0" fontId="34" fillId="0" borderId="0" xfId="0" applyFont="1" applyAlignment="1">
      <alignment/>
    </xf>
    <xf numFmtId="0" fontId="34" fillId="4" borderId="0" xfId="0" applyFont="1" applyFill="1" applyAlignment="1">
      <alignment/>
    </xf>
    <xf numFmtId="0" fontId="35" fillId="25"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9" xfId="0" applyFont="1" applyFill="1" applyBorder="1" applyAlignment="1">
      <alignment/>
    </xf>
    <xf numFmtId="0" fontId="34" fillId="4" borderId="30" xfId="0" applyFont="1" applyFill="1" applyBorder="1" applyAlignment="1">
      <alignment/>
    </xf>
    <xf numFmtId="0" fontId="34" fillId="4" borderId="31" xfId="0" applyFont="1" applyFill="1" applyBorder="1" applyAlignment="1">
      <alignment/>
    </xf>
    <xf numFmtId="187" fontId="34" fillId="4" borderId="32" xfId="0" applyNumberFormat="1" applyFont="1" applyFill="1" applyBorder="1" applyAlignment="1">
      <alignment/>
    </xf>
    <xf numFmtId="0" fontId="34" fillId="4" borderId="0"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0" fontId="34" fillId="4" borderId="36" xfId="0" applyFont="1" applyFill="1" applyBorder="1" applyAlignment="1">
      <alignment/>
    </xf>
    <xf numFmtId="0" fontId="34" fillId="4" borderId="29" xfId="0" applyFont="1" applyFill="1" applyBorder="1" applyAlignment="1">
      <alignment/>
    </xf>
    <xf numFmtId="0" fontId="34" fillId="4" borderId="37" xfId="0" applyFont="1" applyFill="1" applyBorder="1" applyAlignment="1">
      <alignment/>
    </xf>
    <xf numFmtId="181" fontId="34" fillId="4" borderId="0" xfId="0" applyNumberFormat="1" applyFont="1" applyFill="1" applyBorder="1" applyAlignment="1">
      <alignment horizontal="center"/>
    </xf>
    <xf numFmtId="187" fontId="34" fillId="0" borderId="0" xfId="0" applyNumberFormat="1" applyFont="1" applyAlignment="1">
      <alignment/>
    </xf>
    <xf numFmtId="0" fontId="4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25" borderId="0" xfId="0" applyFont="1" applyFill="1" applyBorder="1" applyAlignment="1">
      <alignment/>
    </xf>
    <xf numFmtId="0" fontId="34" fillId="4" borderId="38" xfId="0" applyFont="1" applyFill="1" applyBorder="1" applyAlignment="1">
      <alignment/>
    </xf>
    <xf numFmtId="0" fontId="34" fillId="4" borderId="24" xfId="0" applyFont="1" applyFill="1" applyBorder="1" applyAlignment="1">
      <alignment/>
    </xf>
    <xf numFmtId="0" fontId="34" fillId="4" borderId="39" xfId="0" applyFont="1" applyFill="1" applyBorder="1" applyAlignment="1">
      <alignment/>
    </xf>
    <xf numFmtId="5" fontId="34" fillId="4" borderId="35" xfId="0" applyNumberFormat="1" applyFont="1" applyFill="1" applyBorder="1" applyAlignment="1">
      <alignment horizontal="center"/>
    </xf>
    <xf numFmtId="0" fontId="34" fillId="4" borderId="35" xfId="0" applyFont="1" applyFill="1" applyBorder="1" applyAlignment="1">
      <alignment horizontal="center"/>
    </xf>
    <xf numFmtId="181" fontId="34" fillId="4" borderId="35" xfId="0" applyNumberFormat="1" applyFont="1" applyFill="1" applyBorder="1" applyAlignment="1">
      <alignment horizontal="center"/>
    </xf>
    <xf numFmtId="188" fontId="34" fillId="4" borderId="35" xfId="0" applyNumberFormat="1" applyFont="1" applyFill="1" applyBorder="1" applyAlignment="1">
      <alignment horizontal="center"/>
    </xf>
    <xf numFmtId="0" fontId="34" fillId="4" borderId="0" xfId="0" applyFont="1" applyFill="1" applyAlignment="1">
      <alignment horizontal="center" wrapText="1"/>
    </xf>
    <xf numFmtId="0" fontId="35" fillId="4" borderId="29" xfId="0" applyFont="1" applyFill="1" applyBorder="1" applyAlignment="1">
      <alignment/>
    </xf>
    <xf numFmtId="0" fontId="34" fillId="4" borderId="30" xfId="0" applyFont="1" applyFill="1" applyBorder="1" applyAlignment="1">
      <alignment/>
    </xf>
    <xf numFmtId="0" fontId="34" fillId="4" borderId="31" xfId="0" applyFont="1" applyFill="1" applyBorder="1" applyAlignment="1">
      <alignment/>
    </xf>
    <xf numFmtId="0" fontId="34" fillId="4" borderId="37" xfId="0" applyFont="1" applyFill="1" applyBorder="1" applyAlignment="1">
      <alignment/>
    </xf>
    <xf numFmtId="0" fontId="34" fillId="4" borderId="33" xfId="0" applyFont="1" applyFill="1" applyBorder="1" applyAlignment="1">
      <alignment/>
    </xf>
    <xf numFmtId="0" fontId="34" fillId="4" borderId="38" xfId="0" applyFont="1" applyFill="1" applyBorder="1" applyAlignment="1">
      <alignment/>
    </xf>
    <xf numFmtId="0" fontId="34" fillId="4" borderId="24" xfId="0" applyFont="1" applyFill="1" applyBorder="1" applyAlignment="1">
      <alignment/>
    </xf>
    <xf numFmtId="0" fontId="34" fillId="4" borderId="39" xfId="0" applyFont="1" applyFill="1" applyBorder="1" applyAlignment="1">
      <alignment/>
    </xf>
    <xf numFmtId="179" fontId="34" fillId="4" borderId="0" xfId="0" applyNumberFormat="1" applyFont="1" applyFill="1" applyBorder="1" applyAlignment="1">
      <alignment horizontal="center"/>
    </xf>
    <xf numFmtId="0" fontId="34" fillId="4" borderId="34" xfId="0" applyFont="1" applyFill="1" applyBorder="1" applyAlignment="1">
      <alignment/>
    </xf>
    <xf numFmtId="5" fontId="34" fillId="4" borderId="0" xfId="0" applyNumberFormat="1" applyFont="1" applyFill="1" applyBorder="1" applyAlignment="1">
      <alignment horizontal="center"/>
    </xf>
    <xf numFmtId="0" fontId="34" fillId="25" borderId="0" xfId="0" applyFont="1" applyFill="1" applyAlignment="1">
      <alignment/>
    </xf>
    <xf numFmtId="181" fontId="34" fillId="22" borderId="10" xfId="0" applyNumberFormat="1" applyFont="1" applyFill="1" applyBorder="1" applyAlignment="1" applyProtection="1">
      <alignment horizontal="center"/>
      <protection locked="0"/>
    </xf>
    <xf numFmtId="188" fontId="34" fillId="4" borderId="0" xfId="0" applyNumberFormat="1" applyFont="1" applyFill="1" applyBorder="1" applyAlignment="1">
      <alignment/>
    </xf>
    <xf numFmtId="187" fontId="34" fillId="4" borderId="35" xfId="0" applyNumberFormat="1" applyFont="1" applyFill="1" applyBorder="1" applyAlignment="1">
      <alignment horizontal="center"/>
    </xf>
    <xf numFmtId="181" fontId="34" fillId="4" borderId="35" xfId="0" applyNumberFormat="1" applyFont="1" applyFill="1" applyBorder="1" applyAlignment="1" applyProtection="1">
      <alignment horizontal="center"/>
      <protection locked="0"/>
    </xf>
    <xf numFmtId="188" fontId="34" fillId="4" borderId="35" xfId="0" applyNumberFormat="1" applyFont="1" applyFill="1" applyBorder="1" applyAlignment="1">
      <alignment/>
    </xf>
    <xf numFmtId="0" fontId="35" fillId="4" borderId="37" xfId="0" applyFont="1" applyFill="1" applyBorder="1" applyAlignment="1">
      <alignment horizontal="centerContinuous" vertical="center"/>
    </xf>
    <xf numFmtId="187"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1" fontId="35" fillId="4" borderId="0" xfId="0" applyNumberFormat="1" applyFont="1" applyFill="1" applyBorder="1" applyAlignment="1" applyProtection="1">
      <alignment horizontal="centerContinuous" vertical="center"/>
      <protection locked="0"/>
    </xf>
    <xf numFmtId="188" fontId="35" fillId="4" borderId="0" xfId="0" applyNumberFormat="1" applyFont="1" applyFill="1" applyBorder="1" applyAlignment="1">
      <alignment horizontal="centerContinuous" vertical="center"/>
    </xf>
    <xf numFmtId="0" fontId="35" fillId="4" borderId="33" xfId="0" applyFont="1" applyFill="1" applyBorder="1" applyAlignment="1">
      <alignment horizontal="centerContinuous" vertical="center"/>
    </xf>
    <xf numFmtId="0" fontId="35" fillId="4" borderId="37" xfId="0" applyFont="1" applyFill="1" applyBorder="1" applyAlignment="1">
      <alignment horizontal="centerContinuous"/>
    </xf>
    <xf numFmtId="187"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1" fontId="35" fillId="4" borderId="0" xfId="0" applyNumberFormat="1" applyFont="1" applyFill="1" applyBorder="1" applyAlignment="1" applyProtection="1">
      <alignment horizontal="centerContinuous"/>
      <protection locked="0"/>
    </xf>
    <xf numFmtId="188" fontId="35" fillId="4" borderId="0" xfId="0" applyNumberFormat="1" applyFont="1" applyFill="1" applyBorder="1" applyAlignment="1">
      <alignment horizontal="centerContinuous"/>
    </xf>
    <xf numFmtId="0" fontId="35" fillId="4" borderId="33" xfId="0" applyFont="1" applyFill="1" applyBorder="1" applyAlignment="1">
      <alignment horizontal="centerContinuous"/>
    </xf>
    <xf numFmtId="181" fontId="34" fillId="4" borderId="0" xfId="0" applyNumberFormat="1" applyFont="1" applyFill="1" applyBorder="1" applyAlignment="1" applyProtection="1">
      <alignment horizontal="center"/>
      <protection locked="0"/>
    </xf>
    <xf numFmtId="187" fontId="34" fillId="4" borderId="30" xfId="0" applyNumberFormat="1" applyFont="1" applyFill="1" applyBorder="1" applyAlignment="1">
      <alignment horizontal="center"/>
    </xf>
    <xf numFmtId="0" fontId="34" fillId="4" borderId="30" xfId="0" applyFont="1" applyFill="1" applyBorder="1" applyAlignment="1">
      <alignment horizontal="center"/>
    </xf>
    <xf numFmtId="181" fontId="34" fillId="4" borderId="30" xfId="0" applyNumberFormat="1" applyFont="1" applyFill="1" applyBorder="1" applyAlignment="1" applyProtection="1">
      <alignment horizontal="center"/>
      <protection locked="0"/>
    </xf>
    <xf numFmtId="188" fontId="34" fillId="4" borderId="30" xfId="0" applyNumberFormat="1" applyFont="1" applyFill="1" applyBorder="1" applyAlignment="1">
      <alignment/>
    </xf>
    <xf numFmtId="0" fontId="34" fillId="18" borderId="0" xfId="0" applyFont="1" applyFill="1" applyAlignment="1">
      <alignment/>
    </xf>
    <xf numFmtId="0" fontId="36"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7"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3" fillId="0" borderId="0" xfId="0" applyFont="1" applyAlignment="1">
      <alignment wrapText="1"/>
    </xf>
    <xf numFmtId="0" fontId="38"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0" fillId="23" borderId="17" xfId="0" applyNumberFormat="1" applyFont="1" applyFill="1" applyBorder="1" applyAlignment="1" applyProtection="1">
      <alignment horizontal="center" vertical="center"/>
      <protection/>
    </xf>
    <xf numFmtId="0" fontId="40"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5" fillId="4" borderId="0" xfId="0" applyFont="1" applyFill="1" applyAlignment="1">
      <alignment horizontal="center" wrapText="1"/>
    </xf>
    <xf numFmtId="0" fontId="35" fillId="4" borderId="0" xfId="0" applyFont="1" applyFill="1" applyAlignment="1">
      <alignment horizontal="center"/>
    </xf>
    <xf numFmtId="0" fontId="34" fillId="4" borderId="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horizontal="center"/>
    </xf>
    <xf numFmtId="187" fontId="34" fillId="4" borderId="0" xfId="0" applyNumberFormat="1" applyFont="1" applyFill="1" applyBorder="1" applyAlignment="1">
      <alignment horizontal="center"/>
    </xf>
    <xf numFmtId="0" fontId="34" fillId="4" borderId="24" xfId="0" applyFont="1" applyFill="1" applyBorder="1" applyAlignment="1">
      <alignment horizontal="center"/>
    </xf>
    <xf numFmtId="188" fontId="34"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5" fillId="23" borderId="0" xfId="96" applyFont="1" applyFill="1" applyAlignment="1">
      <alignment vertical="center"/>
      <protection/>
    </xf>
    <xf numFmtId="0" fontId="15"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5" fillId="4" borderId="0" xfId="96" applyNumberFormat="1" applyFont="1" applyFill="1" applyAlignment="1">
      <alignment horizontal="center" vertical="center"/>
      <protection/>
    </xf>
    <xf numFmtId="0" fontId="15" fillId="23" borderId="0" xfId="96" applyFont="1" applyFill="1" applyAlignment="1">
      <alignment horizontal="center" vertical="center"/>
      <protection/>
    </xf>
    <xf numFmtId="0" fontId="16"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0"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5" fillId="24" borderId="14" xfId="88" applyNumberFormat="1" applyFont="1" applyFill="1" applyBorder="1" applyAlignment="1" applyProtection="1">
      <alignment horizontal="center" vertical="center"/>
      <protection/>
    </xf>
    <xf numFmtId="3" fontId="15"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0" fillId="4" borderId="15" xfId="88" applyNumberFormat="1" applyFont="1" applyFill="1" applyBorder="1" applyAlignment="1" applyProtection="1">
      <alignment horizontal="center" vertical="center"/>
      <protection/>
    </xf>
    <xf numFmtId="0" fontId="40"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0"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2" fillId="4" borderId="10" xfId="88" applyFont="1" applyFill="1" applyBorder="1" applyAlignment="1">
      <alignment horizontal="left" vertical="center"/>
      <protection/>
    </xf>
    <xf numFmtId="187" fontId="40"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5"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8" fillId="0" borderId="0" xfId="88" applyFont="1" applyProtection="1">
      <alignment/>
      <protection locked="0"/>
    </xf>
    <xf numFmtId="0" fontId="43" fillId="0" borderId="0" xfId="88" applyFont="1" applyAlignment="1" applyProtection="1">
      <alignment vertical="center"/>
      <protection/>
    </xf>
    <xf numFmtId="0" fontId="18"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6"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39"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39"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8" fillId="0" borderId="0" xfId="88" applyFont="1" applyAlignment="1" applyProtection="1">
      <alignment horizontal="right" vertical="center"/>
      <protection/>
    </xf>
    <xf numFmtId="187" fontId="22"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2" fillId="4" borderId="25" xfId="88" applyNumberFormat="1" applyFont="1" applyFill="1" applyBorder="1" applyAlignment="1" applyProtection="1">
      <alignment vertical="center"/>
      <protection/>
    </xf>
    <xf numFmtId="0" fontId="22"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8" fillId="0" borderId="0" xfId="88" applyFont="1">
      <alignment/>
      <protection/>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8" fillId="0" borderId="0" xfId="88" applyFont="1" applyProtection="1">
      <alignment/>
      <protection locked="0"/>
    </xf>
    <xf numFmtId="0" fontId="18"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74" applyFont="1" applyFill="1" applyBorder="1" applyAlignment="1" applyProtection="1">
      <alignment vertical="center"/>
      <protection/>
    </xf>
    <xf numFmtId="0" fontId="5" fillId="4" borderId="21" xfId="574" applyFont="1" applyFill="1" applyBorder="1" applyAlignment="1" applyProtection="1">
      <alignment vertical="center"/>
      <protection/>
    </xf>
    <xf numFmtId="3" fontId="5" fillId="4" borderId="15" xfId="574" applyNumberFormat="1" applyFont="1" applyFill="1" applyBorder="1" applyAlignment="1" applyProtection="1">
      <alignment vertical="center"/>
      <protection/>
    </xf>
    <xf numFmtId="0" fontId="5" fillId="4" borderId="15" xfId="574" applyFont="1" applyFill="1" applyBorder="1" applyAlignment="1" applyProtection="1">
      <alignment vertical="center"/>
      <protection/>
    </xf>
    <xf numFmtId="0" fontId="5" fillId="4" borderId="16" xfId="574" applyFont="1" applyFill="1" applyBorder="1" applyAlignment="1" applyProtection="1">
      <alignment horizontal="center" vertical="center"/>
      <protection/>
    </xf>
    <xf numFmtId="0" fontId="5" fillId="4" borderId="0" xfId="574"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0" fillId="23" borderId="25" xfId="0" applyFont="1" applyFill="1" applyBorder="1" applyAlignment="1" applyProtection="1">
      <alignment vertical="center"/>
      <protection/>
    </xf>
    <xf numFmtId="187" fontId="40"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2" fillId="4" borderId="10" xfId="0" applyFont="1" applyFill="1" applyBorder="1" applyAlignment="1">
      <alignment horizontal="left" vertical="center"/>
    </xf>
    <xf numFmtId="187" fontId="40" fillId="23" borderId="12" xfId="0" applyNumberFormat="1" applyFont="1" applyFill="1" applyBorder="1" applyAlignment="1" applyProtection="1">
      <alignment horizontal="center" vertical="center"/>
      <protection locked="0"/>
    </xf>
    <xf numFmtId="0" fontId="38"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39"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9" applyNumberFormat="1" applyFont="1" applyFill="1" applyAlignment="1" applyProtection="1">
      <alignment horizontal="left" vertical="center"/>
      <protection locked="0"/>
    </xf>
    <xf numFmtId="0" fontId="45" fillId="0" borderId="0" xfId="0" applyFont="1" applyAlignment="1">
      <alignment/>
    </xf>
    <xf numFmtId="0" fontId="46" fillId="0" borderId="0" xfId="539" applyFont="1">
      <alignment/>
      <protection/>
    </xf>
    <xf numFmtId="182" fontId="47" fillId="0" borderId="0" xfId="539" applyNumberFormat="1" applyFont="1" applyAlignment="1">
      <alignment horizontal="left" vertical="center"/>
      <protection/>
    </xf>
    <xf numFmtId="0" fontId="47" fillId="0" borderId="0" xfId="539" applyNumberFormat="1" applyFont="1" applyAlignment="1">
      <alignment horizontal="left" vertical="center"/>
      <protection/>
    </xf>
    <xf numFmtId="1" fontId="47" fillId="0" borderId="0" xfId="539" applyNumberFormat="1" applyFont="1" applyAlignment="1">
      <alignment horizontal="left" vertical="center"/>
      <protection/>
    </xf>
    <xf numFmtId="0" fontId="48" fillId="0" borderId="0" xfId="539" applyFont="1" applyAlignment="1">
      <alignment horizontal="left" vertical="center"/>
      <protection/>
    </xf>
    <xf numFmtId="37"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62"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8" fillId="0" borderId="25" xfId="88" applyFont="1" applyBorder="1" applyProtection="1">
      <alignment/>
      <protection locked="0"/>
    </xf>
    <xf numFmtId="0" fontId="73" fillId="4" borderId="0" xfId="458" applyFill="1">
      <alignment/>
      <protection/>
    </xf>
    <xf numFmtId="0" fontId="6" fillId="0" borderId="0" xfId="232" applyFont="1" applyAlignment="1">
      <alignment vertical="center"/>
      <protection/>
    </xf>
    <xf numFmtId="0" fontId="6" fillId="0" borderId="0" xfId="152" applyFont="1" applyAlignment="1">
      <alignment vertical="center"/>
      <protection/>
    </xf>
    <xf numFmtId="0" fontId="6" fillId="0" borderId="0" xfId="459" applyFont="1" applyAlignment="1">
      <alignment wrapText="1"/>
      <protection/>
    </xf>
    <xf numFmtId="0" fontId="6" fillId="0" borderId="0" xfId="459"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9" applyNumberFormat="1" applyFont="1" applyFill="1" applyBorder="1" applyAlignment="1" applyProtection="1">
      <alignment horizontal="left" vertical="center"/>
      <protection locked="0"/>
    </xf>
    <xf numFmtId="0" fontId="6" fillId="22" borderId="14" xfId="539" applyFont="1" applyFill="1" applyBorder="1" applyAlignment="1" applyProtection="1">
      <alignment horizontal="left" vertical="center"/>
      <protection locked="0"/>
    </xf>
    <xf numFmtId="0" fontId="6" fillId="22" borderId="21" xfId="539" applyFont="1" applyFill="1" applyBorder="1" applyAlignment="1" applyProtection="1">
      <alignment horizontal="left" vertical="center"/>
      <protection locked="0"/>
    </xf>
    <xf numFmtId="0" fontId="0" fillId="22" borderId="15" xfId="539"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6" fillId="4" borderId="24" xfId="0" applyNumberFormat="1" applyFont="1" applyFill="1" applyBorder="1" applyAlignment="1" applyProtection="1">
      <alignment horizontal="center" vertical="center"/>
      <protection/>
    </xf>
    <xf numFmtId="0" fontId="16"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7"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 fillId="0" borderId="0" xfId="91">
      <alignment/>
      <protection/>
    </xf>
    <xf numFmtId="0" fontId="73" fillId="28" borderId="0" xfId="441" applyFill="1" applyBorder="1">
      <alignment/>
      <protection/>
    </xf>
    <xf numFmtId="0" fontId="73" fillId="28" borderId="0" xfId="441" applyFill="1" applyBorder="1" applyAlignment="1">
      <alignment horizontal="left" vertical="center"/>
      <protection/>
    </xf>
    <xf numFmtId="0" fontId="73" fillId="28" borderId="0" xfId="441" applyFill="1" applyBorder="1" applyAlignment="1">
      <alignment horizontal="center" vertical="center"/>
      <protection/>
    </xf>
    <xf numFmtId="0" fontId="50" fillId="0" borderId="0" xfId="91" applyFont="1">
      <alignment/>
      <protection/>
    </xf>
    <xf numFmtId="0" fontId="73" fillId="28" borderId="0" xfId="441" applyFill="1">
      <alignment/>
      <protection/>
    </xf>
    <xf numFmtId="0" fontId="81" fillId="28" borderId="0" xfId="441" applyFont="1" applyFill="1" applyBorder="1">
      <alignment/>
      <protection/>
    </xf>
    <xf numFmtId="0" fontId="81" fillId="28" borderId="33" xfId="441" applyFont="1" applyFill="1" applyBorder="1">
      <alignment/>
      <protection/>
    </xf>
    <xf numFmtId="0" fontId="81" fillId="28" borderId="37" xfId="441" applyFont="1" applyFill="1" applyBorder="1">
      <alignment/>
      <protection/>
    </xf>
    <xf numFmtId="0" fontId="81" fillId="28" borderId="34" xfId="441" applyFont="1" applyFill="1" applyBorder="1">
      <alignment/>
      <protection/>
    </xf>
    <xf numFmtId="0" fontId="81" fillId="28" borderId="35" xfId="441" applyFont="1" applyFill="1" applyBorder="1">
      <alignment/>
      <protection/>
    </xf>
    <xf numFmtId="0" fontId="81" fillId="28" borderId="0" xfId="441" applyFont="1" applyFill="1" applyBorder="1" applyAlignment="1">
      <alignment horizontal="center"/>
      <protection/>
    </xf>
    <xf numFmtId="0" fontId="81" fillId="28" borderId="0" xfId="441" applyFont="1" applyFill="1" applyBorder="1" applyAlignment="1">
      <alignment horizontal="right"/>
      <protection/>
    </xf>
    <xf numFmtId="0" fontId="81" fillId="28" borderId="36" xfId="441" applyFont="1" applyFill="1" applyBorder="1">
      <alignment/>
      <protection/>
    </xf>
    <xf numFmtId="3" fontId="81" fillId="28" borderId="10" xfId="441" applyNumberFormat="1" applyFont="1" applyFill="1" applyBorder="1">
      <alignment/>
      <protection/>
    </xf>
    <xf numFmtId="3" fontId="81" fillId="28" borderId="21" xfId="441" applyNumberFormat="1" applyFont="1" applyFill="1" applyBorder="1">
      <alignment/>
      <protection/>
    </xf>
    <xf numFmtId="0" fontId="81" fillId="28" borderId="10" xfId="441" applyFont="1" applyFill="1" applyBorder="1" applyAlignment="1" applyProtection="1">
      <alignment horizontal="center"/>
      <protection locked="0"/>
    </xf>
    <xf numFmtId="0" fontId="81" fillId="28" borderId="41" xfId="441" applyFont="1" applyFill="1" applyBorder="1" applyAlignment="1" applyProtection="1">
      <alignment horizontal="center"/>
      <protection locked="0"/>
    </xf>
    <xf numFmtId="0" fontId="6" fillId="0" borderId="0" xfId="91" applyFont="1" applyAlignment="1">
      <alignment vertical="center"/>
      <protection/>
    </xf>
    <xf numFmtId="0" fontId="6" fillId="0" borderId="0" xfId="0" applyFont="1" applyFill="1" applyAlignment="1">
      <alignment vertical="center"/>
    </xf>
    <xf numFmtId="3" fontId="6" fillId="26" borderId="15" xfId="0" applyNumberFormat="1" applyFont="1" applyFill="1" applyBorder="1" applyAlignment="1" applyProtection="1">
      <alignment vertical="center"/>
      <protection/>
    </xf>
    <xf numFmtId="37" fontId="5" fillId="26" borderId="14" xfId="0" applyNumberFormat="1" applyFont="1" applyFill="1" applyBorder="1" applyAlignment="1" applyProtection="1">
      <alignment horizontal="left" vertical="center"/>
      <protection/>
    </xf>
    <xf numFmtId="0" fontId="6" fillId="25" borderId="15" xfId="0" applyFont="1" applyFill="1" applyBorder="1" applyAlignment="1" applyProtection="1">
      <alignment vertical="center"/>
      <protection/>
    </xf>
    <xf numFmtId="0" fontId="6" fillId="25" borderId="21" xfId="0" applyFont="1" applyFill="1" applyBorder="1" applyAlignment="1" applyProtection="1">
      <alignment vertical="center"/>
      <protection/>
    </xf>
    <xf numFmtId="0" fontId="5" fillId="25" borderId="14" xfId="0" applyFont="1" applyFill="1" applyBorder="1" applyAlignment="1" applyProtection="1">
      <alignment horizontal="left" vertical="center"/>
      <protection/>
    </xf>
    <xf numFmtId="0" fontId="6" fillId="26" borderId="14" xfId="0" applyFont="1" applyFill="1" applyBorder="1" applyAlignment="1" applyProtection="1">
      <alignment vertical="center"/>
      <protection/>
    </xf>
    <xf numFmtId="0" fontId="6" fillId="26" borderId="12" xfId="0" applyFont="1" applyFill="1" applyBorder="1" applyAlignment="1" applyProtection="1">
      <alignment vertical="center"/>
      <protection/>
    </xf>
    <xf numFmtId="0" fontId="6" fillId="26" borderId="17" xfId="0" applyFont="1" applyFill="1" applyBorder="1" applyAlignment="1" applyProtection="1">
      <alignment vertical="center"/>
      <protection/>
    </xf>
    <xf numFmtId="0" fontId="6" fillId="26" borderId="23" xfId="0" applyFont="1" applyFill="1" applyBorder="1" applyAlignment="1" applyProtection="1">
      <alignment vertical="center"/>
      <protection/>
    </xf>
    <xf numFmtId="0" fontId="6" fillId="26" borderId="15" xfId="0" applyFont="1" applyFill="1" applyBorder="1" applyAlignment="1" applyProtection="1">
      <alignment vertical="center"/>
      <protection/>
    </xf>
    <xf numFmtId="37" fontId="6" fillId="26" borderId="14" xfId="0" applyNumberFormat="1" applyFont="1" applyFill="1" applyBorder="1" applyAlignment="1" applyProtection="1">
      <alignment horizontal="left" vertical="center"/>
      <protection/>
    </xf>
    <xf numFmtId="0" fontId="6" fillId="25" borderId="12" xfId="0" applyFont="1" applyFill="1" applyBorder="1" applyAlignment="1" applyProtection="1">
      <alignment vertical="center"/>
      <protection/>
    </xf>
    <xf numFmtId="37" fontId="6" fillId="4" borderId="13" xfId="0" applyNumberFormat="1" applyFont="1" applyFill="1" applyBorder="1" applyAlignment="1" applyProtection="1">
      <alignment vertical="center"/>
      <protection/>
    </xf>
    <xf numFmtId="0" fontId="6" fillId="29" borderId="12" xfId="0" applyFont="1" applyFill="1" applyBorder="1" applyAlignment="1" applyProtection="1">
      <alignment vertical="center"/>
      <protection/>
    </xf>
    <xf numFmtId="37" fontId="5" fillId="29" borderId="17" xfId="0" applyNumberFormat="1" applyFont="1" applyFill="1" applyBorder="1" applyAlignment="1" applyProtection="1">
      <alignment horizontal="left" vertical="center"/>
      <protection/>
    </xf>
    <xf numFmtId="0" fontId="6" fillId="29" borderId="19" xfId="0" applyFont="1" applyFill="1" applyBorder="1" applyAlignment="1" applyProtection="1">
      <alignment vertical="center"/>
      <protection/>
    </xf>
    <xf numFmtId="37" fontId="5" fillId="29" borderId="25" xfId="0" applyNumberFormat="1" applyFont="1" applyFill="1" applyBorder="1" applyAlignment="1" applyProtection="1">
      <alignment horizontal="left" vertical="center"/>
      <protection/>
    </xf>
    <xf numFmtId="0" fontId="6" fillId="26" borderId="18" xfId="0" applyFont="1" applyFill="1" applyBorder="1" applyAlignment="1" applyProtection="1">
      <alignment vertical="center"/>
      <protection/>
    </xf>
    <xf numFmtId="0" fontId="5" fillId="26" borderId="23" xfId="0" applyFont="1" applyFill="1" applyBorder="1" applyAlignment="1" applyProtection="1">
      <alignment vertical="center"/>
      <protection/>
    </xf>
    <xf numFmtId="0" fontId="6" fillId="0" borderId="0" xfId="88" applyFont="1" applyFill="1" applyAlignment="1" applyProtection="1">
      <alignment vertical="center"/>
      <protection/>
    </xf>
    <xf numFmtId="0" fontId="11" fillId="4" borderId="0" xfId="70" applyFill="1" applyAlignment="1" applyProtection="1">
      <alignment/>
      <protection/>
    </xf>
    <xf numFmtId="0" fontId="6" fillId="22" borderId="0" xfId="0" applyFont="1" applyFill="1" applyAlignment="1" applyProtection="1">
      <alignment horizontal="center" vertical="center"/>
      <protection/>
    </xf>
    <xf numFmtId="37" fontId="6" fillId="22" borderId="0" xfId="88" applyNumberFormat="1" applyFont="1" applyFill="1" applyAlignment="1" applyProtection="1">
      <alignment horizontal="center" vertical="center"/>
      <protection locked="0"/>
    </xf>
    <xf numFmtId="0" fontId="6" fillId="22" borderId="0" xfId="0" applyFont="1" applyFill="1" applyAlignment="1" applyProtection="1">
      <alignment horizontal="center" vertical="center"/>
      <protection locked="0"/>
    </xf>
    <xf numFmtId="188" fontId="6" fillId="23" borderId="12" xfId="0" applyNumberFormat="1" applyFont="1" applyFill="1" applyBorder="1" applyAlignment="1" applyProtection="1">
      <alignment horizontal="center"/>
      <protection/>
    </xf>
    <xf numFmtId="0" fontId="6" fillId="22" borderId="0" xfId="0" applyFont="1" applyFill="1" applyAlignment="1" applyProtection="1">
      <alignment horizontal="center" vertical="center"/>
      <protection locked="0"/>
    </xf>
    <xf numFmtId="188" fontId="34" fillId="4" borderId="0" xfId="0" applyNumberFormat="1" applyFont="1" applyFill="1" applyAlignment="1">
      <alignment horizontal="center"/>
    </xf>
    <xf numFmtId="188" fontId="34" fillId="4" borderId="10" xfId="0" applyNumberFormat="1" applyFont="1" applyFill="1" applyBorder="1" applyAlignment="1">
      <alignment horizontal="center"/>
    </xf>
    <xf numFmtId="188" fontId="34" fillId="4" borderId="0" xfId="0" applyNumberFormat="1" applyFont="1" applyFill="1" applyAlignment="1">
      <alignment/>
    </xf>
    <xf numFmtId="37" fontId="6" fillId="27" borderId="0" xfId="0" applyNumberFormat="1" applyFont="1" applyFill="1" applyAlignment="1" applyProtection="1">
      <alignment horizontal="left" vertical="center"/>
      <protection/>
    </xf>
    <xf numFmtId="166" fontId="6" fillId="27" borderId="0" xfId="0" applyNumberFormat="1" applyFont="1" applyFill="1" applyBorder="1" applyAlignment="1" applyProtection="1">
      <alignment vertical="center"/>
      <protection/>
    </xf>
    <xf numFmtId="0" fontId="6" fillId="27" borderId="0" xfId="0" applyFont="1" applyFill="1" applyAlignment="1">
      <alignment vertical="center"/>
    </xf>
    <xf numFmtId="37" fontId="6" fillId="4" borderId="21" xfId="461" applyNumberFormat="1" applyFont="1" applyFill="1" applyBorder="1" applyAlignment="1" applyProtection="1">
      <alignment horizontal="left" vertical="center"/>
      <protection/>
    </xf>
    <xf numFmtId="169" fontId="6" fillId="27" borderId="10" xfId="0" applyNumberFormat="1" applyFont="1" applyFill="1" applyBorder="1" applyAlignment="1" applyProtection="1">
      <alignment vertical="center"/>
      <protection/>
    </xf>
    <xf numFmtId="166" fontId="6" fillId="27" borderId="10" xfId="0" applyNumberFormat="1" applyFont="1" applyFill="1" applyBorder="1" applyAlignment="1" applyProtection="1">
      <alignment vertical="center"/>
      <protection/>
    </xf>
    <xf numFmtId="37" fontId="6" fillId="27" borderId="0" xfId="0" applyNumberFormat="1" applyFont="1" applyFill="1" applyBorder="1" applyAlignment="1" applyProtection="1">
      <alignment vertical="center"/>
      <protection/>
    </xf>
    <xf numFmtId="0" fontId="6" fillId="27" borderId="0" xfId="0" applyFont="1" applyFill="1" applyAlignment="1" applyProtection="1">
      <alignment vertical="center"/>
      <protection/>
    </xf>
    <xf numFmtId="0" fontId="6" fillId="27" borderId="0" xfId="91" applyFont="1" applyFill="1" applyAlignment="1" applyProtection="1">
      <alignment vertical="center"/>
      <protection/>
    </xf>
    <xf numFmtId="37" fontId="6" fillId="4" borderId="0" xfId="91" applyNumberFormat="1" applyFont="1" applyFill="1" applyAlignment="1" applyProtection="1">
      <alignment horizontal="left" vertical="center"/>
      <protection/>
    </xf>
    <xf numFmtId="0" fontId="6" fillId="27" borderId="0" xfId="88" applyFont="1" applyFill="1" applyAlignment="1" applyProtection="1">
      <alignment horizontal="right" vertical="center"/>
      <protection/>
    </xf>
    <xf numFmtId="0" fontId="6" fillId="27" borderId="0" xfId="88" applyFont="1" applyFill="1" applyAlignment="1" applyProtection="1">
      <alignment horizontal="right" vertical="center"/>
      <protection/>
    </xf>
    <xf numFmtId="0" fontId="6" fillId="27" borderId="0" xfId="88" applyFont="1" applyFill="1" applyAlignment="1" applyProtection="1">
      <alignment horizontal="right" vertical="center"/>
      <protection/>
    </xf>
    <xf numFmtId="37" fontId="6" fillId="4" borderId="13" xfId="91" applyNumberFormat="1" applyFont="1" applyFill="1" applyBorder="1" applyAlignment="1" applyProtection="1">
      <alignment horizontal="center" vertical="center"/>
      <protection/>
    </xf>
    <xf numFmtId="0" fontId="6" fillId="4" borderId="14" xfId="88" applyNumberFormat="1" applyFont="1" applyFill="1" applyBorder="1" applyAlignment="1" applyProtection="1">
      <alignment horizontal="left" vertical="center"/>
      <protection/>
    </xf>
    <xf numFmtId="184" fontId="6" fillId="27" borderId="0" xfId="88" applyNumberFormat="1" applyFont="1" applyFill="1" applyBorder="1" applyAlignment="1" applyProtection="1">
      <alignment horizontal="right" vertical="center"/>
      <protection/>
    </xf>
    <xf numFmtId="0" fontId="6" fillId="4" borderId="0" xfId="91" applyFont="1" applyFill="1" applyAlignment="1" applyProtection="1">
      <alignment horizontal="right" vertical="center"/>
      <protection locked="0"/>
    </xf>
    <xf numFmtId="0" fontId="6" fillId="0" borderId="0" xfId="461" applyFont="1" applyAlignment="1">
      <alignment vertical="center"/>
      <protection/>
    </xf>
    <xf numFmtId="0" fontId="38" fillId="23" borderId="15" xfId="0" applyFont="1" applyFill="1" applyBorder="1" applyAlignment="1" applyProtection="1">
      <alignment horizontal="center" vertical="center"/>
      <protection/>
    </xf>
    <xf numFmtId="0" fontId="40" fillId="27" borderId="23" xfId="234" applyFont="1" applyFill="1" applyBorder="1" applyAlignment="1">
      <alignment horizontal="left" vertical="center"/>
      <protection/>
    </xf>
    <xf numFmtId="0" fontId="5" fillId="27" borderId="24" xfId="232" applyFont="1" applyFill="1" applyBorder="1" applyAlignment="1">
      <alignment horizontal="centerContinuous" vertical="center"/>
      <protection/>
    </xf>
    <xf numFmtId="0" fontId="6" fillId="27" borderId="24" xfId="0" applyFont="1" applyFill="1" applyBorder="1" applyAlignment="1" applyProtection="1">
      <alignment vertical="center"/>
      <protection locked="0"/>
    </xf>
    <xf numFmtId="0" fontId="49" fillId="27" borderId="18" xfId="232" applyFont="1" applyFill="1" applyBorder="1" applyAlignment="1">
      <alignment horizontal="center" vertical="center"/>
      <protection/>
    </xf>
    <xf numFmtId="0" fontId="10" fillId="27" borderId="25" xfId="0" applyFont="1" applyFill="1" applyBorder="1" applyAlignment="1" applyProtection="1">
      <alignment horizontal="left" vertical="center"/>
      <protection locked="0"/>
    </xf>
    <xf numFmtId="0" fontId="10" fillId="27" borderId="0" xfId="0" applyFont="1" applyFill="1" applyBorder="1" applyAlignment="1" applyProtection="1">
      <alignment vertical="center"/>
      <protection locked="0"/>
    </xf>
    <xf numFmtId="3" fontId="10" fillId="27" borderId="19" xfId="0" applyNumberFormat="1" applyFont="1" applyFill="1" applyBorder="1" applyAlignment="1" applyProtection="1">
      <alignment vertical="center"/>
      <protection locked="0"/>
    </xf>
    <xf numFmtId="0" fontId="10" fillId="27" borderId="17" xfId="0" applyFont="1" applyFill="1" applyBorder="1" applyAlignment="1" applyProtection="1">
      <alignment horizontal="left" vertical="center"/>
      <protection locked="0"/>
    </xf>
    <xf numFmtId="0" fontId="10" fillId="27" borderId="10" xfId="0" applyFont="1" applyFill="1" applyBorder="1" applyAlignment="1" applyProtection="1">
      <alignment vertical="center"/>
      <protection locked="0"/>
    </xf>
    <xf numFmtId="3" fontId="10" fillId="27" borderId="12" xfId="0" applyNumberFormat="1" applyFont="1" applyFill="1" applyBorder="1" applyAlignment="1" applyProtection="1">
      <alignment vertical="center"/>
      <protection locked="0"/>
    </xf>
    <xf numFmtId="0" fontId="6" fillId="27" borderId="24" xfId="88" applyFont="1" applyFill="1" applyBorder="1" applyProtection="1">
      <alignment/>
      <protection locked="0"/>
    </xf>
    <xf numFmtId="0" fontId="10" fillId="27" borderId="25" xfId="88" applyFont="1" applyFill="1" applyBorder="1" applyAlignment="1" applyProtection="1">
      <alignment horizontal="left"/>
      <protection locked="0"/>
    </xf>
    <xf numFmtId="0" fontId="10" fillId="27" borderId="0" xfId="88" applyFont="1" applyFill="1" applyBorder="1" applyProtection="1">
      <alignment/>
      <protection locked="0"/>
    </xf>
    <xf numFmtId="3" fontId="10" fillId="27" borderId="19" xfId="88" applyNumberFormat="1" applyFont="1" applyFill="1" applyBorder="1" applyProtection="1">
      <alignment/>
      <protection locked="0"/>
    </xf>
    <xf numFmtId="0" fontId="10" fillId="27" borderId="17" xfId="88" applyFont="1" applyFill="1" applyBorder="1" applyAlignment="1" applyProtection="1">
      <alignment horizontal="left"/>
      <protection locked="0"/>
    </xf>
    <xf numFmtId="0" fontId="10" fillId="27" borderId="10" xfId="88" applyFont="1" applyFill="1" applyBorder="1" applyProtection="1">
      <alignment/>
      <protection locked="0"/>
    </xf>
    <xf numFmtId="3" fontId="10" fillId="27" borderId="12" xfId="88" applyNumberFormat="1" applyFont="1" applyFill="1" applyBorder="1" applyProtection="1">
      <alignment/>
      <protection locked="0"/>
    </xf>
    <xf numFmtId="0" fontId="53" fillId="0" borderId="0" xfId="0" applyFont="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right" vertical="center" wrapText="1"/>
    </xf>
    <xf numFmtId="0" fontId="54" fillId="0" borderId="0" xfId="0" applyFont="1" applyAlignment="1">
      <alignment horizontal="left"/>
    </xf>
    <xf numFmtId="37" fontId="54" fillId="0" borderId="0" xfId="0" applyNumberFormat="1" applyFont="1" applyAlignment="1">
      <alignment horizontal="left"/>
    </xf>
    <xf numFmtId="0" fontId="52" fillId="0" borderId="0" xfId="0" applyFont="1" applyAlignment="1">
      <alignment/>
    </xf>
    <xf numFmtId="0" fontId="10" fillId="27" borderId="17" xfId="0" applyFont="1" applyFill="1" applyBorder="1" applyAlignment="1" applyProtection="1">
      <alignment vertical="center"/>
      <protection locked="0"/>
    </xf>
    <xf numFmtId="0" fontId="10" fillId="27" borderId="25" xfId="0" applyFont="1" applyFill="1" applyBorder="1" applyAlignment="1" applyProtection="1">
      <alignment vertical="center"/>
      <protection locked="0"/>
    </xf>
    <xf numFmtId="0" fontId="73" fillId="28" borderId="0" xfId="441" applyFill="1">
      <alignment/>
      <protection/>
    </xf>
    <xf numFmtId="0" fontId="81" fillId="28" borderId="0" xfId="441" applyFont="1" applyFill="1" applyBorder="1">
      <alignment/>
      <protection/>
    </xf>
    <xf numFmtId="0" fontId="81" fillId="28" borderId="33" xfId="441" applyFont="1" applyFill="1" applyBorder="1">
      <alignment/>
      <protection/>
    </xf>
    <xf numFmtId="0" fontId="81" fillId="28" borderId="37" xfId="441" applyFont="1" applyFill="1" applyBorder="1">
      <alignment/>
      <protection/>
    </xf>
    <xf numFmtId="0" fontId="81" fillId="28" borderId="35" xfId="441" applyFont="1" applyFill="1" applyBorder="1">
      <alignment/>
      <protection/>
    </xf>
    <xf numFmtId="0" fontId="81" fillId="28" borderId="0" xfId="441" applyFont="1" applyFill="1" applyBorder="1" applyAlignment="1">
      <alignment horizontal="center"/>
      <protection/>
    </xf>
    <xf numFmtId="0" fontId="81" fillId="28" borderId="0" xfId="441" applyFont="1" applyFill="1" applyBorder="1" applyAlignment="1">
      <alignment horizontal="right"/>
      <protection/>
    </xf>
    <xf numFmtId="0" fontId="81" fillId="28" borderId="36" xfId="441" applyFont="1" applyFill="1" applyBorder="1">
      <alignment/>
      <protection/>
    </xf>
    <xf numFmtId="3" fontId="81" fillId="28" borderId="10" xfId="441" applyNumberFormat="1" applyFont="1" applyFill="1" applyBorder="1">
      <alignment/>
      <protection/>
    </xf>
    <xf numFmtId="3" fontId="81" fillId="28" borderId="21" xfId="441" applyNumberFormat="1" applyFont="1" applyFill="1" applyBorder="1">
      <alignment/>
      <protection/>
    </xf>
    <xf numFmtId="0" fontId="81" fillId="28" borderId="10" xfId="441" applyFont="1" applyFill="1" applyBorder="1" applyAlignment="1" applyProtection="1">
      <alignment horizontal="center"/>
      <protection locked="0"/>
    </xf>
    <xf numFmtId="0" fontId="81" fillId="28" borderId="41" xfId="441" applyFont="1" applyFill="1" applyBorder="1" applyAlignment="1" applyProtection="1">
      <alignment horizontal="center"/>
      <protection locked="0"/>
    </xf>
    <xf numFmtId="0" fontId="81" fillId="28" borderId="37" xfId="441" applyFont="1" applyFill="1" applyBorder="1" applyAlignment="1">
      <alignment horizontal="center"/>
      <protection/>
    </xf>
    <xf numFmtId="0" fontId="81" fillId="28" borderId="33" xfId="441" applyFont="1" applyFill="1" applyBorder="1" applyAlignment="1">
      <alignment horizontal="center"/>
      <protection/>
    </xf>
    <xf numFmtId="0" fontId="81" fillId="28" borderId="0" xfId="441" applyFont="1" applyFill="1" applyBorder="1" applyAlignment="1" applyProtection="1">
      <alignment horizontal="center"/>
      <protection locked="0"/>
    </xf>
    <xf numFmtId="0" fontId="81" fillId="28" borderId="33" xfId="441" applyFont="1" applyFill="1" applyBorder="1" applyAlignment="1" applyProtection="1">
      <alignment horizontal="center"/>
      <protection locked="0"/>
    </xf>
    <xf numFmtId="3" fontId="81" fillId="28" borderId="0" xfId="441" applyNumberFormat="1" applyFont="1" applyFill="1" applyBorder="1">
      <alignment/>
      <protection/>
    </xf>
    <xf numFmtId="0" fontId="40" fillId="27" borderId="23" xfId="234" applyFont="1" applyFill="1" applyBorder="1" applyAlignment="1">
      <alignment horizontal="left" vertical="center"/>
      <protection/>
    </xf>
    <xf numFmtId="0" fontId="6" fillId="27" borderId="14" xfId="88" applyFont="1" applyFill="1" applyBorder="1" applyAlignment="1" applyProtection="1">
      <alignment vertical="center"/>
      <protection/>
    </xf>
    <xf numFmtId="0" fontId="83" fillId="28" borderId="0" xfId="441" applyFont="1" applyFill="1" applyBorder="1" applyAlignment="1">
      <alignment horizontal="center"/>
      <protection/>
    </xf>
    <xf numFmtId="0" fontId="81" fillId="28" borderId="34" xfId="441" applyFont="1" applyFill="1" applyBorder="1">
      <alignment/>
      <protection/>
    </xf>
    <xf numFmtId="179" fontId="81" fillId="28" borderId="0" xfId="441" applyNumberFormat="1" applyFont="1" applyFill="1" applyBorder="1">
      <alignment/>
      <protection/>
    </xf>
    <xf numFmtId="0" fontId="83" fillId="28" borderId="0" xfId="441" applyFont="1" applyFill="1" applyBorder="1" applyAlignment="1">
      <alignment horizontal="center"/>
      <protection/>
    </xf>
    <xf numFmtId="0" fontId="52" fillId="0" borderId="0" xfId="88" applyFont="1" applyAlignment="1">
      <alignment horizontal="center" vertical="center" wrapText="1"/>
      <protection/>
    </xf>
    <xf numFmtId="0" fontId="52" fillId="0" borderId="0" xfId="88" applyFont="1" applyAlignment="1">
      <alignment horizontal="right" vertical="center" wrapText="1"/>
      <protection/>
    </xf>
    <xf numFmtId="0" fontId="6" fillId="0" borderId="0" xfId="462" applyFont="1">
      <alignment/>
      <protection/>
    </xf>
    <xf numFmtId="0" fontId="7" fillId="0" borderId="0" xfId="462" applyFont="1">
      <alignment/>
      <protection/>
    </xf>
    <xf numFmtId="0" fontId="6" fillId="0" borderId="25" xfId="88" applyFont="1" applyBorder="1" applyProtection="1">
      <alignment/>
      <protection locked="0"/>
    </xf>
    <xf numFmtId="0" fontId="6" fillId="4" borderId="0" xfId="88" applyFont="1" applyFill="1" applyBorder="1" applyProtection="1">
      <alignment/>
      <protection locked="0"/>
    </xf>
    <xf numFmtId="0" fontId="38" fillId="0" borderId="25" xfId="0" applyFont="1" applyBorder="1" applyAlignment="1" applyProtection="1">
      <alignment/>
      <protection locked="0"/>
    </xf>
    <xf numFmtId="0" fontId="6" fillId="0" borderId="25" xfId="0" applyFont="1" applyBorder="1" applyAlignment="1" applyProtection="1">
      <alignment vertical="center"/>
      <protection locked="0"/>
    </xf>
    <xf numFmtId="10" fontId="5" fillId="22" borderId="16" xfId="0" applyNumberFormat="1" applyFont="1" applyFill="1" applyBorder="1" applyAlignment="1" applyProtection="1">
      <alignment horizontal="center" vertical="center"/>
      <protection locked="0"/>
    </xf>
    <xf numFmtId="0" fontId="6" fillId="4" borderId="10" xfId="91" applyNumberFormat="1" applyFont="1" applyFill="1" applyBorder="1" applyAlignment="1" applyProtection="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6" fillId="4" borderId="0" xfId="0" applyNumberFormat="1" applyFont="1" applyFill="1" applyAlignment="1" applyProtection="1">
      <alignment horizontal="center" vertical="center"/>
      <protection/>
    </xf>
    <xf numFmtId="0" fontId="17" fillId="0" borderId="0" xfId="0" applyFont="1" applyAlignment="1">
      <alignment horizontal="center" vertical="center"/>
    </xf>
    <xf numFmtId="37" fontId="17"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5" fillId="4" borderId="0" xfId="88" applyNumberFormat="1" applyFont="1" applyFill="1" applyAlignment="1" applyProtection="1">
      <alignment vertical="center" wrapText="1"/>
      <protection/>
    </xf>
    <xf numFmtId="0" fontId="6" fillId="4" borderId="23" xfId="88" applyFont="1" applyFill="1" applyBorder="1" applyAlignment="1" applyProtection="1">
      <alignment vertical="center" wrapText="1"/>
      <protection/>
    </xf>
    <xf numFmtId="0" fontId="4" fillId="0" borderId="18" xfId="88" applyBorder="1" applyAlignment="1">
      <alignment vertical="center" wrapText="1"/>
      <protection/>
    </xf>
    <xf numFmtId="0" fontId="4" fillId="0" borderId="25" xfId="88" applyBorder="1" applyAlignment="1">
      <alignment vertical="center" wrapText="1"/>
      <protection/>
    </xf>
    <xf numFmtId="0" fontId="4" fillId="0" borderId="19" xfId="88" applyBorder="1" applyAlignment="1">
      <alignment vertical="center" wrapText="1"/>
      <protection/>
    </xf>
    <xf numFmtId="0" fontId="4" fillId="0" borderId="17" xfId="88" applyBorder="1" applyAlignment="1">
      <alignment vertical="center" wrapText="1"/>
      <protection/>
    </xf>
    <xf numFmtId="0" fontId="4" fillId="0" borderId="12" xfId="88" applyBorder="1" applyAlignment="1">
      <alignment vertical="center" wrapText="1"/>
      <protection/>
    </xf>
    <xf numFmtId="37" fontId="17"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14" xfId="0" applyFont="1" applyFill="1" applyBorder="1" applyAlignment="1">
      <alignment horizontal="center" vertical="center"/>
    </xf>
    <xf numFmtId="0" fontId="19" fillId="25" borderId="15"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6" fillId="0" borderId="0" xfId="539" applyFont="1" applyAlignment="1">
      <alignment horizontal="left" vertical="center" wrapText="1"/>
      <protection/>
    </xf>
    <xf numFmtId="0" fontId="0" fillId="0" borderId="0" xfId="539" applyAlignment="1">
      <alignment horizontal="left" vertical="center" wrapText="1"/>
      <protection/>
    </xf>
    <xf numFmtId="0" fontId="17" fillId="0" borderId="0" xfId="539" applyFont="1" applyAlignment="1">
      <alignment horizontal="left" vertical="center"/>
      <protection/>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3" borderId="14" xfId="91" applyFont="1" applyFill="1" applyBorder="1" applyAlignment="1">
      <alignment horizontal="left" vertical="center"/>
      <protection/>
    </xf>
    <xf numFmtId="0" fontId="51" fillId="0" borderId="15" xfId="0" applyFont="1" applyBorder="1" applyAlignment="1">
      <alignment vertical="center"/>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wrapText="1"/>
      <protection/>
    </xf>
    <xf numFmtId="0" fontId="6" fillId="4" borderId="0" xfId="91" applyFont="1" applyFill="1" applyAlignment="1" applyProtection="1">
      <alignment horizontal="center" vertical="center"/>
      <protection/>
    </xf>
    <xf numFmtId="37" fontId="5" fillId="4" borderId="0" xfId="91" applyNumberFormat="1" applyFont="1" applyFill="1" applyAlignment="1" applyProtection="1">
      <alignment horizontal="center" vertical="center"/>
      <protection/>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0" fontId="5" fillId="4" borderId="0" xfId="575" applyFont="1" applyFill="1" applyAlignment="1" applyProtection="1">
      <alignment horizontal="center" vertical="center"/>
      <protection/>
    </xf>
    <xf numFmtId="0" fontId="5" fillId="4" borderId="0" xfId="96" applyFont="1" applyFill="1" applyAlignment="1">
      <alignment horizontal="center" vertical="center"/>
      <protection/>
    </xf>
    <xf numFmtId="0" fontId="17" fillId="4" borderId="0" xfId="96" applyFont="1" applyFill="1" applyAlignment="1">
      <alignment horizontal="center" vertical="center"/>
      <protection/>
    </xf>
    <xf numFmtId="0" fontId="6" fillId="4" borderId="0" xfId="96" applyFont="1" applyFill="1" applyAlignment="1">
      <alignment vertical="center" wrapText="1"/>
      <protection/>
    </xf>
    <xf numFmtId="0" fontId="17" fillId="4" borderId="0" xfId="560"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39"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39" fillId="4" borderId="23" xfId="0" applyNumberFormat="1" applyFont="1" applyFill="1" applyBorder="1" applyAlignment="1" applyProtection="1">
      <alignment horizontal="center"/>
      <protection/>
    </xf>
    <xf numFmtId="0" fontId="31" fillId="0" borderId="24" xfId="0" applyFont="1" applyBorder="1" applyAlignment="1">
      <alignment/>
    </xf>
    <xf numFmtId="0" fontId="31" fillId="0" borderId="18" xfId="0" applyFont="1" applyBorder="1" applyAlignment="1">
      <alignment/>
    </xf>
    <xf numFmtId="0" fontId="39"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39" fillId="4" borderId="23" xfId="88" applyNumberFormat="1" applyFont="1" applyFill="1" applyBorder="1" applyAlignment="1" applyProtection="1">
      <alignment horizontal="center"/>
      <protection/>
    </xf>
    <xf numFmtId="0" fontId="31" fillId="0" borderId="24" xfId="88" applyFont="1" applyBorder="1" applyAlignment="1">
      <alignment/>
      <protection/>
    </xf>
    <xf numFmtId="0" fontId="31" fillId="0" borderId="18" xfId="88" applyFont="1" applyBorder="1" applyAlignment="1">
      <alignment/>
      <protection/>
    </xf>
    <xf numFmtId="0" fontId="42" fillId="0" borderId="24" xfId="88" applyFont="1" applyBorder="1" applyAlignment="1">
      <alignment horizontal="center" vertical="center"/>
      <protection/>
    </xf>
    <xf numFmtId="0" fontId="15"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7" fillId="4" borderId="23" xfId="0" applyFont="1" applyFill="1" applyBorder="1" applyAlignment="1" applyProtection="1">
      <alignment horizontal="center"/>
      <protection/>
    </xf>
    <xf numFmtId="0" fontId="17" fillId="4" borderId="24" xfId="0" applyFont="1" applyFill="1" applyBorder="1" applyAlignment="1" applyProtection="1">
      <alignment horizontal="center"/>
      <protection/>
    </xf>
    <xf numFmtId="0" fontId="17"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81" fillId="28" borderId="34" xfId="441" applyFont="1" applyFill="1" applyBorder="1" applyAlignment="1">
      <alignment horizontal="left" vertical="top" wrapText="1"/>
      <protection/>
    </xf>
    <xf numFmtId="0" fontId="81" fillId="28" borderId="35" xfId="441" applyFont="1" applyFill="1" applyBorder="1" applyAlignment="1">
      <alignment horizontal="left" vertical="top" wrapText="1"/>
      <protection/>
    </xf>
    <xf numFmtId="0" fontId="81" fillId="28" borderId="36" xfId="441" applyFont="1" applyFill="1" applyBorder="1" applyAlignment="1">
      <alignment horizontal="left" vertical="top" wrapText="1"/>
      <protection/>
    </xf>
    <xf numFmtId="0" fontId="84" fillId="28" borderId="42" xfId="441" applyFont="1" applyFill="1" applyBorder="1" applyAlignment="1">
      <alignment horizontal="center"/>
      <protection/>
    </xf>
    <xf numFmtId="0" fontId="73" fillId="28" borderId="43" xfId="441" applyFill="1" applyBorder="1" applyAlignment="1">
      <alignment horizontal="center"/>
      <protection/>
    </xf>
    <xf numFmtId="0" fontId="73" fillId="28" borderId="44" xfId="441" applyFill="1" applyBorder="1" applyAlignment="1">
      <alignment horizontal="center"/>
      <protection/>
    </xf>
    <xf numFmtId="0" fontId="81" fillId="28" borderId="29" xfId="441" applyFont="1" applyFill="1" applyBorder="1" applyAlignment="1">
      <alignment horizontal="center"/>
      <protection/>
    </xf>
    <xf numFmtId="0" fontId="81" fillId="28" borderId="30" xfId="441" applyFont="1" applyFill="1" applyBorder="1" applyAlignment="1">
      <alignment horizontal="center"/>
      <protection/>
    </xf>
    <xf numFmtId="0" fontId="81" fillId="28" borderId="31" xfId="441" applyFont="1" applyFill="1" applyBorder="1" applyAlignment="1">
      <alignment horizontal="center"/>
      <protection/>
    </xf>
    <xf numFmtId="0" fontId="84" fillId="0" borderId="42" xfId="441" applyFont="1" applyBorder="1" applyAlignment="1">
      <alignment horizontal="center"/>
      <protection/>
    </xf>
    <xf numFmtId="0" fontId="84" fillId="0" borderId="43" xfId="441" applyFont="1" applyBorder="1" applyAlignment="1">
      <alignment horizontal="center"/>
      <protection/>
    </xf>
    <xf numFmtId="0" fontId="84" fillId="0" borderId="44" xfId="441" applyFont="1" applyBorder="1" applyAlignment="1">
      <alignment horizontal="center"/>
      <protection/>
    </xf>
    <xf numFmtId="0" fontId="81" fillId="28" borderId="37" xfId="441" applyFont="1" applyFill="1" applyBorder="1" applyAlignment="1">
      <alignment horizontal="center"/>
      <protection/>
    </xf>
    <xf numFmtId="0" fontId="81" fillId="28" borderId="0" xfId="441" applyFont="1" applyFill="1" applyBorder="1" applyAlignment="1">
      <alignment horizontal="center"/>
      <protection/>
    </xf>
    <xf numFmtId="0" fontId="81" fillId="28" borderId="33" xfId="441" applyFont="1" applyFill="1" applyBorder="1" applyAlignment="1">
      <alignment horizontal="center"/>
      <protection/>
    </xf>
    <xf numFmtId="0" fontId="34" fillId="4" borderId="24" xfId="0" applyFont="1" applyFill="1" applyBorder="1" applyAlignment="1">
      <alignment horizontal="center"/>
    </xf>
    <xf numFmtId="187" fontId="34" fillId="4" borderId="0" xfId="0" applyNumberFormat="1" applyFont="1" applyFill="1" applyBorder="1" applyAlignment="1">
      <alignment horizontal="center"/>
    </xf>
    <xf numFmtId="0" fontId="34" fillId="4" borderId="37" xfId="0" applyFont="1" applyFill="1" applyBorder="1" applyAlignment="1">
      <alignment vertical="top" wrapText="1"/>
    </xf>
    <xf numFmtId="0" fontId="34" fillId="0" borderId="0" xfId="0" applyFont="1" applyAlignment="1">
      <alignment vertical="top" wrapText="1"/>
    </xf>
    <xf numFmtId="0" fontId="34" fillId="0" borderId="33" xfId="0" applyFont="1" applyBorder="1" applyAlignment="1">
      <alignment vertical="top" wrapText="1"/>
    </xf>
    <xf numFmtId="188" fontId="34" fillId="4" borderId="0" xfId="0" applyNumberFormat="1" applyFont="1" applyFill="1" applyBorder="1" applyAlignment="1">
      <alignment horizontal="center"/>
    </xf>
    <xf numFmtId="0" fontId="34" fillId="0" borderId="33" xfId="0" applyFont="1" applyBorder="1" applyAlignment="1">
      <alignment horizontal="center"/>
    </xf>
    <xf numFmtId="179" fontId="34" fillId="22" borderId="10" xfId="0" applyNumberFormat="1" applyFont="1" applyFill="1" applyBorder="1" applyAlignment="1" applyProtection="1">
      <alignment horizontal="center"/>
      <protection locked="0"/>
    </xf>
    <xf numFmtId="188" fontId="34" fillId="0" borderId="33" xfId="0" applyNumberFormat="1" applyFont="1" applyBorder="1" applyAlignment="1">
      <alignment horizontal="center"/>
    </xf>
    <xf numFmtId="187" fontId="34" fillId="22" borderId="10"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5" fontId="34" fillId="4" borderId="10" xfId="0" applyNumberFormat="1" applyFont="1" applyFill="1" applyBorder="1" applyAlignment="1">
      <alignment horizontal="center"/>
    </xf>
    <xf numFmtId="0" fontId="35" fillId="4" borderId="30" xfId="0" applyFont="1" applyFill="1" applyBorder="1" applyAlignment="1">
      <alignment horizontal="center" vertical="center"/>
    </xf>
    <xf numFmtId="0" fontId="34" fillId="0" borderId="30"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0" fontId="34" fillId="4" borderId="0" xfId="0" applyFont="1" applyFill="1" applyBorder="1" applyAlignment="1">
      <alignment/>
    </xf>
    <xf numFmtId="0" fontId="34" fillId="0" borderId="0" xfId="0" applyFont="1" applyBorder="1" applyAlignment="1">
      <alignment/>
    </xf>
    <xf numFmtId="0" fontId="34" fillId="4" borderId="35" xfId="0" applyFont="1" applyFill="1" applyBorder="1" applyAlignment="1">
      <alignment/>
    </xf>
    <xf numFmtId="0" fontId="34" fillId="4" borderId="36" xfId="0" applyFont="1" applyFill="1" applyBorder="1" applyAlignment="1">
      <alignment/>
    </xf>
    <xf numFmtId="0" fontId="35" fillId="4" borderId="0" xfId="0" applyFont="1" applyFill="1" applyAlignment="1">
      <alignment horizontal="center"/>
    </xf>
    <xf numFmtId="187" fontId="34" fillId="4" borderId="0" xfId="0" applyNumberFormat="1" applyFont="1" applyFill="1" applyAlignment="1">
      <alignment/>
    </xf>
    <xf numFmtId="187" fontId="34" fillId="4" borderId="0" xfId="0" applyNumberFormat="1" applyFont="1" applyFill="1" applyAlignment="1">
      <alignment horizontal="center"/>
    </xf>
    <xf numFmtId="0" fontId="35" fillId="4" borderId="0" xfId="0" applyFont="1" applyFill="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cellXfs>
  <cellStyles count="5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2 2 3" xfId="189"/>
    <cellStyle name="Normal 2 10 11 3" xfId="190"/>
    <cellStyle name="Normal 2 10 11 4" xfId="191"/>
    <cellStyle name="Normal 2 10 11 5" xfId="192"/>
    <cellStyle name="Normal 2 10 12" xfId="193"/>
    <cellStyle name="Normal 2 10 2" xfId="194"/>
    <cellStyle name="Normal 2 10 2 2" xfId="195"/>
    <cellStyle name="Normal 2 10 3" xfId="196"/>
    <cellStyle name="Normal 2 10 3 2" xfId="197"/>
    <cellStyle name="Normal 2 10 4" xfId="198"/>
    <cellStyle name="Normal 2 10 4 2" xfId="199"/>
    <cellStyle name="Normal 2 10 5" xfId="200"/>
    <cellStyle name="Normal 2 10 5 2" xfId="201"/>
    <cellStyle name="Normal 2 10 6" xfId="202"/>
    <cellStyle name="Normal 2 10 6 2" xfId="203"/>
    <cellStyle name="Normal 2 10 7" xfId="204"/>
    <cellStyle name="Normal 2 10 7 2" xfId="205"/>
    <cellStyle name="Normal 2 10 8" xfId="206"/>
    <cellStyle name="Normal 2 10 8 2" xfId="207"/>
    <cellStyle name="Normal 2 10 9" xfId="208"/>
    <cellStyle name="Normal 2 11" xfId="209"/>
    <cellStyle name="Normal 2 11 10" xfId="210"/>
    <cellStyle name="Normal 2 11 11" xfId="211"/>
    <cellStyle name="Normal 2 11 2" xfId="212"/>
    <cellStyle name="Normal 2 11 2 2" xfId="213"/>
    <cellStyle name="Normal 2 11 3" xfId="214"/>
    <cellStyle name="Normal 2 11 3 2" xfId="215"/>
    <cellStyle name="Normal 2 11 4" xfId="216"/>
    <cellStyle name="Normal 2 11 4 2" xfId="217"/>
    <cellStyle name="Normal 2 11 5" xfId="218"/>
    <cellStyle name="Normal 2 11 5 2" xfId="219"/>
    <cellStyle name="Normal 2 11 6" xfId="220"/>
    <cellStyle name="Normal 2 11 6 2" xfId="221"/>
    <cellStyle name="Normal 2 11 7" xfId="222"/>
    <cellStyle name="Normal 2 11 7 2" xfId="223"/>
    <cellStyle name="Normal 2 11 8" xfId="224"/>
    <cellStyle name="Normal 2 11 8 2" xfId="225"/>
    <cellStyle name="Normal 2 11 9" xfId="226"/>
    <cellStyle name="Normal 2 12" xfId="227"/>
    <cellStyle name="Normal 2 13" xfId="228"/>
    <cellStyle name="Normal 2 14" xfId="229"/>
    <cellStyle name="Normal 2 15" xfId="230"/>
    <cellStyle name="Normal 2 16" xfId="231"/>
    <cellStyle name="Normal 2 17" xfId="232"/>
    <cellStyle name="Normal 2 17 2" xfId="233"/>
    <cellStyle name="Normal 2 17 3" xfId="234"/>
    <cellStyle name="Normal 2 2" xfId="235"/>
    <cellStyle name="Normal 2 2 10" xfId="236"/>
    <cellStyle name="Normal 2 2 10 2" xfId="237"/>
    <cellStyle name="Normal 2 2 11" xfId="238"/>
    <cellStyle name="Normal 2 2 11 2" xfId="239"/>
    <cellStyle name="Normal 2 2 12" xfId="240"/>
    <cellStyle name="Normal 2 2 12 2" xfId="241"/>
    <cellStyle name="Normal 2 2 12 2 2" xfId="242"/>
    <cellStyle name="Normal 2 2 12 2 3" xfId="243"/>
    <cellStyle name="Normal 2 2 12 2 4" xfId="244"/>
    <cellStyle name="Normal 2 2 12 3" xfId="245"/>
    <cellStyle name="Normal 2 2 12 4" xfId="246"/>
    <cellStyle name="Normal 2 2 13" xfId="247"/>
    <cellStyle name="Normal 2 2 13 2" xfId="248"/>
    <cellStyle name="Normal 2 2 13 2 2" xfId="249"/>
    <cellStyle name="Normal 2 2 13 2 3" xfId="250"/>
    <cellStyle name="Normal 2 2 13 2 4" xfId="251"/>
    <cellStyle name="Normal 2 2 13 3" xfId="252"/>
    <cellStyle name="Normal 2 2 13 4" xfId="253"/>
    <cellStyle name="Normal 2 2 14" xfId="254"/>
    <cellStyle name="Normal 2 2 14 2" xfId="255"/>
    <cellStyle name="Normal 2 2 15" xfId="256"/>
    <cellStyle name="Normal 2 2 15 2" xfId="257"/>
    <cellStyle name="Normal 2 2 16" xfId="258"/>
    <cellStyle name="Normal 2 2 16 2" xfId="259"/>
    <cellStyle name="Normal 2 2 16 3" xfId="260"/>
    <cellStyle name="Normal 2 2 17" xfId="261"/>
    <cellStyle name="Normal 2 2 18" xfId="262"/>
    <cellStyle name="Normal 2 2 19" xfId="263"/>
    <cellStyle name="Normal 2 2 2" xfId="264"/>
    <cellStyle name="Normal 2 2 2 2" xfId="265"/>
    <cellStyle name="Normal 2 2 2 2 2" xfId="266"/>
    <cellStyle name="Normal 2 2 2 2 3" xfId="267"/>
    <cellStyle name="Normal 2 2 2 2 3 2" xfId="268"/>
    <cellStyle name="Normal 2 2 2 2 3 3" xfId="269"/>
    <cellStyle name="Normal 2 2 2 3" xfId="270"/>
    <cellStyle name="Normal 2 2 2 3 2" xfId="271"/>
    <cellStyle name="Normal 2 2 2 3 3" xfId="272"/>
    <cellStyle name="Normal 2 2 2 3 4" xfId="273"/>
    <cellStyle name="Normal 2 2 2 4" xfId="274"/>
    <cellStyle name="Normal 2 2 2 4 2" xfId="275"/>
    <cellStyle name="Normal 2 2 2 5" xfId="276"/>
    <cellStyle name="Normal 2 2 2 5 2" xfId="277"/>
    <cellStyle name="Normal 2 2 2 5 3" xfId="278"/>
    <cellStyle name="Normal 2 2 2 5 4" xfId="279"/>
    <cellStyle name="Normal 2 2 2 6" xfId="280"/>
    <cellStyle name="Normal 2 2 2 6 2" xfId="281"/>
    <cellStyle name="Normal 2 2 2 7" xfId="282"/>
    <cellStyle name="Normal 2 2 2 7 2" xfId="283"/>
    <cellStyle name="Normal 2 2 2 7 3" xfId="284"/>
    <cellStyle name="Normal 2 2 2 8" xfId="285"/>
    <cellStyle name="Normal 2 2 20" xfId="286"/>
    <cellStyle name="Normal 2 2 21" xfId="287"/>
    <cellStyle name="Normal 2 2 22" xfId="288"/>
    <cellStyle name="Normal 2 2 3" xfId="289"/>
    <cellStyle name="Normal 2 2 3 2" xfId="290"/>
    <cellStyle name="Normal 2 2 4" xfId="291"/>
    <cellStyle name="Normal 2 2 4 2" xfId="292"/>
    <cellStyle name="Normal 2 2 5" xfId="293"/>
    <cellStyle name="Normal 2 2 5 2" xfId="294"/>
    <cellStyle name="Normal 2 2 6" xfId="295"/>
    <cellStyle name="Normal 2 2 6 2" xfId="296"/>
    <cellStyle name="Normal 2 2 7" xfId="297"/>
    <cellStyle name="Normal 2 2 7 2" xfId="298"/>
    <cellStyle name="Normal 2 2 8" xfId="299"/>
    <cellStyle name="Normal 2 2 8 2" xfId="300"/>
    <cellStyle name="Normal 2 2 9" xfId="301"/>
    <cellStyle name="Normal 2 2 9 2" xfId="302"/>
    <cellStyle name="Normal 2 3" xfId="303"/>
    <cellStyle name="Normal 2 3 10" xfId="304"/>
    <cellStyle name="Normal 2 3 11" xfId="305"/>
    <cellStyle name="Normal 2 3 12" xfId="306"/>
    <cellStyle name="Normal 2 3 13" xfId="307"/>
    <cellStyle name="Normal 2 3 14" xfId="308"/>
    <cellStyle name="Normal 2 3 15" xfId="309"/>
    <cellStyle name="Normal 2 3 2" xfId="310"/>
    <cellStyle name="Normal 2 3 2 2" xfId="311"/>
    <cellStyle name="Normal 2 3 2 2 2" xfId="312"/>
    <cellStyle name="Normal 2 3 2 2 3" xfId="313"/>
    <cellStyle name="Normal 2 3 2 3" xfId="314"/>
    <cellStyle name="Normal 2 3 2 4" xfId="315"/>
    <cellStyle name="Normal 2 3 2 5" xfId="316"/>
    <cellStyle name="Normal 2 3 3" xfId="317"/>
    <cellStyle name="Normal 2 3 3 2" xfId="318"/>
    <cellStyle name="Normal 2 3 3 3" xfId="319"/>
    <cellStyle name="Normal 2 3 4" xfId="320"/>
    <cellStyle name="Normal 2 3 5" xfId="321"/>
    <cellStyle name="Normal 2 3 6" xfId="322"/>
    <cellStyle name="Normal 2 3 7" xfId="323"/>
    <cellStyle name="Normal 2 3 8" xfId="324"/>
    <cellStyle name="Normal 2 3 9" xfId="325"/>
    <cellStyle name="Normal 2 4" xfId="326"/>
    <cellStyle name="Normal 2 4 10" xfId="327"/>
    <cellStyle name="Normal 2 4 11" xfId="328"/>
    <cellStyle name="Normal 2 4 12" xfId="329"/>
    <cellStyle name="Normal 2 4 12 2" xfId="330"/>
    <cellStyle name="Normal 2 4 12 3" xfId="331"/>
    <cellStyle name="Normal 2 4 13" xfId="332"/>
    <cellStyle name="Normal 2 4 13 2" xfId="333"/>
    <cellStyle name="Normal 2 4 13 3" xfId="334"/>
    <cellStyle name="Normal 2 4 2" xfId="335"/>
    <cellStyle name="Normal 2 4 2 2" xfId="336"/>
    <cellStyle name="Normal 2 4 2 2 2" xfId="337"/>
    <cellStyle name="Normal 2 4 2 2 3" xfId="338"/>
    <cellStyle name="Normal 2 4 2 3" xfId="339"/>
    <cellStyle name="Normal 2 4 2 4" xfId="340"/>
    <cellStyle name="Normal 2 4 2 5" xfId="341"/>
    <cellStyle name="Normal 2 4 3" xfId="342"/>
    <cellStyle name="Normal 2 4 3 2" xfId="343"/>
    <cellStyle name="Normal 2 4 3 3" xfId="344"/>
    <cellStyle name="Normal 2 4 4" xfId="345"/>
    <cellStyle name="Normal 2 4 5" xfId="346"/>
    <cellStyle name="Normal 2 4 6" xfId="347"/>
    <cellStyle name="Normal 2 4 7" xfId="348"/>
    <cellStyle name="Normal 2 4 8" xfId="349"/>
    <cellStyle name="Normal 2 4 9" xfId="350"/>
    <cellStyle name="Normal 2 5" xfId="351"/>
    <cellStyle name="Normal 2 5 10" xfId="352"/>
    <cellStyle name="Normal 2 5 11" xfId="353"/>
    <cellStyle name="Normal 2 5 12" xfId="354"/>
    <cellStyle name="Normal 2 5 12 2" xfId="355"/>
    <cellStyle name="Normal 2 5 12 3" xfId="356"/>
    <cellStyle name="Normal 2 5 2" xfId="357"/>
    <cellStyle name="Normal 2 5 2 2" xfId="358"/>
    <cellStyle name="Normal 2 5 3" xfId="359"/>
    <cellStyle name="Normal 2 5 3 2" xfId="360"/>
    <cellStyle name="Normal 2 5 4" xfId="361"/>
    <cellStyle name="Normal 2 5 5" xfId="362"/>
    <cellStyle name="Normal 2 5 6" xfId="363"/>
    <cellStyle name="Normal 2 5 7" xfId="364"/>
    <cellStyle name="Normal 2 5 8" xfId="365"/>
    <cellStyle name="Normal 2 5 9" xfId="366"/>
    <cellStyle name="Normal 2 6" xfId="367"/>
    <cellStyle name="Normal 2 6 10" xfId="368"/>
    <cellStyle name="Normal 2 6 11" xfId="369"/>
    <cellStyle name="Normal 2 6 12" xfId="370"/>
    <cellStyle name="Normal 2 6 2" xfId="371"/>
    <cellStyle name="Normal 2 6 2 2" xfId="372"/>
    <cellStyle name="Normal 2 6 3" xfId="373"/>
    <cellStyle name="Normal 2 6 3 2" xfId="374"/>
    <cellStyle name="Normal 2 6 4" xfId="375"/>
    <cellStyle name="Normal 2 6 5" xfId="376"/>
    <cellStyle name="Normal 2 6 6" xfId="377"/>
    <cellStyle name="Normal 2 6 7" xfId="378"/>
    <cellStyle name="Normal 2 6 8" xfId="379"/>
    <cellStyle name="Normal 2 6 9" xfId="380"/>
    <cellStyle name="Normal 2 7" xfId="381"/>
    <cellStyle name="Normal 2 7 10" xfId="382"/>
    <cellStyle name="Normal 2 7 11" xfId="383"/>
    <cellStyle name="Normal 2 7 2" xfId="384"/>
    <cellStyle name="Normal 2 7 2 2" xfId="385"/>
    <cellStyle name="Normal 2 7 2 3" xfId="386"/>
    <cellStyle name="Normal 2 7 3" xfId="387"/>
    <cellStyle name="Normal 2 7 3 2" xfId="388"/>
    <cellStyle name="Normal 2 7 4" xfId="389"/>
    <cellStyle name="Normal 2 7 4 2" xfId="390"/>
    <cellStyle name="Normal 2 7 5" xfId="391"/>
    <cellStyle name="Normal 2 7 5 2" xfId="392"/>
    <cellStyle name="Normal 2 7 6" xfId="393"/>
    <cellStyle name="Normal 2 7 6 2" xfId="394"/>
    <cellStyle name="Normal 2 7 7" xfId="395"/>
    <cellStyle name="Normal 2 7 7 2" xfId="396"/>
    <cellStyle name="Normal 2 7 8" xfId="397"/>
    <cellStyle name="Normal 2 7 8 2" xfId="398"/>
    <cellStyle name="Normal 2 7 9" xfId="399"/>
    <cellStyle name="Normal 2 8" xfId="400"/>
    <cellStyle name="Normal 2 8 10" xfId="401"/>
    <cellStyle name="Normal 2 8 11" xfId="402"/>
    <cellStyle name="Normal 2 8 2" xfId="403"/>
    <cellStyle name="Normal 2 8 2 2" xfId="404"/>
    <cellStyle name="Normal 2 8 3" xfId="405"/>
    <cellStyle name="Normal 2 8 3 2" xfId="406"/>
    <cellStyle name="Normal 2 8 4" xfId="407"/>
    <cellStyle name="Normal 2 8 4 2" xfId="408"/>
    <cellStyle name="Normal 2 8 5" xfId="409"/>
    <cellStyle name="Normal 2 8 5 2" xfId="410"/>
    <cellStyle name="Normal 2 8 6" xfId="411"/>
    <cellStyle name="Normal 2 8 6 2" xfId="412"/>
    <cellStyle name="Normal 2 8 7" xfId="413"/>
    <cellStyle name="Normal 2 8 7 2" xfId="414"/>
    <cellStyle name="Normal 2 8 8" xfId="415"/>
    <cellStyle name="Normal 2 8 8 2" xfId="416"/>
    <cellStyle name="Normal 2 8 9" xfId="417"/>
    <cellStyle name="Normal 2 9" xfId="418"/>
    <cellStyle name="Normal 2 9 10" xfId="419"/>
    <cellStyle name="Normal 2 9 11" xfId="420"/>
    <cellStyle name="Normal 2 9 2" xfId="421"/>
    <cellStyle name="Normal 2 9 2 2" xfId="422"/>
    <cellStyle name="Normal 2 9 3" xfId="423"/>
    <cellStyle name="Normal 2 9 3 2" xfId="424"/>
    <cellStyle name="Normal 2 9 4" xfId="425"/>
    <cellStyle name="Normal 2 9 4 2" xfId="426"/>
    <cellStyle name="Normal 2 9 5" xfId="427"/>
    <cellStyle name="Normal 2 9 5 2" xfId="428"/>
    <cellStyle name="Normal 2 9 6" xfId="429"/>
    <cellStyle name="Normal 2 9 6 2" xfId="430"/>
    <cellStyle name="Normal 2 9 7" xfId="431"/>
    <cellStyle name="Normal 2 9 7 2" xfId="432"/>
    <cellStyle name="Normal 2 9 8" xfId="433"/>
    <cellStyle name="Normal 2 9 8 2" xfId="434"/>
    <cellStyle name="Normal 2 9 9" xfId="435"/>
    <cellStyle name="Normal 20" xfId="436"/>
    <cellStyle name="Normal 20 2" xfId="437"/>
    <cellStyle name="Normal 20 3" xfId="438"/>
    <cellStyle name="Normal 21" xfId="439"/>
    <cellStyle name="Normal 21 2" xfId="440"/>
    <cellStyle name="Normal 21 2 2" xfId="441"/>
    <cellStyle name="Normal 21 2 3" xfId="442"/>
    <cellStyle name="Normal 21 3" xfId="443"/>
    <cellStyle name="Normal 21 4" xfId="444"/>
    <cellStyle name="Normal 21 5" xfId="445"/>
    <cellStyle name="Normal 22" xfId="446"/>
    <cellStyle name="Normal 22 2" xfId="447"/>
    <cellStyle name="Normal 22 3" xfId="448"/>
    <cellStyle name="Normal 23" xfId="449"/>
    <cellStyle name="Normal 23 2" xfId="450"/>
    <cellStyle name="Normal 23 3" xfId="451"/>
    <cellStyle name="Normal 24" xfId="452"/>
    <cellStyle name="Normal 24 2" xfId="453"/>
    <cellStyle name="Normal 24 3" xfId="454"/>
    <cellStyle name="Normal 25" xfId="455"/>
    <cellStyle name="Normal 25 2" xfId="456"/>
    <cellStyle name="Normal 25 3" xfId="457"/>
    <cellStyle name="Normal 26" xfId="458"/>
    <cellStyle name="Normal 27" xfId="459"/>
    <cellStyle name="Normal 27 2" xfId="460"/>
    <cellStyle name="Normal 28" xfId="461"/>
    <cellStyle name="Normal 29" xfId="462"/>
    <cellStyle name="Normal 3" xfId="463"/>
    <cellStyle name="Normal 3 10" xfId="464"/>
    <cellStyle name="Normal 3 10 2" xfId="465"/>
    <cellStyle name="Normal 3 11" xfId="466"/>
    <cellStyle name="Normal 3 12" xfId="467"/>
    <cellStyle name="Normal 3 13" xfId="468"/>
    <cellStyle name="Normal 3 14" xfId="469"/>
    <cellStyle name="Normal 3 15" xfId="470"/>
    <cellStyle name="Normal 3 2" xfId="471"/>
    <cellStyle name="Normal 3 2 2" xfId="472"/>
    <cellStyle name="Normal 3 2 2 2" xfId="473"/>
    <cellStyle name="Normal 3 2 2 3" xfId="474"/>
    <cellStyle name="Normal 3 2 3" xfId="475"/>
    <cellStyle name="Normal 3 2 4" xfId="476"/>
    <cellStyle name="Normal 3 2 5" xfId="477"/>
    <cellStyle name="Normal 3 3" xfId="478"/>
    <cellStyle name="Normal 3 3 2" xfId="479"/>
    <cellStyle name="Normal 3 3 2 2" xfId="480"/>
    <cellStyle name="Normal 3 3 2 3" xfId="481"/>
    <cellStyle name="Normal 3 3 3" xfId="482"/>
    <cellStyle name="Normal 3 3 4" xfId="483"/>
    <cellStyle name="Normal 3 4" xfId="484"/>
    <cellStyle name="Normal 3 5" xfId="485"/>
    <cellStyle name="Normal 3 6" xfId="486"/>
    <cellStyle name="Normal 3 7" xfId="487"/>
    <cellStyle name="Normal 3 7 2" xfId="488"/>
    <cellStyle name="Normal 3 7 3" xfId="489"/>
    <cellStyle name="Normal 3 8" xfId="490"/>
    <cellStyle name="Normal 3 8 2" xfId="491"/>
    <cellStyle name="Normal 3 8 3" xfId="492"/>
    <cellStyle name="Normal 3 9" xfId="493"/>
    <cellStyle name="Normal 3 9 2" xfId="494"/>
    <cellStyle name="Normal 3 9 3" xfId="495"/>
    <cellStyle name="Normal 4" xfId="496"/>
    <cellStyle name="Normal 4 10" xfId="497"/>
    <cellStyle name="Normal 4 11" xfId="498"/>
    <cellStyle name="Normal 4 12" xfId="499"/>
    <cellStyle name="Normal 4 13" xfId="500"/>
    <cellStyle name="Normal 4 2" xfId="501"/>
    <cellStyle name="Normal 4 2 2" xfId="502"/>
    <cellStyle name="Normal 4 2 2 2" xfId="503"/>
    <cellStyle name="Normal 4 2 2 3" xfId="504"/>
    <cellStyle name="Normal 4 2 2 3 2" xfId="505"/>
    <cellStyle name="Normal 4 2 2 3 3" xfId="506"/>
    <cellStyle name="Normal 4 2 3" xfId="507"/>
    <cellStyle name="Normal 4 2 4" xfId="508"/>
    <cellStyle name="Normal 4 2 5" xfId="509"/>
    <cellStyle name="Normal 4 3" xfId="510"/>
    <cellStyle name="Normal 4 3 2" xfId="511"/>
    <cellStyle name="Normal 4 3 3" xfId="512"/>
    <cellStyle name="Normal 4 4" xfId="513"/>
    <cellStyle name="Normal 4 5" xfId="514"/>
    <cellStyle name="Normal 4 5 2" xfId="515"/>
    <cellStyle name="Normal 4 5 3" xfId="516"/>
    <cellStyle name="Normal 4 6" xfId="517"/>
    <cellStyle name="Normal 4 6 2" xfId="518"/>
    <cellStyle name="Normal 4 6 3" xfId="519"/>
    <cellStyle name="Normal 4 7" xfId="520"/>
    <cellStyle name="Normal 4 8" xfId="521"/>
    <cellStyle name="Normal 4 9" xfId="522"/>
    <cellStyle name="Normal 5" xfId="523"/>
    <cellStyle name="Normal 5 2" xfId="524"/>
    <cellStyle name="Normal 5 3" xfId="525"/>
    <cellStyle name="Normal 5 3 2" xfId="526"/>
    <cellStyle name="Normal 5 3 3" xfId="527"/>
    <cellStyle name="Normal 5 4" xfId="528"/>
    <cellStyle name="Normal 5 5" xfId="529"/>
    <cellStyle name="Normal 5 5 2" xfId="530"/>
    <cellStyle name="Normal 5 5 3" xfId="531"/>
    <cellStyle name="Normal 5 6" xfId="532"/>
    <cellStyle name="Normal 6" xfId="533"/>
    <cellStyle name="Normal 6 2" xfId="534"/>
    <cellStyle name="Normal 6 3" xfId="535"/>
    <cellStyle name="Normal 6 4" xfId="536"/>
    <cellStyle name="Normal 6 5" xfId="537"/>
    <cellStyle name="Normal 7" xfId="538"/>
    <cellStyle name="Normal 7 2" xfId="539"/>
    <cellStyle name="Normal 7 2 2" xfId="540"/>
    <cellStyle name="Normal 7 2 2 2" xfId="541"/>
    <cellStyle name="Normal 7 2 2 3" xfId="542"/>
    <cellStyle name="Normal 7 2 3" xfId="543"/>
    <cellStyle name="Normal 7 2 4" xfId="544"/>
    <cellStyle name="Normal 7 2 4 2" xfId="545"/>
    <cellStyle name="Normal 7 2 4 3" xfId="546"/>
    <cellStyle name="Normal 7 2 5" xfId="547"/>
    <cellStyle name="Normal 7 3" xfId="548"/>
    <cellStyle name="Normal 7 4" xfId="549"/>
    <cellStyle name="Normal 7 4 2" xfId="550"/>
    <cellStyle name="Normal 7 4 3" xfId="551"/>
    <cellStyle name="Normal 7 5" xfId="552"/>
    <cellStyle name="Normal 7 5 2" xfId="553"/>
    <cellStyle name="Normal 7 5 3" xfId="554"/>
    <cellStyle name="Normal 7 5 4" xfId="555"/>
    <cellStyle name="Normal 7 5 5" xfId="556"/>
    <cellStyle name="Normal 7 6" xfId="557"/>
    <cellStyle name="Normal 7 7" xfId="558"/>
    <cellStyle name="Normal 8" xfId="559"/>
    <cellStyle name="Normal 8 2" xfId="560"/>
    <cellStyle name="Normal 8 3" xfId="561"/>
    <cellStyle name="Normal 9" xfId="562"/>
    <cellStyle name="Normal 9 2" xfId="563"/>
    <cellStyle name="Normal 9 2 2" xfId="564"/>
    <cellStyle name="Normal 9 2 3" xfId="565"/>
    <cellStyle name="Normal 9 3" xfId="566"/>
    <cellStyle name="Normal 9 4" xfId="567"/>
    <cellStyle name="Normal 9 5" xfId="568"/>
    <cellStyle name="Normal 9 5 2" xfId="569"/>
    <cellStyle name="Normal 9 5 3" xfId="570"/>
    <cellStyle name="Normal 9 6" xfId="571"/>
    <cellStyle name="Normal 9 6 2" xfId="572"/>
    <cellStyle name="Normal 9 6 3" xfId="573"/>
    <cellStyle name="Normal_debt" xfId="574"/>
    <cellStyle name="Normal_lpform" xfId="575"/>
    <cellStyle name="Note" xfId="576"/>
    <cellStyle name="Output" xfId="577"/>
    <cellStyle name="Percent" xfId="578"/>
    <cellStyle name="Title" xfId="579"/>
    <cellStyle name="Total" xfId="580"/>
    <cellStyle name="Warning Text" xfId="581"/>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tabSelected="1" zoomScalePageLayoutView="0" workbookViewId="0" topLeftCell="A1">
      <selection activeCell="A2" sqref="A2:A3"/>
    </sheetView>
  </sheetViews>
  <sheetFormatPr defaultColWidth="8.796875" defaultRowHeight="15.75"/>
  <cols>
    <col min="1" max="1" width="81.59765625" style="68" customWidth="1"/>
    <col min="2" max="16384" width="8.796875" style="68" customWidth="1"/>
  </cols>
  <sheetData>
    <row r="1" ht="15.75">
      <c r="A1" s="295" t="s">
        <v>809</v>
      </c>
    </row>
    <row r="3" ht="34.5" customHeight="1">
      <c r="A3" s="677" t="s">
        <v>976</v>
      </c>
    </row>
    <row r="4" ht="15.75">
      <c r="A4" s="297"/>
    </row>
    <row r="5" ht="52.5" customHeight="1">
      <c r="A5" s="294" t="s">
        <v>264</v>
      </c>
    </row>
    <row r="6" ht="15.75">
      <c r="A6" s="294"/>
    </row>
    <row r="7" ht="34.5" customHeight="1">
      <c r="A7" s="294" t="s">
        <v>729</v>
      </c>
    </row>
    <row r="8" ht="15.75">
      <c r="A8" s="294"/>
    </row>
    <row r="9" ht="15.75">
      <c r="A9" s="294" t="s">
        <v>146</v>
      </c>
    </row>
    <row r="12" ht="15.75">
      <c r="A12" s="295" t="s">
        <v>187</v>
      </c>
    </row>
    <row r="13" ht="15.75">
      <c r="A13" s="295"/>
    </row>
    <row r="14" ht="18.75" customHeight="1">
      <c r="A14" s="297" t="s">
        <v>189</v>
      </c>
    </row>
    <row r="16" ht="39" customHeight="1">
      <c r="A16" s="298" t="s">
        <v>291</v>
      </c>
    </row>
    <row r="17" ht="9.75" customHeight="1">
      <c r="A17" s="298"/>
    </row>
    <row r="20" ht="15.75">
      <c r="A20" s="295" t="s">
        <v>147</v>
      </c>
    </row>
    <row r="22" ht="34.5" customHeight="1">
      <c r="A22" s="294" t="s">
        <v>190</v>
      </c>
    </row>
    <row r="23" ht="9.75" customHeight="1">
      <c r="A23" s="294"/>
    </row>
    <row r="24" ht="15.75">
      <c r="A24" s="299" t="s">
        <v>148</v>
      </c>
    </row>
    <row r="25" ht="15.75">
      <c r="A25" s="294"/>
    </row>
    <row r="26" ht="17.25" customHeight="1">
      <c r="A26" s="300" t="s">
        <v>149</v>
      </c>
    </row>
    <row r="27" ht="17.25" customHeight="1">
      <c r="A27" s="301"/>
    </row>
    <row r="28" ht="87.75" customHeight="1">
      <c r="A28" s="302" t="s">
        <v>168</v>
      </c>
    </row>
    <row r="30" ht="15.75">
      <c r="A30" s="303" t="s">
        <v>150</v>
      </c>
    </row>
    <row r="32" ht="15.75">
      <c r="A32" s="108" t="s">
        <v>188</v>
      </c>
    </row>
    <row r="34" ht="15.75">
      <c r="A34" s="294" t="s">
        <v>151</v>
      </c>
    </row>
    <row r="37" ht="15.75">
      <c r="A37" s="295" t="s">
        <v>152</v>
      </c>
    </row>
    <row r="39" ht="68.25" customHeight="1">
      <c r="A39" s="294" t="s">
        <v>770</v>
      </c>
    </row>
    <row r="40" ht="32.25" customHeight="1">
      <c r="A40" s="667" t="s">
        <v>730</v>
      </c>
    </row>
    <row r="41" ht="51.75" customHeight="1">
      <c r="A41" s="668" t="s">
        <v>731</v>
      </c>
    </row>
    <row r="42" ht="88.5" customHeight="1">
      <c r="A42" s="668" t="s">
        <v>733</v>
      </c>
    </row>
    <row r="43" ht="10.5" customHeight="1">
      <c r="A43" s="294"/>
    </row>
    <row r="44" ht="65.25" customHeight="1">
      <c r="A44" s="294" t="s">
        <v>633</v>
      </c>
    </row>
    <row r="45" ht="59.25" customHeight="1">
      <c r="A45" s="294" t="s">
        <v>153</v>
      </c>
    </row>
    <row r="46" ht="84.75" customHeight="1">
      <c r="A46" s="294" t="s">
        <v>224</v>
      </c>
    </row>
    <row r="47" ht="12" customHeight="1">
      <c r="A47" s="294"/>
    </row>
    <row r="48" ht="67.5" customHeight="1">
      <c r="A48" s="669" t="s">
        <v>734</v>
      </c>
    </row>
    <row r="49" ht="69.75" customHeight="1">
      <c r="A49" s="322" t="s">
        <v>519</v>
      </c>
    </row>
    <row r="50" ht="54" customHeight="1">
      <c r="A50" s="670" t="s">
        <v>735</v>
      </c>
    </row>
    <row r="51" ht="12" customHeight="1">
      <c r="A51" s="294"/>
    </row>
    <row r="52" ht="68.25" customHeight="1">
      <c r="A52" s="294" t="s">
        <v>520</v>
      </c>
    </row>
    <row r="53" ht="74.25" customHeight="1">
      <c r="A53" s="667" t="s">
        <v>774</v>
      </c>
    </row>
    <row r="54" ht="45" customHeight="1">
      <c r="A54" s="294" t="s">
        <v>736</v>
      </c>
    </row>
    <row r="55" ht="72" customHeight="1">
      <c r="A55" s="667" t="s">
        <v>797</v>
      </c>
    </row>
    <row r="56" ht="15.75" customHeight="1"/>
    <row r="57" ht="60" customHeight="1">
      <c r="A57" s="667" t="s">
        <v>775</v>
      </c>
    </row>
    <row r="58" ht="120" customHeight="1">
      <c r="A58" s="667" t="s">
        <v>777</v>
      </c>
    </row>
    <row r="59" ht="41.25" customHeight="1">
      <c r="A59" s="667" t="s">
        <v>776</v>
      </c>
    </row>
    <row r="60" ht="15.75">
      <c r="A60" s="294"/>
    </row>
    <row r="61" ht="68.25" customHeight="1">
      <c r="A61" s="667" t="s">
        <v>737</v>
      </c>
    </row>
    <row r="62" ht="15.75">
      <c r="A62" s="294"/>
    </row>
    <row r="63" ht="40.5" customHeight="1">
      <c r="A63" s="294" t="s">
        <v>521</v>
      </c>
    </row>
    <row r="64" ht="34.5" customHeight="1">
      <c r="A64" s="294" t="s">
        <v>528</v>
      </c>
    </row>
    <row r="65" ht="77.25" customHeight="1">
      <c r="A65" s="294" t="s">
        <v>529</v>
      </c>
    </row>
    <row r="66" ht="41.25" customHeight="1">
      <c r="A66" s="294" t="s">
        <v>526</v>
      </c>
    </row>
    <row r="67" ht="41.25" customHeight="1">
      <c r="A67" s="294" t="s">
        <v>527</v>
      </c>
    </row>
    <row r="68" ht="9" customHeight="1">
      <c r="A68" s="294"/>
    </row>
    <row r="69" ht="58.5" customHeight="1">
      <c r="A69" s="294" t="s">
        <v>522</v>
      </c>
    </row>
    <row r="70" ht="9.75" customHeight="1"/>
    <row r="71" s="294" customFormat="1" ht="69" customHeight="1">
      <c r="A71" s="294" t="s">
        <v>523</v>
      </c>
    </row>
    <row r="72" ht="14.25" customHeight="1"/>
    <row r="73" ht="121.5" customHeight="1">
      <c r="A73" s="667" t="s">
        <v>738</v>
      </c>
    </row>
    <row r="74" ht="12" customHeight="1">
      <c r="A74" s="667"/>
    </row>
    <row r="75" ht="70.5" customHeight="1">
      <c r="A75" s="294" t="s">
        <v>739</v>
      </c>
    </row>
    <row r="76" ht="60.75" customHeight="1">
      <c r="A76" s="667" t="s">
        <v>740</v>
      </c>
    </row>
    <row r="77" ht="90.75" customHeight="1">
      <c r="A77" s="481" t="s">
        <v>741</v>
      </c>
    </row>
    <row r="78" ht="60.75" customHeight="1">
      <c r="A78" s="481" t="s">
        <v>742</v>
      </c>
    </row>
    <row r="79" ht="60.75" customHeight="1">
      <c r="A79" s="481" t="s">
        <v>743</v>
      </c>
    </row>
    <row r="80" ht="60" customHeight="1">
      <c r="A80" s="294" t="s">
        <v>746</v>
      </c>
    </row>
    <row r="81" ht="117.75" customHeight="1">
      <c r="A81" s="294" t="s">
        <v>744</v>
      </c>
    </row>
    <row r="82" ht="59.25" customHeight="1">
      <c r="A82" s="294" t="s">
        <v>745</v>
      </c>
    </row>
    <row r="83" ht="84.75" customHeight="1">
      <c r="A83" s="294" t="s">
        <v>747</v>
      </c>
    </row>
    <row r="84" ht="102.75" customHeight="1">
      <c r="A84" s="294" t="s">
        <v>748</v>
      </c>
    </row>
    <row r="85" ht="102.75" customHeight="1">
      <c r="A85" s="304" t="s">
        <v>749</v>
      </c>
    </row>
    <row r="86" ht="54" customHeight="1">
      <c r="A86" s="296" t="s">
        <v>750</v>
      </c>
    </row>
    <row r="87" ht="115.5" customHeight="1">
      <c r="A87" s="294" t="s">
        <v>771</v>
      </c>
    </row>
    <row r="88" ht="78" customHeight="1">
      <c r="A88" s="304" t="s">
        <v>751</v>
      </c>
    </row>
    <row r="89" ht="124.5" customHeight="1">
      <c r="A89" s="304" t="s">
        <v>772</v>
      </c>
    </row>
    <row r="90" ht="138" customHeight="1">
      <c r="A90" s="294" t="s">
        <v>752</v>
      </c>
    </row>
    <row r="91" ht="147" customHeight="1">
      <c r="A91" s="294" t="s">
        <v>753</v>
      </c>
    </row>
    <row r="92" ht="101.25" customHeight="1">
      <c r="A92" s="294" t="s">
        <v>754</v>
      </c>
    </row>
    <row r="94" ht="102.75" customHeight="1">
      <c r="A94" s="294" t="s">
        <v>755</v>
      </c>
    </row>
    <row r="95" ht="89.25" customHeight="1">
      <c r="A95" s="304" t="s">
        <v>756</v>
      </c>
    </row>
    <row r="96" ht="57" customHeight="1">
      <c r="A96" s="304" t="s">
        <v>757</v>
      </c>
    </row>
    <row r="97" ht="20.25" customHeight="1">
      <c r="A97" s="294" t="s">
        <v>758</v>
      </c>
    </row>
    <row r="99" ht="53.25" customHeight="1">
      <c r="A99" s="294" t="s">
        <v>759</v>
      </c>
    </row>
    <row r="100" ht="21" customHeight="1">
      <c r="A100" s="294" t="s">
        <v>760</v>
      </c>
    </row>
    <row r="101" ht="39.75" customHeight="1">
      <c r="A101" s="481" t="s">
        <v>761</v>
      </c>
    </row>
    <row r="102" ht="103.5" customHeight="1">
      <c r="A102" s="481" t="s">
        <v>762</v>
      </c>
    </row>
    <row r="103" ht="114" customHeight="1">
      <c r="A103" s="481" t="s">
        <v>763</v>
      </c>
    </row>
    <row r="104" ht="74.25" customHeight="1">
      <c r="A104" s="671" t="s">
        <v>765</v>
      </c>
    </row>
    <row r="105" ht="51.75" customHeight="1">
      <c r="A105" s="294" t="s">
        <v>764</v>
      </c>
    </row>
    <row r="106" ht="14.25" customHeight="1"/>
    <row r="107" ht="69.75" customHeight="1">
      <c r="A107" s="294" t="s">
        <v>766</v>
      </c>
    </row>
    <row r="109" ht="54" customHeight="1">
      <c r="A109" s="481" t="s">
        <v>767</v>
      </c>
    </row>
    <row r="110" ht="85.5" customHeight="1">
      <c r="A110" s="481" t="s">
        <v>768</v>
      </c>
    </row>
    <row r="111" ht="99" customHeight="1">
      <c r="A111" s="481" t="s">
        <v>769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W74" sqref="W74"/>
    </sheetView>
  </sheetViews>
  <sheetFormatPr defaultColWidth="8.796875" defaultRowHeight="15.75"/>
  <cols>
    <col min="1" max="1" width="8.796875" style="155" customWidth="1"/>
    <col min="2" max="2" width="18.69921875" style="155" customWidth="1"/>
    <col min="3" max="3" width="8.796875" style="155" customWidth="1"/>
    <col min="4" max="4" width="7.8984375" style="155" customWidth="1"/>
    <col min="5" max="5" width="8.796875" style="155" customWidth="1"/>
    <col min="6" max="6" width="16.19921875" style="155" customWidth="1"/>
    <col min="7" max="16384" width="8.796875" style="155" customWidth="1"/>
  </cols>
  <sheetData>
    <row r="1" spans="2:12" ht="15.75">
      <c r="B1" s="153">
        <f>inputPrYr!$D$3</f>
        <v>0</v>
      </c>
      <c r="C1" s="154"/>
      <c r="D1" s="154"/>
      <c r="E1" s="154"/>
      <c r="F1" s="154"/>
      <c r="G1" s="154"/>
      <c r="H1" s="154"/>
      <c r="I1" s="154"/>
      <c r="J1" s="3"/>
      <c r="K1" s="3"/>
      <c r="L1" s="4">
        <f>inputPrYr!D6</f>
        <v>0</v>
      </c>
    </row>
    <row r="2" spans="2:12" ht="15.75">
      <c r="B2" s="153">
        <f>inputPrYr!$D$4</f>
        <v>0</v>
      </c>
      <c r="C2" s="154"/>
      <c r="D2" s="154"/>
      <c r="E2" s="154"/>
      <c r="F2" s="154"/>
      <c r="G2" s="154"/>
      <c r="H2" s="154"/>
      <c r="I2" s="154"/>
      <c r="J2" s="3"/>
      <c r="K2" s="3"/>
      <c r="L2" s="41"/>
    </row>
    <row r="3" spans="2:12" ht="15.75">
      <c r="B3" s="156" t="s">
        <v>70</v>
      </c>
      <c r="C3" s="157"/>
      <c r="D3" s="157"/>
      <c r="E3" s="132"/>
      <c r="F3" s="157"/>
      <c r="G3" s="157"/>
      <c r="H3" s="157"/>
      <c r="I3" s="157"/>
      <c r="J3" s="157"/>
      <c r="K3" s="157"/>
      <c r="L3" s="157"/>
    </row>
    <row r="4" spans="2:12" ht="15.75">
      <c r="B4" s="154"/>
      <c r="C4" s="154"/>
      <c r="D4" s="154"/>
      <c r="E4" s="154"/>
      <c r="F4" s="154"/>
      <c r="G4" s="154"/>
      <c r="H4" s="154"/>
      <c r="I4" s="154"/>
      <c r="J4" s="154"/>
      <c r="K4" s="154"/>
      <c r="L4" s="154"/>
    </row>
    <row r="5" spans="2:12" ht="15.75">
      <c r="B5" s="158" t="s">
        <v>706</v>
      </c>
      <c r="C5" s="158" t="s">
        <v>50</v>
      </c>
      <c r="D5" s="158" t="s">
        <v>57</v>
      </c>
      <c r="E5" s="158"/>
      <c r="F5" s="158" t="s">
        <v>4</v>
      </c>
      <c r="G5" s="159"/>
      <c r="H5" s="160"/>
      <c r="I5" s="159" t="s">
        <v>51</v>
      </c>
      <c r="J5" s="160"/>
      <c r="K5" s="159" t="s">
        <v>51</v>
      </c>
      <c r="L5" s="160"/>
    </row>
    <row r="6" spans="2:12" ht="15.75">
      <c r="B6" s="161" t="s">
        <v>52</v>
      </c>
      <c r="C6" s="161" t="s">
        <v>52</v>
      </c>
      <c r="D6" s="161" t="s">
        <v>3</v>
      </c>
      <c r="E6" s="161" t="s">
        <v>4</v>
      </c>
      <c r="F6" s="161" t="s">
        <v>107</v>
      </c>
      <c r="G6" s="162" t="s">
        <v>53</v>
      </c>
      <c r="H6" s="163"/>
      <c r="I6" s="162">
        <f>L1-1</f>
        <v>-1</v>
      </c>
      <c r="J6" s="163"/>
      <c r="K6" s="162">
        <f>L1</f>
        <v>0</v>
      </c>
      <c r="L6" s="163"/>
    </row>
    <row r="7" spans="2:12" ht="15.75">
      <c r="B7" s="164" t="s">
        <v>707</v>
      </c>
      <c r="C7" s="164" t="s">
        <v>54</v>
      </c>
      <c r="D7" s="164" t="s">
        <v>25</v>
      </c>
      <c r="E7" s="164" t="s">
        <v>55</v>
      </c>
      <c r="F7" s="165" t="str">
        <f>CONCATENATE("Jan 1,",L1-1,"")</f>
        <v>Jan 1,-1</v>
      </c>
      <c r="G7" s="166" t="s">
        <v>57</v>
      </c>
      <c r="H7" s="166" t="s">
        <v>58</v>
      </c>
      <c r="I7" s="166" t="s">
        <v>57</v>
      </c>
      <c r="J7" s="166" t="s">
        <v>58</v>
      </c>
      <c r="K7" s="166" t="s">
        <v>57</v>
      </c>
      <c r="L7" s="166" t="s">
        <v>58</v>
      </c>
    </row>
    <row r="8" spans="2:12" ht="15.75">
      <c r="B8" s="167" t="s">
        <v>47</v>
      </c>
      <c r="C8" s="168"/>
      <c r="D8" s="167"/>
      <c r="E8" s="167"/>
      <c r="F8" s="167"/>
      <c r="G8" s="169"/>
      <c r="H8" s="169"/>
      <c r="I8" s="167"/>
      <c r="J8" s="167"/>
      <c r="K8" s="167"/>
      <c r="L8" s="170"/>
    </row>
    <row r="9" spans="2:12" ht="15.75">
      <c r="B9" s="171"/>
      <c r="C9" s="333"/>
      <c r="D9" s="173"/>
      <c r="E9" s="23"/>
      <c r="F9" s="174"/>
      <c r="G9" s="175"/>
      <c r="H9" s="175"/>
      <c r="I9" s="174"/>
      <c r="J9" s="174"/>
      <c r="K9" s="174"/>
      <c r="L9" s="174"/>
    </row>
    <row r="10" spans="2:12" ht="15.75">
      <c r="B10" s="171"/>
      <c r="C10" s="333"/>
      <c r="D10" s="173"/>
      <c r="E10" s="23"/>
      <c r="F10" s="174"/>
      <c r="G10" s="175"/>
      <c r="H10" s="175"/>
      <c r="I10" s="174"/>
      <c r="J10" s="174"/>
      <c r="K10" s="174"/>
      <c r="L10" s="174"/>
    </row>
    <row r="11" spans="2:12" ht="15.75">
      <c r="B11" s="61" t="s">
        <v>125</v>
      </c>
      <c r="C11" s="176"/>
      <c r="D11" s="177"/>
      <c r="E11" s="21"/>
      <c r="F11" s="145">
        <f>SUM(F9:F10)</f>
        <v>0</v>
      </c>
      <c r="G11" s="178"/>
      <c r="H11" s="178"/>
      <c r="I11" s="145">
        <f>SUM(I9:I10)</f>
        <v>0</v>
      </c>
      <c r="J11" s="145">
        <f>SUM(J9:J10)</f>
        <v>0</v>
      </c>
      <c r="K11" s="145">
        <f>SUM(K9:K10)</f>
        <v>0</v>
      </c>
      <c r="L11" s="145">
        <f>SUM(L9:L10)</f>
        <v>0</v>
      </c>
    </row>
    <row r="12" spans="2:12" ht="15.75">
      <c r="B12" s="61" t="s">
        <v>17</v>
      </c>
      <c r="C12" s="176"/>
      <c r="D12" s="177"/>
      <c r="E12" s="21"/>
      <c r="F12" s="72"/>
      <c r="G12" s="178"/>
      <c r="H12" s="178"/>
      <c r="I12" s="72"/>
      <c r="J12" s="72"/>
      <c r="K12" s="72"/>
      <c r="L12" s="72"/>
    </row>
    <row r="13" spans="2:12" ht="15.75">
      <c r="B13" s="171"/>
      <c r="C13" s="333"/>
      <c r="D13" s="173"/>
      <c r="E13" s="23"/>
      <c r="F13" s="174"/>
      <c r="G13" s="175"/>
      <c r="H13" s="175"/>
      <c r="I13" s="174"/>
      <c r="J13" s="174"/>
      <c r="K13" s="174"/>
      <c r="L13" s="174"/>
    </row>
    <row r="14" spans="2:12" ht="15.75">
      <c r="B14" s="171"/>
      <c r="C14" s="333"/>
      <c r="D14" s="173"/>
      <c r="E14" s="23"/>
      <c r="F14" s="174"/>
      <c r="G14" s="175"/>
      <c r="H14" s="175"/>
      <c r="I14" s="174"/>
      <c r="J14" s="174"/>
      <c r="K14" s="174"/>
      <c r="L14" s="174"/>
    </row>
    <row r="15" spans="2:12" ht="15.75">
      <c r="B15" s="61" t="s">
        <v>126</v>
      </c>
      <c r="C15" s="176"/>
      <c r="D15" s="177"/>
      <c r="E15" s="21"/>
      <c r="F15" s="145">
        <f>SUM(F13:F14)</f>
        <v>0</v>
      </c>
      <c r="G15" s="178"/>
      <c r="H15" s="178"/>
      <c r="I15" s="145">
        <f>SUM(I13:I14)</f>
        <v>0</v>
      </c>
      <c r="J15" s="145">
        <f>SUM(J13:J14)</f>
        <v>0</v>
      </c>
      <c r="K15" s="145">
        <f>SUM(K13:K14)</f>
        <v>0</v>
      </c>
      <c r="L15" s="145">
        <f>SUM(L13:L14)</f>
        <v>0</v>
      </c>
    </row>
    <row r="16" spans="2:12" ht="15.75">
      <c r="B16" s="179" t="s">
        <v>708</v>
      </c>
      <c r="C16" s="624"/>
      <c r="D16" s="625"/>
      <c r="E16" s="626"/>
      <c r="F16" s="181">
        <f>SUM(F11+F15)</f>
        <v>0</v>
      </c>
      <c r="G16" s="624"/>
      <c r="H16" s="627"/>
      <c r="I16" s="181">
        <f>SUM(I11+I15)</f>
        <v>0</v>
      </c>
      <c r="J16" s="181">
        <f>SUM(J11+J15)</f>
        <v>0</v>
      </c>
      <c r="K16" s="181">
        <f>SUM(K11+K15)</f>
        <v>0</v>
      </c>
      <c r="L16" s="181">
        <f>SUM(L11+L15)</f>
        <v>0</v>
      </c>
    </row>
    <row r="17" spans="2:25" ht="15.75">
      <c r="B17" s="3"/>
      <c r="C17" s="3"/>
      <c r="D17" s="8"/>
      <c r="E17" s="8"/>
      <c r="F17" s="8"/>
      <c r="G17" s="8"/>
      <c r="H17" s="8"/>
      <c r="I17" s="8"/>
      <c r="J17" s="8"/>
      <c r="K17" s="8"/>
      <c r="L17" s="8"/>
      <c r="M17" s="68"/>
      <c r="N17" s="68"/>
      <c r="O17" s="68"/>
      <c r="P17" s="68"/>
      <c r="Q17" s="68"/>
      <c r="R17" s="68"/>
      <c r="S17" s="68"/>
      <c r="T17" s="68"/>
      <c r="U17" s="68"/>
      <c r="V17" s="68"/>
      <c r="W17" s="68"/>
      <c r="X17" s="68"/>
      <c r="Y17" s="68"/>
    </row>
    <row r="18" spans="2:12" s="184" customFormat="1" ht="15.75">
      <c r="B18" s="885" t="s">
        <v>69</v>
      </c>
      <c r="C18" s="839"/>
      <c r="D18" s="839"/>
      <c r="E18" s="839"/>
      <c r="F18" s="839"/>
      <c r="G18" s="839"/>
      <c r="H18" s="839"/>
      <c r="I18" s="839"/>
      <c r="J18" s="182"/>
      <c r="K18" s="182"/>
      <c r="L18" s="183"/>
    </row>
    <row r="19" spans="2:12" s="184" customFormat="1" ht="15.75">
      <c r="B19" s="8"/>
      <c r="C19" s="185"/>
      <c r="D19" s="185"/>
      <c r="E19" s="185"/>
      <c r="F19" s="185"/>
      <c r="G19" s="185"/>
      <c r="H19" s="185"/>
      <c r="I19" s="185"/>
      <c r="J19" s="186"/>
      <c r="K19" s="186"/>
      <c r="L19" s="183"/>
    </row>
    <row r="20" spans="2:12" s="184" customFormat="1" ht="15.75">
      <c r="B20" s="142"/>
      <c r="C20" s="142"/>
      <c r="D20" s="158" t="s">
        <v>56</v>
      </c>
      <c r="E20" s="142"/>
      <c r="F20" s="158" t="s">
        <v>237</v>
      </c>
      <c r="G20" s="142"/>
      <c r="H20" s="142"/>
      <c r="I20" s="142"/>
      <c r="J20" s="187"/>
      <c r="K20" s="188"/>
      <c r="L20" s="183"/>
    </row>
    <row r="21" spans="2:12" s="184" customFormat="1" ht="15.75">
      <c r="B21" s="189"/>
      <c r="C21" s="161"/>
      <c r="D21" s="161" t="s">
        <v>52</v>
      </c>
      <c r="E21" s="161" t="s">
        <v>57</v>
      </c>
      <c r="F21" s="161" t="s">
        <v>4</v>
      </c>
      <c r="G21" s="161" t="s">
        <v>58</v>
      </c>
      <c r="H21" s="161" t="s">
        <v>59</v>
      </c>
      <c r="I21" s="161" t="s">
        <v>59</v>
      </c>
      <c r="J21" s="183"/>
      <c r="K21" s="183"/>
      <c r="L21" s="183"/>
    </row>
    <row r="22" spans="2:12" s="184" customFormat="1" ht="15.75">
      <c r="B22" s="161" t="s">
        <v>709</v>
      </c>
      <c r="C22" s="161" t="s">
        <v>60</v>
      </c>
      <c r="D22" s="161" t="s">
        <v>61</v>
      </c>
      <c r="E22" s="161" t="s">
        <v>3</v>
      </c>
      <c r="F22" s="161" t="s">
        <v>62</v>
      </c>
      <c r="G22" s="161" t="s">
        <v>100</v>
      </c>
      <c r="H22" s="161" t="s">
        <v>63</v>
      </c>
      <c r="I22" s="161" t="s">
        <v>63</v>
      </c>
      <c r="J22" s="183"/>
      <c r="K22" s="183"/>
      <c r="L22" s="183"/>
    </row>
    <row r="23" spans="2:12" s="184" customFormat="1" ht="15.75">
      <c r="B23" s="164" t="s">
        <v>710</v>
      </c>
      <c r="C23" s="164" t="s">
        <v>50</v>
      </c>
      <c r="D23" s="190" t="s">
        <v>64</v>
      </c>
      <c r="E23" s="164" t="s">
        <v>25</v>
      </c>
      <c r="F23" s="190" t="s">
        <v>108</v>
      </c>
      <c r="G23" s="165" t="str">
        <f>CONCATENATE("Jan 1,",L1-1,"")</f>
        <v>Jan 1,-1</v>
      </c>
      <c r="H23" s="164">
        <f>L1-1</f>
        <v>-1</v>
      </c>
      <c r="I23" s="164">
        <f>L1</f>
        <v>0</v>
      </c>
      <c r="J23" s="183"/>
      <c r="K23" s="183"/>
      <c r="L23" s="183"/>
    </row>
    <row r="24" spans="2:12" s="184" customFormat="1" ht="15.75">
      <c r="B24" s="171"/>
      <c r="C24" s="172"/>
      <c r="D24" s="191"/>
      <c r="E24" s="173"/>
      <c r="F24" s="23"/>
      <c r="G24" s="23"/>
      <c r="H24" s="23"/>
      <c r="I24" s="23"/>
      <c r="J24" s="183"/>
      <c r="K24" s="183"/>
      <c r="L24" s="183"/>
    </row>
    <row r="25" spans="2:12" s="184" customFormat="1" ht="15.75">
      <c r="B25" s="171"/>
      <c r="C25" s="172"/>
      <c r="D25" s="191"/>
      <c r="E25" s="173"/>
      <c r="F25" s="23"/>
      <c r="G25" s="23"/>
      <c r="H25" s="23"/>
      <c r="I25" s="23"/>
      <c r="J25" s="183"/>
      <c r="K25" s="183"/>
      <c r="L25" s="183"/>
    </row>
    <row r="26" spans="2:12" s="184" customFormat="1" ht="15.75">
      <c r="B26" s="171"/>
      <c r="C26" s="172"/>
      <c r="D26" s="191"/>
      <c r="E26" s="173"/>
      <c r="F26" s="23"/>
      <c r="G26" s="23"/>
      <c r="H26" s="23"/>
      <c r="I26" s="23"/>
      <c r="J26" s="183"/>
      <c r="K26" s="183"/>
      <c r="L26" s="183"/>
    </row>
    <row r="27" spans="2:12" s="184" customFormat="1" ht="15.75">
      <c r="B27" s="171"/>
      <c r="C27" s="172"/>
      <c r="D27" s="191"/>
      <c r="E27" s="173"/>
      <c r="F27" s="23"/>
      <c r="G27" s="23"/>
      <c r="H27" s="23"/>
      <c r="I27" s="23"/>
      <c r="J27" s="183"/>
      <c r="K27" s="183"/>
      <c r="L27" s="183"/>
    </row>
    <row r="28" spans="2:12" s="184" customFormat="1" ht="15.75">
      <c r="B28" s="171"/>
      <c r="C28" s="172"/>
      <c r="D28" s="191"/>
      <c r="E28" s="173"/>
      <c r="F28" s="23"/>
      <c r="G28" s="23"/>
      <c r="H28" s="23"/>
      <c r="I28" s="23"/>
      <c r="J28" s="183"/>
      <c r="K28" s="183"/>
      <c r="L28" s="183"/>
    </row>
    <row r="29" spans="2:12" s="184" customFormat="1" ht="15.75">
      <c r="B29" s="171"/>
      <c r="C29" s="172"/>
      <c r="D29" s="191"/>
      <c r="E29" s="173"/>
      <c r="F29" s="23"/>
      <c r="G29" s="23"/>
      <c r="H29" s="23"/>
      <c r="I29" s="23"/>
      <c r="J29" s="183"/>
      <c r="K29" s="183"/>
      <c r="L29" s="183"/>
    </row>
    <row r="30" spans="2:12" s="184" customFormat="1" ht="15.75">
      <c r="B30" s="171"/>
      <c r="C30" s="172"/>
      <c r="D30" s="191"/>
      <c r="E30" s="173"/>
      <c r="F30" s="23"/>
      <c r="G30" s="23"/>
      <c r="H30" s="23"/>
      <c r="I30" s="23"/>
      <c r="J30" s="183"/>
      <c r="K30" s="183"/>
      <c r="L30" s="183"/>
    </row>
    <row r="31" spans="2:12" s="184" customFormat="1" ht="15.75">
      <c r="B31" s="171"/>
      <c r="C31" s="172"/>
      <c r="D31" s="191"/>
      <c r="E31" s="173"/>
      <c r="F31" s="23"/>
      <c r="G31" s="23"/>
      <c r="H31" s="23"/>
      <c r="I31" s="23"/>
      <c r="J31" s="183"/>
      <c r="K31" s="183"/>
      <c r="L31" s="183"/>
    </row>
    <row r="32" spans="2:12" s="184" customFormat="1" ht="15.75">
      <c r="B32" s="171"/>
      <c r="C32" s="172"/>
      <c r="D32" s="191"/>
      <c r="E32" s="173"/>
      <c r="F32" s="23"/>
      <c r="G32" s="23"/>
      <c r="H32" s="23"/>
      <c r="I32" s="23"/>
      <c r="J32" s="183"/>
      <c r="K32" s="183"/>
      <c r="L32" s="183"/>
    </row>
    <row r="33" spans="2:12" s="184" customFormat="1" ht="15.75">
      <c r="B33" s="171"/>
      <c r="C33" s="172"/>
      <c r="D33" s="191"/>
      <c r="E33" s="173"/>
      <c r="F33" s="23"/>
      <c r="G33" s="23"/>
      <c r="H33" s="23"/>
      <c r="I33" s="23"/>
      <c r="J33" s="183"/>
      <c r="K33" s="183"/>
      <c r="L33" s="183"/>
    </row>
    <row r="34" spans="2:12" s="184" customFormat="1" ht="15.75">
      <c r="B34" s="171"/>
      <c r="C34" s="172"/>
      <c r="D34" s="191"/>
      <c r="E34" s="173"/>
      <c r="F34" s="23"/>
      <c r="G34" s="23"/>
      <c r="H34" s="23"/>
      <c r="I34" s="23"/>
      <c r="J34" s="183"/>
      <c r="K34" s="183"/>
      <c r="L34" s="183"/>
    </row>
    <row r="35" spans="2:12" s="184" customFormat="1" ht="15.75">
      <c r="B35" s="171"/>
      <c r="C35" s="172"/>
      <c r="D35" s="191"/>
      <c r="E35" s="173"/>
      <c r="F35" s="23"/>
      <c r="G35" s="23"/>
      <c r="H35" s="23"/>
      <c r="I35" s="23"/>
      <c r="J35" s="183"/>
      <c r="K35" s="183"/>
      <c r="L35" s="183"/>
    </row>
    <row r="36" spans="2:12" ht="15.75">
      <c r="B36" s="629"/>
      <c r="C36" s="180"/>
      <c r="D36" s="180"/>
      <c r="E36" s="192"/>
      <c r="F36" s="628" t="s">
        <v>237</v>
      </c>
      <c r="G36" s="181">
        <f>SUM(G24:G35)</f>
        <v>0</v>
      </c>
      <c r="H36" s="181">
        <f>SUM(H24:H35)</f>
        <v>0</v>
      </c>
      <c r="I36" s="181">
        <f>SUM(I24:I35)</f>
        <v>0</v>
      </c>
      <c r="J36" s="154"/>
      <c r="K36" s="154"/>
      <c r="L36" s="193"/>
    </row>
    <row r="37" spans="2:12" ht="15.75">
      <c r="B37" s="154"/>
      <c r="C37" s="154"/>
      <c r="D37" s="154"/>
      <c r="E37" s="154"/>
      <c r="F37" s="154"/>
      <c r="G37" s="154"/>
      <c r="H37" s="154"/>
      <c r="I37" s="154"/>
      <c r="J37" s="154"/>
      <c r="K37" s="154"/>
      <c r="L37" s="154"/>
    </row>
    <row r="38" spans="2:12" ht="15.75">
      <c r="B38" s="194" t="s">
        <v>208</v>
      </c>
      <c r="C38" s="194"/>
      <c r="D38" s="194"/>
      <c r="E38" s="194"/>
      <c r="F38" s="194"/>
      <c r="G38" s="194"/>
      <c r="H38" s="194"/>
      <c r="I38" s="154"/>
      <c r="J38" s="154"/>
      <c r="K38" s="154"/>
      <c r="L38" s="154"/>
    </row>
    <row r="39" ht="15.75">
      <c r="B39" s="195"/>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60" sqref="T160"/>
    </sheetView>
  </sheetViews>
  <sheetFormatPr defaultColWidth="8.796875" defaultRowHeight="15.75"/>
  <cols>
    <col min="1" max="1" width="2.296875" style="499" customWidth="1"/>
    <col min="2" max="4" width="8.796875" style="499" customWidth="1"/>
    <col min="5" max="5" width="8.69921875" style="499" customWidth="1"/>
    <col min="6" max="6" width="8.796875" style="499" customWidth="1"/>
    <col min="7" max="7" width="8.69921875" style="499" customWidth="1"/>
    <col min="8" max="16384" width="8.796875" style="499" customWidth="1"/>
  </cols>
  <sheetData>
    <row r="1" spans="2:9" ht="15.75">
      <c r="B1" s="498"/>
      <c r="C1" s="498"/>
      <c r="D1" s="498"/>
      <c r="E1" s="498"/>
      <c r="F1" s="498"/>
      <c r="G1" s="498"/>
      <c r="H1" s="498"/>
      <c r="I1" s="498"/>
    </row>
    <row r="2" spans="2:9" ht="15.75">
      <c r="B2" s="886" t="s">
        <v>645</v>
      </c>
      <c r="C2" s="886"/>
      <c r="D2" s="886"/>
      <c r="E2" s="886"/>
      <c r="F2" s="886"/>
      <c r="G2" s="886"/>
      <c r="H2" s="886"/>
      <c r="I2" s="886"/>
    </row>
    <row r="3" spans="2:9" ht="15.75">
      <c r="B3" s="886" t="s">
        <v>646</v>
      </c>
      <c r="C3" s="886"/>
      <c r="D3" s="886"/>
      <c r="E3" s="886"/>
      <c r="F3" s="886"/>
      <c r="G3" s="886"/>
      <c r="H3" s="886"/>
      <c r="I3" s="886"/>
    </row>
    <row r="4" spans="2:9" ht="15.75">
      <c r="B4" s="500"/>
      <c r="C4" s="500"/>
      <c r="D4" s="500"/>
      <c r="E4" s="500"/>
      <c r="F4" s="500"/>
      <c r="G4" s="500"/>
      <c r="H4" s="500"/>
      <c r="I4" s="500"/>
    </row>
    <row r="5" spans="2:9" ht="15.75">
      <c r="B5" s="887" t="str">
        <f>CONCATENATE("Budgeted Year: ",inputPrYr!D6,"")</f>
        <v>Budgeted Year: </v>
      </c>
      <c r="C5" s="887"/>
      <c r="D5" s="887"/>
      <c r="E5" s="887"/>
      <c r="F5" s="887"/>
      <c r="G5" s="887"/>
      <c r="H5" s="887"/>
      <c r="I5" s="887"/>
    </row>
    <row r="6" spans="2:9" ht="15.75">
      <c r="B6" s="501"/>
      <c r="C6" s="500"/>
      <c r="D6" s="500"/>
      <c r="E6" s="500"/>
      <c r="F6" s="500"/>
      <c r="G6" s="500"/>
      <c r="H6" s="500"/>
      <c r="I6" s="500"/>
    </row>
    <row r="7" spans="2:9" ht="15.75">
      <c r="B7" s="501" t="str">
        <f>CONCATENATE("Library found in: ",inputPrYr!D3,"")</f>
        <v>Library found in: </v>
      </c>
      <c r="C7" s="500"/>
      <c r="D7" s="500"/>
      <c r="E7" s="500"/>
      <c r="F7" s="500"/>
      <c r="G7" s="500"/>
      <c r="H7" s="500"/>
      <c r="I7" s="500"/>
    </row>
    <row r="8" spans="2:9" ht="15.75">
      <c r="B8" s="501">
        <f>inputPrYr!D4</f>
        <v>0</v>
      </c>
      <c r="C8" s="500"/>
      <c r="D8" s="500"/>
      <c r="E8" s="500"/>
      <c r="F8" s="500"/>
      <c r="G8" s="500"/>
      <c r="H8" s="500"/>
      <c r="I8" s="500"/>
    </row>
    <row r="9" spans="2:9" ht="15.75">
      <c r="B9" s="500"/>
      <c r="C9" s="500"/>
      <c r="D9" s="500"/>
      <c r="E9" s="500"/>
      <c r="F9" s="500"/>
      <c r="G9" s="500"/>
      <c r="H9" s="500"/>
      <c r="I9" s="500"/>
    </row>
    <row r="10" spans="2:9" ht="39" customHeight="1">
      <c r="B10" s="888" t="s">
        <v>647</v>
      </c>
      <c r="C10" s="888"/>
      <c r="D10" s="888"/>
      <c r="E10" s="888"/>
      <c r="F10" s="888"/>
      <c r="G10" s="888"/>
      <c r="H10" s="888"/>
      <c r="I10" s="888"/>
    </row>
    <row r="11" spans="2:9" ht="15.75">
      <c r="B11" s="500"/>
      <c r="C11" s="500"/>
      <c r="D11" s="500"/>
      <c r="E11" s="500"/>
      <c r="F11" s="500"/>
      <c r="G11" s="500"/>
      <c r="H11" s="500"/>
      <c r="I11" s="500"/>
    </row>
    <row r="12" spans="2:9" ht="15.75">
      <c r="B12" s="502" t="s">
        <v>648</v>
      </c>
      <c r="C12" s="500"/>
      <c r="D12" s="500"/>
      <c r="E12" s="500"/>
      <c r="F12" s="500"/>
      <c r="G12" s="500"/>
      <c r="H12" s="500"/>
      <c r="I12" s="500"/>
    </row>
    <row r="13" spans="2:9" ht="15.75">
      <c r="B13" s="500"/>
      <c r="C13" s="500"/>
      <c r="D13" s="500"/>
      <c r="E13" s="503" t="s">
        <v>8</v>
      </c>
      <c r="F13" s="500"/>
      <c r="G13" s="503" t="s">
        <v>649</v>
      </c>
      <c r="H13" s="500"/>
      <c r="I13" s="500"/>
    </row>
    <row r="14" spans="2:9" ht="15.75">
      <c r="B14" s="500"/>
      <c r="C14" s="500"/>
      <c r="D14" s="500"/>
      <c r="E14" s="504">
        <f>inputPrYr!D6-1</f>
        <v>-1</v>
      </c>
      <c r="F14" s="500"/>
      <c r="G14" s="504">
        <f>inputPrYr!D6</f>
        <v>0</v>
      </c>
      <c r="H14" s="500"/>
      <c r="I14" s="500"/>
    </row>
    <row r="15" spans="2:9" ht="15.75">
      <c r="B15" s="501" t="str">
        <f>'DebtSvs-Library'!B50</f>
        <v>Ad Valorem Tax</v>
      </c>
      <c r="C15" s="500"/>
      <c r="D15" s="500"/>
      <c r="E15" s="505">
        <f>'DebtSvs-Library'!D50</f>
        <v>0</v>
      </c>
      <c r="F15" s="500"/>
      <c r="G15" s="505">
        <f>'DebtSvs-Library'!E84</f>
        <v>0</v>
      </c>
      <c r="H15" s="500"/>
      <c r="I15" s="500"/>
    </row>
    <row r="16" spans="2:9" ht="15.75">
      <c r="B16" s="501" t="str">
        <f>'DebtSvs-Library'!B51</f>
        <v>Delinquent Tax</v>
      </c>
      <c r="C16" s="500"/>
      <c r="D16" s="500"/>
      <c r="E16" s="505">
        <f>'DebtSvs-Library'!D51</f>
        <v>0</v>
      </c>
      <c r="F16" s="500"/>
      <c r="G16" s="505">
        <f>'DebtSvs-Library'!E51</f>
        <v>0</v>
      </c>
      <c r="H16" s="500"/>
      <c r="I16" s="500"/>
    </row>
    <row r="17" spans="2:9" ht="15.75">
      <c r="B17" s="501" t="str">
        <f>'DebtSvs-Library'!B52</f>
        <v>Motor Vehicle Tax</v>
      </c>
      <c r="C17" s="500"/>
      <c r="D17" s="500"/>
      <c r="E17" s="505">
        <f>'DebtSvs-Library'!D52</f>
        <v>0</v>
      </c>
      <c r="F17" s="500"/>
      <c r="G17" s="505">
        <f>'DebtSvs-Library'!E52</f>
        <v>0</v>
      </c>
      <c r="H17" s="500"/>
      <c r="I17" s="500"/>
    </row>
    <row r="18" spans="2:9" ht="15.75">
      <c r="B18" s="501" t="str">
        <f>'DebtSvs-Library'!B53</f>
        <v>Recreational Vehicle Tax</v>
      </c>
      <c r="C18" s="500"/>
      <c r="D18" s="500"/>
      <c r="E18" s="505">
        <f>'DebtSvs-Library'!D53</f>
        <v>0</v>
      </c>
      <c r="F18" s="500"/>
      <c r="G18" s="505">
        <f>'DebtSvs-Library'!E53</f>
        <v>0</v>
      </c>
      <c r="H18" s="500"/>
      <c r="I18" s="500"/>
    </row>
    <row r="19" spans="2:9" ht="15.75">
      <c r="B19" s="501" t="str">
        <f>'DebtSvs-Library'!B54</f>
        <v>16/20M Vehicle Tax</v>
      </c>
      <c r="C19" s="500"/>
      <c r="D19" s="500"/>
      <c r="E19" s="505">
        <f>'DebtSvs-Library'!D54</f>
        <v>0</v>
      </c>
      <c r="F19" s="500"/>
      <c r="G19" s="505">
        <f>'DebtSvs-Library'!E54</f>
        <v>0</v>
      </c>
      <c r="H19" s="500"/>
      <c r="I19" s="500"/>
    </row>
    <row r="20" spans="2:9" ht="15.75">
      <c r="B20" s="500" t="s">
        <v>129</v>
      </c>
      <c r="C20" s="500"/>
      <c r="D20" s="500"/>
      <c r="E20" s="505">
        <v>0</v>
      </c>
      <c r="F20" s="500"/>
      <c r="G20" s="505">
        <v>0</v>
      </c>
      <c r="H20" s="500"/>
      <c r="I20" s="500"/>
    </row>
    <row r="21" spans="2:9" ht="15.75">
      <c r="B21" s="500"/>
      <c r="C21" s="500"/>
      <c r="D21" s="500"/>
      <c r="E21" s="505">
        <v>0</v>
      </c>
      <c r="F21" s="500"/>
      <c r="G21" s="505">
        <v>0</v>
      </c>
      <c r="H21" s="500"/>
      <c r="I21" s="500"/>
    </row>
    <row r="22" spans="2:9" ht="15.75">
      <c r="B22" s="500" t="s">
        <v>650</v>
      </c>
      <c r="C22" s="500"/>
      <c r="D22" s="500"/>
      <c r="E22" s="506">
        <f>SUM(E15:E21)</f>
        <v>0</v>
      </c>
      <c r="F22" s="500"/>
      <c r="G22" s="506">
        <f>SUM(G15:G21)</f>
        <v>0</v>
      </c>
      <c r="H22" s="500"/>
      <c r="I22" s="500"/>
    </row>
    <row r="23" spans="2:9" ht="15.75">
      <c r="B23" s="500" t="s">
        <v>651</v>
      </c>
      <c r="C23" s="500"/>
      <c r="D23" s="500"/>
      <c r="E23" s="507">
        <f>G22-E22</f>
        <v>0</v>
      </c>
      <c r="F23" s="500"/>
      <c r="G23" s="508"/>
      <c r="H23" s="500"/>
      <c r="I23" s="500"/>
    </row>
    <row r="24" spans="2:9" ht="15.75">
      <c r="B24" s="500" t="s">
        <v>652</v>
      </c>
      <c r="C24" s="500"/>
      <c r="D24" s="509" t="str">
        <f>IF((G22-E22)&gt;=0,"Qualify","Not Qualify")</f>
        <v>Qualify</v>
      </c>
      <c r="E24" s="500"/>
      <c r="F24" s="500"/>
      <c r="G24" s="500"/>
      <c r="H24" s="500"/>
      <c r="I24" s="500"/>
    </row>
    <row r="25" spans="2:9" ht="15.75">
      <c r="B25" s="500"/>
      <c r="C25" s="500"/>
      <c r="D25" s="500"/>
      <c r="E25" s="500"/>
      <c r="F25" s="500"/>
      <c r="G25" s="500"/>
      <c r="H25" s="500"/>
      <c r="I25" s="500"/>
    </row>
    <row r="26" spans="2:9" ht="15.75">
      <c r="B26" s="502" t="s">
        <v>653</v>
      </c>
      <c r="C26" s="500"/>
      <c r="D26" s="500"/>
      <c r="E26" s="500"/>
      <c r="F26" s="500"/>
      <c r="G26" s="500"/>
      <c r="H26" s="500"/>
      <c r="I26" s="500"/>
    </row>
    <row r="27" spans="2:9" ht="15.75">
      <c r="B27" s="500" t="s">
        <v>654</v>
      </c>
      <c r="C27" s="500"/>
      <c r="D27" s="500"/>
      <c r="E27" s="505">
        <f>summ!E37</f>
        <v>0</v>
      </c>
      <c r="F27" s="500"/>
      <c r="G27" s="505">
        <f>summ!G37</f>
        <v>0</v>
      </c>
      <c r="H27" s="500"/>
      <c r="I27" s="500"/>
    </row>
    <row r="28" spans="2:9" ht="15.75">
      <c r="B28" s="500" t="s">
        <v>655</v>
      </c>
      <c r="C28" s="500"/>
      <c r="D28" s="500"/>
      <c r="E28" s="510" t="str">
        <f>IF(G27-E27&gt;=0,"No","Yes")</f>
        <v>No</v>
      </c>
      <c r="F28" s="500"/>
      <c r="G28" s="500"/>
      <c r="H28" s="500"/>
      <c r="I28" s="500"/>
    </row>
    <row r="29" spans="2:9" ht="15.75">
      <c r="B29" s="500" t="s">
        <v>656</v>
      </c>
      <c r="C29" s="500"/>
      <c r="D29" s="500"/>
      <c r="E29" s="511" t="str">
        <f>summ!F20</f>
        <v>  </v>
      </c>
      <c r="F29" s="500"/>
      <c r="G29" s="511" t="str">
        <f>summ!I20</f>
        <v> </v>
      </c>
      <c r="H29" s="500"/>
      <c r="I29" s="500"/>
    </row>
    <row r="30" spans="2:9" ht="15.75">
      <c r="B30" s="500" t="s">
        <v>657</v>
      </c>
      <c r="C30" s="500"/>
      <c r="D30" s="500"/>
      <c r="E30" s="512" t="e">
        <f>G29-E29</f>
        <v>#VALUE!</v>
      </c>
      <c r="F30" s="500"/>
      <c r="G30" s="500"/>
      <c r="H30" s="500"/>
      <c r="I30" s="500"/>
    </row>
    <row r="31" spans="2:9" ht="15.75">
      <c r="B31" s="500" t="s">
        <v>652</v>
      </c>
      <c r="C31" s="500"/>
      <c r="D31" s="513" t="e">
        <f>IF(E30&gt;=0,"Qualify","Not Qualify")</f>
        <v>#VALUE!</v>
      </c>
      <c r="E31" s="500"/>
      <c r="F31" s="500"/>
      <c r="G31" s="500"/>
      <c r="H31" s="500"/>
      <c r="I31" s="500"/>
    </row>
    <row r="32" spans="2:9" ht="15.75">
      <c r="B32" s="500"/>
      <c r="C32" s="500"/>
      <c r="D32" s="500"/>
      <c r="E32" s="500"/>
      <c r="F32" s="500"/>
      <c r="G32" s="500"/>
      <c r="H32" s="500"/>
      <c r="I32" s="500"/>
    </row>
    <row r="33" spans="2:9" ht="15.75">
      <c r="B33" s="500" t="s">
        <v>658</v>
      </c>
      <c r="C33" s="500"/>
      <c r="D33" s="500"/>
      <c r="E33" s="500"/>
      <c r="F33" s="514" t="str">
        <f>IF(D24="Not Qualify",IF(D31="Not Qualify",IF(D31="Not Qualify","Not Qualify","Qualify"),"Qualify"),"Qualify")</f>
        <v>Qualify</v>
      </c>
      <c r="G33" s="500"/>
      <c r="H33" s="500"/>
      <c r="I33" s="500"/>
    </row>
    <row r="34" spans="2:9" ht="15.75">
      <c r="B34" s="500"/>
      <c r="C34" s="500"/>
      <c r="D34" s="500"/>
      <c r="E34" s="500"/>
      <c r="F34" s="500"/>
      <c r="G34" s="500"/>
      <c r="H34" s="500"/>
      <c r="I34" s="500"/>
    </row>
    <row r="35" spans="2:9" ht="15.75">
      <c r="B35" s="500"/>
      <c r="C35" s="500"/>
      <c r="D35" s="500"/>
      <c r="E35" s="500"/>
      <c r="F35" s="500"/>
      <c r="G35" s="500"/>
      <c r="H35" s="500"/>
      <c r="I35" s="500"/>
    </row>
    <row r="36" spans="2:9" ht="37.5" customHeight="1">
      <c r="B36" s="888" t="s">
        <v>659</v>
      </c>
      <c r="C36" s="888"/>
      <c r="D36" s="888"/>
      <c r="E36" s="888"/>
      <c r="F36" s="888"/>
      <c r="G36" s="888"/>
      <c r="H36" s="888"/>
      <c r="I36" s="888"/>
    </row>
    <row r="37" spans="2:9" ht="15.75">
      <c r="B37" s="500"/>
      <c r="C37" s="500"/>
      <c r="D37" s="500"/>
      <c r="E37" s="500"/>
      <c r="F37" s="500"/>
      <c r="G37" s="500"/>
      <c r="H37" s="500"/>
      <c r="I37" s="500"/>
    </row>
    <row r="38" spans="2:9" ht="15.75">
      <c r="B38" s="500"/>
      <c r="C38" s="500"/>
      <c r="D38" s="500"/>
      <c r="E38" s="500"/>
      <c r="F38" s="500"/>
      <c r="G38" s="500"/>
      <c r="H38" s="500"/>
      <c r="I38" s="500"/>
    </row>
    <row r="39" spans="2:9" ht="15.75">
      <c r="B39" s="500"/>
      <c r="C39" s="500"/>
      <c r="D39" s="500"/>
      <c r="E39" s="500"/>
      <c r="F39" s="500"/>
      <c r="G39" s="500"/>
      <c r="H39" s="500"/>
      <c r="I39" s="500"/>
    </row>
    <row r="40" spans="2:9" ht="15.75">
      <c r="B40" s="500"/>
      <c r="C40" s="500"/>
      <c r="D40" s="500"/>
      <c r="E40" s="515" t="s">
        <v>660</v>
      </c>
      <c r="F40" s="516">
        <v>6</v>
      </c>
      <c r="G40" s="500"/>
      <c r="H40" s="500"/>
      <c r="I40" s="500"/>
    </row>
    <row r="41" spans="2:9" ht="15.75">
      <c r="B41" s="500"/>
      <c r="C41" s="500"/>
      <c r="D41" s="500"/>
      <c r="E41" s="500"/>
      <c r="F41" s="500"/>
      <c r="G41" s="500"/>
      <c r="H41" s="500"/>
      <c r="I41" s="500"/>
    </row>
    <row r="42" spans="2:9" ht="15.75">
      <c r="B42" s="500"/>
      <c r="C42" s="500"/>
      <c r="D42" s="500"/>
      <c r="E42" s="500"/>
      <c r="F42" s="500"/>
      <c r="G42" s="500"/>
      <c r="H42" s="500"/>
      <c r="I42" s="500"/>
    </row>
    <row r="43" spans="2:9" ht="15.75">
      <c r="B43" s="889" t="s">
        <v>661</v>
      </c>
      <c r="C43" s="890"/>
      <c r="D43" s="890"/>
      <c r="E43" s="890"/>
      <c r="F43" s="890"/>
      <c r="G43" s="890"/>
      <c r="H43" s="890"/>
      <c r="I43" s="890"/>
    </row>
    <row r="44" spans="2:9" ht="15.75">
      <c r="B44" s="500"/>
      <c r="C44" s="500"/>
      <c r="D44" s="500"/>
      <c r="E44" s="500"/>
      <c r="F44" s="500"/>
      <c r="G44" s="500"/>
      <c r="H44" s="500"/>
      <c r="I44" s="500"/>
    </row>
    <row r="45" spans="2:9" ht="15.75">
      <c r="B45" s="517" t="s">
        <v>662</v>
      </c>
      <c r="C45" s="500"/>
      <c r="D45" s="500"/>
      <c r="E45" s="500"/>
      <c r="F45" s="500"/>
      <c r="G45" s="500"/>
      <c r="H45" s="500"/>
      <c r="I45" s="500"/>
    </row>
    <row r="46" spans="2:9" ht="15.75">
      <c r="B46" s="517" t="str">
        <f>CONCATENATE("sources in your ",G14," library fund is not equal to or greater than the amount from the same")</f>
        <v>sources in your 0 library fund is not equal to or greater than the amount from the same</v>
      </c>
      <c r="C46" s="500"/>
      <c r="D46" s="500"/>
      <c r="E46" s="500"/>
      <c r="F46" s="500"/>
      <c r="G46" s="500"/>
      <c r="H46" s="500"/>
      <c r="I46" s="500"/>
    </row>
    <row r="47" spans="2:9" ht="15.75">
      <c r="B47" s="517" t="str">
        <f>CONCATENATE("sources in ",E14,".")</f>
        <v>sources in -1.</v>
      </c>
      <c r="C47" s="498"/>
      <c r="D47" s="498"/>
      <c r="E47" s="498"/>
      <c r="F47" s="498"/>
      <c r="G47" s="498"/>
      <c r="H47" s="498"/>
      <c r="I47" s="498"/>
    </row>
    <row r="48" spans="2:9" ht="15.75">
      <c r="B48" s="498"/>
      <c r="C48" s="498"/>
      <c r="D48" s="498"/>
      <c r="E48" s="498"/>
      <c r="F48" s="498"/>
      <c r="G48" s="498"/>
      <c r="H48" s="498"/>
      <c r="I48" s="498"/>
    </row>
    <row r="49" spans="2:9" ht="15.75">
      <c r="B49" s="517" t="s">
        <v>663</v>
      </c>
      <c r="C49" s="517"/>
      <c r="D49" s="518"/>
      <c r="E49" s="518"/>
      <c r="F49" s="518"/>
      <c r="G49" s="518"/>
      <c r="H49" s="518"/>
      <c r="I49" s="518"/>
    </row>
    <row r="50" spans="2:9" ht="15.75">
      <c r="B50" s="517" t="s">
        <v>664</v>
      </c>
      <c r="C50" s="517"/>
      <c r="D50" s="518"/>
      <c r="E50" s="518"/>
      <c r="F50" s="518"/>
      <c r="G50" s="518"/>
      <c r="H50" s="518"/>
      <c r="I50" s="518"/>
    </row>
    <row r="51" spans="2:9" ht="15.75">
      <c r="B51" s="517" t="s">
        <v>665</v>
      </c>
      <c r="C51" s="517"/>
      <c r="D51" s="518"/>
      <c r="E51" s="518"/>
      <c r="F51" s="518"/>
      <c r="G51" s="518"/>
      <c r="H51" s="518"/>
      <c r="I51" s="518"/>
    </row>
    <row r="52" spans="2:9" ht="15">
      <c r="B52" s="518"/>
      <c r="C52" s="518"/>
      <c r="D52" s="518"/>
      <c r="E52" s="518"/>
      <c r="F52" s="518"/>
      <c r="G52" s="518"/>
      <c r="H52" s="518"/>
      <c r="I52" s="518"/>
    </row>
    <row r="53" spans="2:9" ht="15.75">
      <c r="B53" s="519" t="s">
        <v>666</v>
      </c>
      <c r="C53" s="518"/>
      <c r="D53" s="518"/>
      <c r="E53" s="518"/>
      <c r="F53" s="518"/>
      <c r="G53" s="518"/>
      <c r="H53" s="518"/>
      <c r="I53" s="518"/>
    </row>
    <row r="54" spans="2:9" ht="15">
      <c r="B54" s="518"/>
      <c r="C54" s="518"/>
      <c r="D54" s="518"/>
      <c r="E54" s="518"/>
      <c r="F54" s="518"/>
      <c r="G54" s="518"/>
      <c r="H54" s="518"/>
      <c r="I54" s="518"/>
    </row>
    <row r="55" spans="2:9" ht="15.75">
      <c r="B55" s="517" t="s">
        <v>667</v>
      </c>
      <c r="C55" s="518"/>
      <c r="D55" s="518"/>
      <c r="E55" s="518"/>
      <c r="F55" s="518"/>
      <c r="G55" s="518"/>
      <c r="H55" s="518"/>
      <c r="I55" s="518"/>
    </row>
    <row r="56" spans="2:9" ht="15.75">
      <c r="B56" s="517" t="s">
        <v>668</v>
      </c>
      <c r="C56" s="518"/>
      <c r="D56" s="518"/>
      <c r="E56" s="518"/>
      <c r="F56" s="518"/>
      <c r="G56" s="518"/>
      <c r="H56" s="518"/>
      <c r="I56" s="518"/>
    </row>
    <row r="57" spans="2:9" ht="15">
      <c r="B57" s="518"/>
      <c r="C57" s="518"/>
      <c r="D57" s="518"/>
      <c r="E57" s="518"/>
      <c r="F57" s="518"/>
      <c r="G57" s="518"/>
      <c r="H57" s="518"/>
      <c r="I57" s="518"/>
    </row>
    <row r="58" spans="2:9" ht="15.75">
      <c r="B58" s="519" t="s">
        <v>669</v>
      </c>
      <c r="C58" s="517"/>
      <c r="D58" s="517"/>
      <c r="E58" s="517"/>
      <c r="F58" s="517"/>
      <c r="G58" s="518"/>
      <c r="H58" s="518"/>
      <c r="I58" s="518"/>
    </row>
    <row r="59" spans="2:9" ht="15.75">
      <c r="B59" s="517"/>
      <c r="C59" s="517"/>
      <c r="D59" s="517"/>
      <c r="E59" s="517"/>
      <c r="F59" s="517"/>
      <c r="G59" s="518"/>
      <c r="H59" s="518"/>
      <c r="I59" s="518"/>
    </row>
    <row r="60" spans="2:9" ht="15.75">
      <c r="B60" s="517" t="s">
        <v>670</v>
      </c>
      <c r="C60" s="517"/>
      <c r="D60" s="517"/>
      <c r="E60" s="517"/>
      <c r="F60" s="517"/>
      <c r="G60" s="518"/>
      <c r="H60" s="518"/>
      <c r="I60" s="518"/>
    </row>
    <row r="61" spans="2:9" ht="15.75">
      <c r="B61" s="517" t="s">
        <v>671</v>
      </c>
      <c r="C61" s="517"/>
      <c r="D61" s="517"/>
      <c r="E61" s="517"/>
      <c r="F61" s="517"/>
      <c r="G61" s="518"/>
      <c r="H61" s="518"/>
      <c r="I61" s="518"/>
    </row>
    <row r="62" spans="2:9" ht="15.75">
      <c r="B62" s="517" t="s">
        <v>672</v>
      </c>
      <c r="C62" s="517"/>
      <c r="D62" s="517"/>
      <c r="E62" s="517"/>
      <c r="F62" s="517"/>
      <c r="G62" s="518"/>
      <c r="H62" s="518"/>
      <c r="I62" s="518"/>
    </row>
    <row r="63" spans="2:9" ht="15.75">
      <c r="B63" s="517" t="s">
        <v>673</v>
      </c>
      <c r="C63" s="517"/>
      <c r="D63" s="517"/>
      <c r="E63" s="517"/>
      <c r="F63" s="517"/>
      <c r="G63" s="518"/>
      <c r="H63" s="518"/>
      <c r="I63" s="518"/>
    </row>
    <row r="64" spans="2:9" ht="15">
      <c r="B64" s="520"/>
      <c r="C64" s="520"/>
      <c r="D64" s="520"/>
      <c r="E64" s="520"/>
      <c r="F64" s="520"/>
      <c r="G64" s="518"/>
      <c r="H64" s="518"/>
      <c r="I64" s="518"/>
    </row>
    <row r="65" spans="2:9" ht="15.75">
      <c r="B65" s="517" t="s">
        <v>674</v>
      </c>
      <c r="C65" s="520"/>
      <c r="D65" s="520"/>
      <c r="E65" s="520"/>
      <c r="F65" s="520"/>
      <c r="G65" s="518"/>
      <c r="H65" s="518"/>
      <c r="I65" s="518"/>
    </row>
    <row r="66" spans="2:9" ht="15.75">
      <c r="B66" s="517" t="s">
        <v>675</v>
      </c>
      <c r="C66" s="520"/>
      <c r="D66" s="520"/>
      <c r="E66" s="520"/>
      <c r="F66" s="520"/>
      <c r="G66" s="518"/>
      <c r="H66" s="518"/>
      <c r="I66" s="518"/>
    </row>
    <row r="67" spans="2:9" ht="15">
      <c r="B67" s="520"/>
      <c r="C67" s="520"/>
      <c r="D67" s="520"/>
      <c r="E67" s="520"/>
      <c r="F67" s="520"/>
      <c r="G67" s="518"/>
      <c r="H67" s="518"/>
      <c r="I67" s="518"/>
    </row>
    <row r="68" spans="2:9" ht="15.75">
      <c r="B68" s="517" t="s">
        <v>676</v>
      </c>
      <c r="C68" s="520"/>
      <c r="D68" s="520"/>
      <c r="E68" s="520"/>
      <c r="F68" s="520"/>
      <c r="G68" s="518"/>
      <c r="H68" s="518"/>
      <c r="I68" s="518"/>
    </row>
    <row r="69" spans="2:9" ht="15.75">
      <c r="B69" s="517" t="s">
        <v>677</v>
      </c>
      <c r="C69" s="520"/>
      <c r="D69" s="520"/>
      <c r="E69" s="520"/>
      <c r="F69" s="520"/>
      <c r="G69" s="518"/>
      <c r="H69" s="518"/>
      <c r="I69" s="518"/>
    </row>
    <row r="70" spans="2:9" ht="15">
      <c r="B70" s="520"/>
      <c r="C70" s="520"/>
      <c r="D70" s="520"/>
      <c r="E70" s="520"/>
      <c r="F70" s="520"/>
      <c r="G70" s="518"/>
      <c r="H70" s="518"/>
      <c r="I70" s="518"/>
    </row>
    <row r="71" spans="2:9" ht="15.75">
      <c r="B71" s="519" t="s">
        <v>678</v>
      </c>
      <c r="C71" s="520"/>
      <c r="D71" s="520"/>
      <c r="E71" s="520"/>
      <c r="F71" s="520"/>
      <c r="G71" s="518"/>
      <c r="H71" s="518"/>
      <c r="I71" s="518"/>
    </row>
    <row r="72" spans="2:9" ht="15">
      <c r="B72" s="520"/>
      <c r="C72" s="520"/>
      <c r="D72" s="520"/>
      <c r="E72" s="520"/>
      <c r="F72" s="520"/>
      <c r="G72" s="518"/>
      <c r="H72" s="518"/>
      <c r="I72" s="518"/>
    </row>
    <row r="73" spans="2:9" ht="15.75">
      <c r="B73" s="517" t="s">
        <v>679</v>
      </c>
      <c r="C73" s="520"/>
      <c r="D73" s="520"/>
      <c r="E73" s="520"/>
      <c r="F73" s="520"/>
      <c r="G73" s="518"/>
      <c r="H73" s="518"/>
      <c r="I73" s="518"/>
    </row>
    <row r="74" spans="2:9" ht="15.75">
      <c r="B74" s="517" t="s">
        <v>680</v>
      </c>
      <c r="C74" s="520"/>
      <c r="D74" s="520"/>
      <c r="E74" s="520"/>
      <c r="F74" s="520"/>
      <c r="G74" s="518"/>
      <c r="H74" s="518"/>
      <c r="I74" s="518"/>
    </row>
    <row r="75" spans="2:9" ht="15">
      <c r="B75" s="520"/>
      <c r="C75" s="520"/>
      <c r="D75" s="520"/>
      <c r="E75" s="520"/>
      <c r="F75" s="520"/>
      <c r="G75" s="518"/>
      <c r="H75" s="518"/>
      <c r="I75" s="518"/>
    </row>
    <row r="76" spans="2:9" ht="15.75">
      <c r="B76" s="519" t="s">
        <v>681</v>
      </c>
      <c r="C76" s="520"/>
      <c r="D76" s="520"/>
      <c r="E76" s="520"/>
      <c r="F76" s="520"/>
      <c r="G76" s="518"/>
      <c r="H76" s="518"/>
      <c r="I76" s="518"/>
    </row>
    <row r="77" spans="2:9" ht="15">
      <c r="B77" s="520"/>
      <c r="C77" s="520"/>
      <c r="D77" s="520"/>
      <c r="E77" s="520"/>
      <c r="F77" s="520"/>
      <c r="G77" s="518"/>
      <c r="H77" s="518"/>
      <c r="I77" s="518"/>
    </row>
    <row r="78" spans="2:9" ht="15.75">
      <c r="B78" s="517" t="str">
        <f>CONCATENATE("If the ",G14," municipal budget has not been published and has not been submitted to the County")</f>
        <v>If the 0 municipal budget has not been published and has not been submitted to the County</v>
      </c>
      <c r="C78" s="520"/>
      <c r="D78" s="520"/>
      <c r="E78" s="520"/>
      <c r="F78" s="520"/>
      <c r="G78" s="518"/>
      <c r="H78" s="518"/>
      <c r="I78" s="518"/>
    </row>
    <row r="79" spans="2:9" ht="15.75">
      <c r="B79" s="517" t="s">
        <v>682</v>
      </c>
      <c r="C79" s="520"/>
      <c r="D79" s="520"/>
      <c r="E79" s="520"/>
      <c r="F79" s="520"/>
      <c r="G79" s="518"/>
      <c r="H79" s="518"/>
      <c r="I79" s="518"/>
    </row>
    <row r="80" spans="2:9" ht="15">
      <c r="B80" s="520"/>
      <c r="C80" s="520"/>
      <c r="D80" s="520"/>
      <c r="E80" s="520"/>
      <c r="F80" s="520"/>
      <c r="G80" s="518"/>
      <c r="H80" s="518"/>
      <c r="I80" s="518"/>
    </row>
    <row r="81" spans="2:9" ht="15.75">
      <c r="B81" s="519" t="s">
        <v>322</v>
      </c>
      <c r="C81" s="520"/>
      <c r="D81" s="520"/>
      <c r="E81" s="520"/>
      <c r="F81" s="520"/>
      <c r="G81" s="518"/>
      <c r="H81" s="518"/>
      <c r="I81" s="518"/>
    </row>
    <row r="82" spans="2:9" ht="15">
      <c r="B82" s="520"/>
      <c r="C82" s="520"/>
      <c r="D82" s="520"/>
      <c r="E82" s="520"/>
      <c r="F82" s="520"/>
      <c r="G82" s="518"/>
      <c r="H82" s="518"/>
      <c r="I82" s="518"/>
    </row>
    <row r="83" spans="2:9" ht="15.75">
      <c r="B83" s="517" t="s">
        <v>683</v>
      </c>
      <c r="C83" s="520"/>
      <c r="D83" s="520"/>
      <c r="E83" s="520"/>
      <c r="F83" s="520"/>
      <c r="G83" s="518"/>
      <c r="H83" s="518"/>
      <c r="I83" s="518"/>
    </row>
    <row r="84" spans="2:9" ht="15.75">
      <c r="B84" s="517" t="str">
        <f>CONCATENATE("Budget Year ",G14," is equal to or greater than that for Current Year Estimate ",E14,".")</f>
        <v>Budget Year 0 is equal to or greater than that for Current Year Estimate -1.</v>
      </c>
      <c r="C84" s="520"/>
      <c r="D84" s="520"/>
      <c r="E84" s="520"/>
      <c r="F84" s="520"/>
      <c r="G84" s="518"/>
      <c r="H84" s="518"/>
      <c r="I84" s="518"/>
    </row>
    <row r="85" spans="2:9" ht="15">
      <c r="B85" s="520"/>
      <c r="C85" s="520"/>
      <c r="D85" s="520"/>
      <c r="E85" s="520"/>
      <c r="F85" s="520"/>
      <c r="G85" s="518"/>
      <c r="H85" s="518"/>
      <c r="I85" s="518"/>
    </row>
    <row r="86" spans="2:9" ht="15.75">
      <c r="B86" s="517" t="s">
        <v>684</v>
      </c>
      <c r="C86" s="520"/>
      <c r="D86" s="520"/>
      <c r="E86" s="520"/>
      <c r="F86" s="520"/>
      <c r="G86" s="518"/>
      <c r="H86" s="518"/>
      <c r="I86" s="518"/>
    </row>
    <row r="87" spans="2:9" ht="15.75">
      <c r="B87" s="517" t="s">
        <v>685</v>
      </c>
      <c r="C87" s="520"/>
      <c r="D87" s="520"/>
      <c r="E87" s="520"/>
      <c r="F87" s="520"/>
      <c r="G87" s="518"/>
      <c r="H87" s="518"/>
      <c r="I87" s="518"/>
    </row>
    <row r="88" spans="2:9" ht="15.75">
      <c r="B88" s="517" t="s">
        <v>686</v>
      </c>
      <c r="C88" s="520"/>
      <c r="D88" s="520"/>
      <c r="E88" s="520"/>
      <c r="F88" s="520"/>
      <c r="G88" s="518"/>
      <c r="H88" s="518"/>
      <c r="I88" s="518"/>
    </row>
    <row r="89" spans="2:9" ht="15.75">
      <c r="B89" s="517" t="str">
        <f>CONCATENATE("purpose for the previous (",E14,") year.")</f>
        <v>purpose for the previous (-1) year.</v>
      </c>
      <c r="C89" s="520"/>
      <c r="D89" s="520"/>
      <c r="E89" s="520"/>
      <c r="F89" s="520"/>
      <c r="G89" s="518"/>
      <c r="H89" s="518"/>
      <c r="I89" s="518"/>
    </row>
    <row r="90" spans="2:9" ht="15">
      <c r="B90" s="520"/>
      <c r="C90" s="520"/>
      <c r="D90" s="520"/>
      <c r="E90" s="520"/>
      <c r="F90" s="520"/>
      <c r="G90" s="518"/>
      <c r="H90" s="518"/>
      <c r="I90" s="518"/>
    </row>
    <row r="91" spans="2:9" ht="15.75">
      <c r="B91" s="517" t="str">
        <f>CONCATENATE("Next, look to see if delinquent tax for ",G14," is budgeted. Often this line is budgeted at $0 or left")</f>
        <v>Next, look to see if delinquent tax for 0 is budgeted. Often this line is budgeted at $0 or left</v>
      </c>
      <c r="C91" s="520"/>
      <c r="D91" s="520"/>
      <c r="E91" s="520"/>
      <c r="F91" s="520"/>
      <c r="G91" s="518"/>
      <c r="H91" s="518"/>
      <c r="I91" s="518"/>
    </row>
    <row r="92" spans="2:9" ht="15.75">
      <c r="B92" s="517" t="s">
        <v>687</v>
      </c>
      <c r="C92" s="520"/>
      <c r="D92" s="520"/>
      <c r="E92" s="520"/>
      <c r="F92" s="520"/>
      <c r="G92" s="518"/>
      <c r="H92" s="518"/>
      <c r="I92" s="518"/>
    </row>
    <row r="93" spans="2:9" ht="15.75">
      <c r="B93" s="517" t="s">
        <v>688</v>
      </c>
      <c r="C93" s="520"/>
      <c r="D93" s="520"/>
      <c r="E93" s="520"/>
      <c r="F93" s="520"/>
      <c r="G93" s="518"/>
      <c r="H93" s="518"/>
      <c r="I93" s="518"/>
    </row>
    <row r="94" spans="2:9" ht="15.75">
      <c r="B94" s="517" t="s">
        <v>689</v>
      </c>
      <c r="C94" s="520"/>
      <c r="D94" s="520"/>
      <c r="E94" s="520"/>
      <c r="F94" s="520"/>
      <c r="G94" s="518"/>
      <c r="H94" s="518"/>
      <c r="I94" s="518"/>
    </row>
    <row r="95" spans="2:9" ht="15">
      <c r="B95" s="520"/>
      <c r="C95" s="520"/>
      <c r="D95" s="520"/>
      <c r="E95" s="520"/>
      <c r="F95" s="520"/>
      <c r="G95" s="518"/>
      <c r="H95" s="518"/>
      <c r="I95" s="518"/>
    </row>
    <row r="96" spans="2:9" ht="15.75">
      <c r="B96" s="519" t="s">
        <v>690</v>
      </c>
      <c r="C96" s="520"/>
      <c r="D96" s="520"/>
      <c r="E96" s="520"/>
      <c r="F96" s="520"/>
      <c r="G96" s="518"/>
      <c r="H96" s="518"/>
      <c r="I96" s="518"/>
    </row>
    <row r="97" spans="2:9" ht="15">
      <c r="B97" s="520"/>
      <c r="C97" s="520"/>
      <c r="D97" s="520"/>
      <c r="E97" s="520"/>
      <c r="F97" s="520"/>
      <c r="G97" s="518"/>
      <c r="H97" s="518"/>
      <c r="I97" s="518"/>
    </row>
    <row r="98" spans="2:9" ht="15.75">
      <c r="B98" s="517" t="s">
        <v>691</v>
      </c>
      <c r="C98" s="520"/>
      <c r="D98" s="520"/>
      <c r="E98" s="520"/>
      <c r="F98" s="520"/>
      <c r="G98" s="518"/>
      <c r="H98" s="518"/>
      <c r="I98" s="518"/>
    </row>
    <row r="99" spans="2:9" ht="15.75">
      <c r="B99" s="517" t="s">
        <v>692</v>
      </c>
      <c r="C99" s="520"/>
      <c r="D99" s="520"/>
      <c r="E99" s="520"/>
      <c r="F99" s="520"/>
      <c r="G99" s="518"/>
      <c r="H99" s="518"/>
      <c r="I99" s="518"/>
    </row>
    <row r="100" spans="2:9" ht="15">
      <c r="B100" s="520"/>
      <c r="C100" s="520"/>
      <c r="D100" s="520"/>
      <c r="E100" s="520"/>
      <c r="F100" s="520"/>
      <c r="G100" s="518"/>
      <c r="H100" s="518"/>
      <c r="I100" s="518"/>
    </row>
    <row r="101" spans="2:9" ht="15.75">
      <c r="B101" s="517" t="s">
        <v>693</v>
      </c>
      <c r="C101" s="520"/>
      <c r="D101" s="520"/>
      <c r="E101" s="520"/>
      <c r="F101" s="520"/>
      <c r="G101" s="518"/>
      <c r="H101" s="518"/>
      <c r="I101" s="518"/>
    </row>
    <row r="102" spans="2:9" ht="15.75">
      <c r="B102" s="517" t="s">
        <v>694</v>
      </c>
      <c r="C102" s="520"/>
      <c r="D102" s="520"/>
      <c r="E102" s="520"/>
      <c r="F102" s="520"/>
      <c r="G102" s="518"/>
      <c r="H102" s="518"/>
      <c r="I102" s="518"/>
    </row>
    <row r="103" spans="2:9" ht="15.75">
      <c r="B103" s="517" t="s">
        <v>695</v>
      </c>
      <c r="C103" s="520"/>
      <c r="D103" s="520"/>
      <c r="E103" s="520"/>
      <c r="F103" s="520"/>
      <c r="G103" s="518"/>
      <c r="H103" s="518"/>
      <c r="I103" s="518"/>
    </row>
    <row r="104" spans="2:9" ht="15.75">
      <c r="B104" s="517" t="s">
        <v>696</v>
      </c>
      <c r="C104" s="520"/>
      <c r="D104" s="520"/>
      <c r="E104" s="520"/>
      <c r="F104" s="520"/>
      <c r="G104" s="518"/>
      <c r="H104" s="518"/>
      <c r="I104" s="518"/>
    </row>
    <row r="105" spans="2:9" ht="15.75">
      <c r="B105" s="748" t="s">
        <v>804</v>
      </c>
      <c r="C105" s="674"/>
      <c r="D105" s="674"/>
      <c r="E105" s="674"/>
      <c r="F105" s="674"/>
      <c r="G105" s="518"/>
      <c r="H105" s="518"/>
      <c r="I105" s="518"/>
    </row>
    <row r="108" ht="15">
      <c r="G108" s="521"/>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95" sqref="O9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f>inputPrYr!D3</f>
        <v>0</v>
      </c>
      <c r="C1" s="3"/>
      <c r="D1" s="3"/>
      <c r="E1" s="4">
        <f>inputPrYr!D6</f>
        <v>0</v>
      </c>
    </row>
    <row r="2" spans="2:5" ht="15.75">
      <c r="B2" s="6"/>
      <c r="C2" s="3"/>
      <c r="D2" s="3"/>
      <c r="E2" s="7"/>
    </row>
    <row r="3" spans="2:5" ht="15.75">
      <c r="B3" s="480" t="s">
        <v>632</v>
      </c>
      <c r="C3" s="9"/>
      <c r="D3" s="9"/>
      <c r="E3" s="10"/>
    </row>
    <row r="4" spans="2:5" ht="15.75">
      <c r="B4" s="11" t="s">
        <v>6</v>
      </c>
      <c r="C4" s="340" t="s">
        <v>7</v>
      </c>
      <c r="D4" s="343" t="s">
        <v>8</v>
      </c>
      <c r="E4" s="12" t="s">
        <v>9</v>
      </c>
    </row>
    <row r="5" spans="2:5" ht="15.75">
      <c r="B5" s="349" t="str">
        <f>inputPrYr!B19</f>
        <v>General</v>
      </c>
      <c r="C5" s="341" t="str">
        <f>CONCATENATE("Actual for ",$E$1-2,"")</f>
        <v>Actual for -2</v>
      </c>
      <c r="D5" s="341" t="str">
        <f>CONCATENATE("Estimate for ",$E$1-1,"")</f>
        <v>Estimate for -1</v>
      </c>
      <c r="E5" s="15" t="str">
        <f>CONCATENATE("Year for ",$E$1,"")</f>
        <v>Year for 0</v>
      </c>
    </row>
    <row r="6" spans="2:5" ht="15.75">
      <c r="B6" s="16" t="s">
        <v>103</v>
      </c>
      <c r="C6" s="18"/>
      <c r="D6" s="342">
        <f>C53</f>
        <v>0</v>
      </c>
      <c r="E6" s="21">
        <f>D53</f>
        <v>0</v>
      </c>
    </row>
    <row r="7" spans="2:5" ht="15.75">
      <c r="B7" s="16" t="s">
        <v>105</v>
      </c>
      <c r="C7" s="342"/>
      <c r="D7" s="342"/>
      <c r="E7" s="22"/>
    </row>
    <row r="8" spans="2:5" ht="15.75">
      <c r="B8" s="16" t="s">
        <v>12</v>
      </c>
      <c r="C8" s="18"/>
      <c r="D8" s="342">
        <f>IF(inputPrYr!H18&gt;0,inputPrYr!G19,inputPrYr!E19)</f>
        <v>0</v>
      </c>
      <c r="E8" s="22" t="s">
        <v>251</v>
      </c>
    </row>
    <row r="9" spans="2:5" ht="15.75">
      <c r="B9" s="16" t="s">
        <v>13</v>
      </c>
      <c r="C9" s="18"/>
      <c r="D9" s="18"/>
      <c r="E9" s="23"/>
    </row>
    <row r="10" spans="2:5" ht="15.75">
      <c r="B10" s="16" t="s">
        <v>14</v>
      </c>
      <c r="C10" s="18"/>
      <c r="D10" s="18"/>
      <c r="E10" s="21">
        <f>mvalloc!D11</f>
        <v>0</v>
      </c>
    </row>
    <row r="11" spans="2:5" ht="15.75">
      <c r="B11" s="16" t="s">
        <v>15</v>
      </c>
      <c r="C11" s="18"/>
      <c r="D11" s="18"/>
      <c r="E11" s="21">
        <f>mvalloc!E11</f>
        <v>0</v>
      </c>
    </row>
    <row r="12" spans="2:5" ht="15.75">
      <c r="B12" s="24" t="s">
        <v>65</v>
      </c>
      <c r="C12" s="18"/>
      <c r="D12" s="18"/>
      <c r="E12" s="21">
        <f>mvalloc!F11</f>
        <v>0</v>
      </c>
    </row>
    <row r="13" spans="2:5" ht="15.75">
      <c r="B13" s="771" t="s">
        <v>825</v>
      </c>
      <c r="C13" s="18"/>
      <c r="D13" s="18"/>
      <c r="E13" s="21">
        <f>mvalloc!G11</f>
        <v>0</v>
      </c>
    </row>
    <row r="14" spans="2:5" ht="15.75">
      <c r="B14" s="771" t="s">
        <v>826</v>
      </c>
      <c r="C14" s="18"/>
      <c r="D14" s="18"/>
      <c r="E14" s="21">
        <f>mvalloc!H11</f>
        <v>0</v>
      </c>
    </row>
    <row r="15" spans="2:5" ht="15.75">
      <c r="B15" s="24" t="s">
        <v>129</v>
      </c>
      <c r="C15" s="18"/>
      <c r="D15" s="18"/>
      <c r="E15" s="21">
        <f>inputOth!E37</f>
        <v>0</v>
      </c>
    </row>
    <row r="16" spans="2:5" ht="15.75">
      <c r="B16" s="16" t="s">
        <v>16</v>
      </c>
      <c r="C16" s="18"/>
      <c r="D16" s="18"/>
      <c r="E16" s="21">
        <f>inputOth!E12</f>
        <v>0</v>
      </c>
    </row>
    <row r="17" spans="2:5" ht="15.75">
      <c r="B17" s="26"/>
      <c r="C17" s="18"/>
      <c r="D17" s="18"/>
      <c r="E17" s="25"/>
    </row>
    <row r="18" spans="2:5" ht="15.75">
      <c r="B18" s="26"/>
      <c r="C18" s="18"/>
      <c r="D18" s="18"/>
      <c r="E18" s="23"/>
    </row>
    <row r="19" spans="2:5" ht="15.75">
      <c r="B19" s="26"/>
      <c r="C19" s="18"/>
      <c r="D19" s="18"/>
      <c r="E19" s="23"/>
    </row>
    <row r="20" spans="2:5" ht="15.75">
      <c r="B20" s="26"/>
      <c r="C20" s="18"/>
      <c r="D20" s="18"/>
      <c r="E20" s="23"/>
    </row>
    <row r="21" spans="2:5" ht="15.75">
      <c r="B21" s="27"/>
      <c r="C21" s="18"/>
      <c r="D21" s="18"/>
      <c r="E21" s="23"/>
    </row>
    <row r="22" spans="2:5" ht="15.75">
      <c r="B22" s="27"/>
      <c r="C22" s="18"/>
      <c r="D22" s="18"/>
      <c r="E22" s="23"/>
    </row>
    <row r="23" spans="2:5" ht="15.75">
      <c r="B23" s="27"/>
      <c r="C23" s="18"/>
      <c r="D23" s="18"/>
      <c r="E23" s="23"/>
    </row>
    <row r="24" spans="2:5" ht="15.75">
      <c r="B24" s="26"/>
      <c r="C24" s="18"/>
      <c r="D24" s="18"/>
      <c r="E24" s="23"/>
    </row>
    <row r="25" spans="2:5" ht="15.75">
      <c r="B25" s="27" t="s">
        <v>18</v>
      </c>
      <c r="C25" s="18"/>
      <c r="D25" s="18"/>
      <c r="E25" s="23"/>
    </row>
    <row r="26" spans="2:5" ht="15.75">
      <c r="B26" s="24" t="s">
        <v>180</v>
      </c>
      <c r="C26" s="18"/>
      <c r="D26" s="18"/>
      <c r="E26" s="35">
        <f>nhood!E6*-1</f>
        <v>0</v>
      </c>
    </row>
    <row r="27" spans="2:5" ht="15.75">
      <c r="B27" s="28" t="s">
        <v>178</v>
      </c>
      <c r="C27" s="18"/>
      <c r="D27" s="18"/>
      <c r="E27" s="23"/>
    </row>
    <row r="28" spans="2:5" ht="15.75">
      <c r="B28" s="28" t="s">
        <v>179</v>
      </c>
      <c r="C28" s="339">
        <f>IF(C29*0.1&lt;C27,"Exceed 10% Rule","")</f>
      </c>
      <c r="D28" s="339">
        <f>IF(D29*0.1&lt;D27,"Exceed 10% Rule","")</f>
      </c>
      <c r="E28" s="34">
        <f>IF(E29*0.1+E59&lt;E27,"Exceed 10% Rule","")</f>
      </c>
    </row>
    <row r="29" spans="2:5" ht="15.75">
      <c r="B29" s="30" t="s">
        <v>19</v>
      </c>
      <c r="C29" s="344">
        <f>SUM(C8:C27)</f>
        <v>0</v>
      </c>
      <c r="D29" s="344">
        <f>SUM(D8:D27)</f>
        <v>0</v>
      </c>
      <c r="E29" s="31">
        <f>SUM(E8:E27)</f>
        <v>0</v>
      </c>
    </row>
    <row r="30" spans="2:5" ht="15.75">
      <c r="B30" s="32" t="s">
        <v>20</v>
      </c>
      <c r="C30" s="344">
        <f>C29+C6</f>
        <v>0</v>
      </c>
      <c r="D30" s="344">
        <f>D29+D6</f>
        <v>0</v>
      </c>
      <c r="E30" s="31">
        <f>E29+E6</f>
        <v>0</v>
      </c>
    </row>
    <row r="31" spans="2:5" ht="15.75">
      <c r="B31" s="16" t="s">
        <v>21</v>
      </c>
      <c r="C31" s="342"/>
      <c r="D31" s="342"/>
      <c r="E31" s="21"/>
    </row>
    <row r="32" spans="2:5" ht="15.75">
      <c r="B32" s="26"/>
      <c r="C32" s="18"/>
      <c r="D32" s="18"/>
      <c r="E32" s="23"/>
    </row>
    <row r="33" spans="2:10" ht="15.75">
      <c r="B33" s="27" t="s">
        <v>95</v>
      </c>
      <c r="C33" s="18"/>
      <c r="D33" s="18"/>
      <c r="E33" s="23"/>
      <c r="G33" s="897" t="str">
        <f>CONCATENATE("Desired Carryover Into ",E1+1,"")</f>
        <v>Desired Carryover Into 1</v>
      </c>
      <c r="H33" s="898"/>
      <c r="I33" s="898"/>
      <c r="J33" s="899"/>
    </row>
    <row r="34" spans="2:10" ht="15.75">
      <c r="B34" s="27" t="s">
        <v>110</v>
      </c>
      <c r="C34" s="18"/>
      <c r="D34" s="18"/>
      <c r="E34" s="23"/>
      <c r="G34" s="443"/>
      <c r="H34" s="8"/>
      <c r="I34" s="435"/>
      <c r="J34" s="444"/>
    </row>
    <row r="35" spans="2:10" ht="15.75">
      <c r="B35" s="27" t="s">
        <v>96</v>
      </c>
      <c r="C35" s="18"/>
      <c r="D35" s="18"/>
      <c r="E35" s="23"/>
      <c r="G35" s="445" t="s">
        <v>626</v>
      </c>
      <c r="H35" s="435"/>
      <c r="I35" s="435"/>
      <c r="J35" s="446">
        <v>0</v>
      </c>
    </row>
    <row r="36" spans="2:10" ht="15.75">
      <c r="B36" s="27" t="s">
        <v>32</v>
      </c>
      <c r="C36" s="18"/>
      <c r="D36" s="18"/>
      <c r="E36" s="23"/>
      <c r="G36" s="443" t="s">
        <v>627</v>
      </c>
      <c r="H36" s="8"/>
      <c r="I36" s="8"/>
      <c r="J36" s="635">
        <f>IF(J35=0,"",ROUND((J35+E59-G48)/inputOth!E7*1000,3)-G53)</f>
      </c>
    </row>
    <row r="37" spans="2:10" ht="15.75">
      <c r="B37" s="26" t="s">
        <v>97</v>
      </c>
      <c r="C37" s="18"/>
      <c r="D37" s="18"/>
      <c r="E37" s="23"/>
      <c r="G37" s="636" t="str">
        <f>CONCATENATE("",E1," Tot Exp/Non-Appr Must Be:")</f>
        <v>0 Tot Exp/Non-Appr Must Be:</v>
      </c>
      <c r="H37" s="522"/>
      <c r="I37" s="631"/>
      <c r="J37" s="637">
        <f>IF(J35&gt;0,IF(E56&lt;E25,IF(J35=G48,E56,((J35-G48)*(1-D58))+E25),E56+(J35-G48)),0)</f>
        <v>0</v>
      </c>
    </row>
    <row r="38" spans="2:10" ht="15.75">
      <c r="B38" s="26" t="s">
        <v>111</v>
      </c>
      <c r="C38" s="18"/>
      <c r="D38" s="18"/>
      <c r="E38" s="23"/>
      <c r="G38" s="638" t="s">
        <v>700</v>
      </c>
      <c r="H38" s="639"/>
      <c r="I38" s="639"/>
      <c r="J38" s="640">
        <f>IF(J35&gt;0,J37-E56,0)</f>
        <v>0</v>
      </c>
    </row>
    <row r="39" spans="2:5" ht="15.75">
      <c r="B39" s="27" t="s">
        <v>113</v>
      </c>
      <c r="C39" s="18"/>
      <c r="D39" s="18"/>
      <c r="E39" s="23"/>
    </row>
    <row r="40" spans="2:10" ht="15.75">
      <c r="B40" s="27"/>
      <c r="C40" s="18"/>
      <c r="D40" s="18"/>
      <c r="E40" s="23"/>
      <c r="G40" s="897" t="str">
        <f>CONCATENATE("Projected Carryover Into ",E1+1,"")</f>
        <v>Projected Carryover Into 1</v>
      </c>
      <c r="H40" s="898"/>
      <c r="I40" s="898"/>
      <c r="J40" s="899"/>
    </row>
    <row r="41" spans="2:10" ht="15.75">
      <c r="B41" s="26"/>
      <c r="C41" s="18"/>
      <c r="D41" s="18"/>
      <c r="E41" s="23"/>
      <c r="G41" s="431"/>
      <c r="H41" s="8"/>
      <c r="I41" s="8"/>
      <c r="J41" s="235"/>
    </row>
    <row r="42" spans="2:10" ht="15.75">
      <c r="B42" s="27"/>
      <c r="C42" s="18"/>
      <c r="D42" s="18"/>
      <c r="E42" s="23"/>
      <c r="G42" s="432">
        <f>D53</f>
        <v>0</v>
      </c>
      <c r="H42" s="433" t="str">
        <f>CONCATENATE("",E1-1," Ending Cash Balance (est.)")</f>
        <v>-1 Ending Cash Balance (est.)</v>
      </c>
      <c r="I42" s="434"/>
      <c r="J42" s="235"/>
    </row>
    <row r="43" spans="2:10" ht="15.75">
      <c r="B43" s="27"/>
      <c r="C43" s="18"/>
      <c r="D43" s="18"/>
      <c r="E43" s="23"/>
      <c r="G43" s="432">
        <f>E29</f>
        <v>0</v>
      </c>
      <c r="H43" s="435" t="str">
        <f>CONCATENATE("",E1," Non-AV Receipts (est.)")</f>
        <v>0 Non-AV Receipts (est.)</v>
      </c>
      <c r="I43" s="434"/>
      <c r="J43" s="235"/>
    </row>
    <row r="44" spans="2:11" ht="15.75">
      <c r="B44" s="26"/>
      <c r="C44" s="18"/>
      <c r="D44" s="18"/>
      <c r="E44" s="23"/>
      <c r="G44" s="436">
        <f>IF(D58&gt;0,E57,E59)</f>
        <v>0</v>
      </c>
      <c r="H44" s="435" t="str">
        <f>CONCATENATE("",E1," Ad Valorem Tax (est.)")</f>
        <v>0 Ad Valorem Tax (est.)</v>
      </c>
      <c r="I44" s="434"/>
      <c r="J44" s="235"/>
      <c r="K44" s="641">
        <f>IF(G44=E59,"","Note: Does not include Delinquent Taxes")</f>
      </c>
    </row>
    <row r="45" spans="2:10" ht="15.75">
      <c r="B45" s="24" t="str">
        <f>CONCATENATE("Cash Forward (",E1," column)")</f>
        <v>Cash Forward (0 column)</v>
      </c>
      <c r="C45" s="18"/>
      <c r="D45" s="18"/>
      <c r="E45" s="23"/>
      <c r="G45" s="432">
        <f>SUM(G42:G44)</f>
        <v>0</v>
      </c>
      <c r="H45" s="435" t="str">
        <f>CONCATENATE("Total ",E1," Resources Available")</f>
        <v>Total 0 Resources Available</v>
      </c>
      <c r="I45" s="434"/>
      <c r="J45" s="235"/>
    </row>
    <row r="46" spans="2:10" ht="15.75">
      <c r="B46" s="24" t="s">
        <v>230</v>
      </c>
      <c r="C46" s="18"/>
      <c r="D46" s="18"/>
      <c r="E46" s="23"/>
      <c r="G46" s="437"/>
      <c r="H46" s="435"/>
      <c r="I46" s="435"/>
      <c r="J46" s="235"/>
    </row>
    <row r="47" spans="2:10" ht="15.75">
      <c r="B47" s="24" t="s">
        <v>227</v>
      </c>
      <c r="C47" s="338">
        <f>IF(AND($C$46&gt;0,$C$8&gt;0),"Not Authorized","")</f>
      </c>
      <c r="D47" s="338">
        <f>IF(AND($D$46&gt;0,$D$8&gt;0),"Not Authorized","")</f>
      </c>
      <c r="E47" s="33">
        <f>IF(AND(cert!F21&gt;0,$E$46&gt;0),"Not Authorized","")</f>
      </c>
      <c r="G47" s="436">
        <f>ROUND(C52*0.05+C52,0)</f>
        <v>0</v>
      </c>
      <c r="H47" s="435" t="str">
        <f>CONCATENATE("Less ",E1-2," Expenditures + 5%")</f>
        <v>Less -2 Expenditures + 5%</v>
      </c>
      <c r="I47" s="434"/>
      <c r="J47" s="235"/>
    </row>
    <row r="48" spans="2:10" ht="15.75">
      <c r="B48" s="16" t="s">
        <v>231</v>
      </c>
      <c r="C48" s="18"/>
      <c r="D48" s="18"/>
      <c r="E48" s="23"/>
      <c r="G48" s="438">
        <f>G45-G47</f>
        <v>0</v>
      </c>
      <c r="H48" s="439" t="str">
        <f>CONCATENATE("Projected ",E1+1," Carryover (est.)")</f>
        <v>Projected 1 Carryover (est.)</v>
      </c>
      <c r="I48" s="440"/>
      <c r="J48" s="441"/>
    </row>
    <row r="49" spans="2:5" ht="15.75">
      <c r="B49" s="16" t="s">
        <v>635</v>
      </c>
      <c r="C49" s="339">
        <f>IF(C30*0.25&lt;C48,"Exceeds 25%","")</f>
      </c>
      <c r="D49" s="339">
        <f>IF(D30*0.25&lt;D48,"Exceeds 25%","")</f>
      </c>
      <c r="E49" s="34">
        <f>IF(E30*0.25+E59&lt;E48,"Exceeds 25%","")</f>
      </c>
    </row>
    <row r="50" spans="2:10" ht="15.75">
      <c r="B50" s="24" t="s">
        <v>178</v>
      </c>
      <c r="C50" s="18"/>
      <c r="D50" s="18"/>
      <c r="E50" s="23"/>
      <c r="G50" s="900" t="s">
        <v>701</v>
      </c>
      <c r="H50" s="901"/>
      <c r="I50" s="901"/>
      <c r="J50" s="902"/>
    </row>
    <row r="51" spans="2:10" ht="15.75">
      <c r="B51" s="24" t="s">
        <v>535</v>
      </c>
      <c r="C51" s="339">
        <f>IF(C52*0.1&lt;C50,"Exceed 10% Rule","")</f>
      </c>
      <c r="D51" s="339">
        <f>IF(D52*0.1&lt;D50,"Exceed 10% Rule","")</f>
      </c>
      <c r="E51" s="34">
        <f>IF(E52*0.1&lt;E50,"Exceed 10% Rule","")</f>
      </c>
      <c r="G51" s="642"/>
      <c r="H51" s="433"/>
      <c r="I51" s="632"/>
      <c r="J51" s="643"/>
    </row>
    <row r="52" spans="2:10" ht="15.75">
      <c r="B52" s="32" t="s">
        <v>22</v>
      </c>
      <c r="C52" s="336">
        <f>SUM(C32:C50)</f>
        <v>0</v>
      </c>
      <c r="D52" s="336">
        <f>SUM(D32:D50)</f>
        <v>0</v>
      </c>
      <c r="E52" s="36">
        <f>SUM(E32:E46,E48,E50:E50)</f>
        <v>0</v>
      </c>
      <c r="G52" s="644" t="str">
        <f>summ!I18</f>
        <v> </v>
      </c>
      <c r="H52" s="433" t="str">
        <f>CONCATENATE("",E1," Fund Mill Rate")</f>
        <v>0 Fund Mill Rate</v>
      </c>
      <c r="I52" s="632"/>
      <c r="J52" s="643"/>
    </row>
    <row r="53" spans="2:10" ht="15.75">
      <c r="B53" s="16" t="s">
        <v>104</v>
      </c>
      <c r="C53" s="337">
        <f>C30-C52</f>
        <v>0</v>
      </c>
      <c r="D53" s="337">
        <f>SUM(D30-D52)</f>
        <v>0</v>
      </c>
      <c r="E53" s="22" t="s">
        <v>251</v>
      </c>
      <c r="G53" s="645" t="str">
        <f>summ!F18</f>
        <v>  </v>
      </c>
      <c r="H53" s="433" t="str">
        <f>CONCATENATE("",E1-1," Fund Mill Rate")</f>
        <v>-1 Fund Mill Rate</v>
      </c>
      <c r="I53" s="632"/>
      <c r="J53" s="643"/>
    </row>
    <row r="54" spans="2:10" ht="15.75">
      <c r="B54" s="255" t="str">
        <f>CONCATENATE("",E1-2,"/",E1-1,"/",E1," Budget Authority Amount:")</f>
        <v>-2/-1/0 Budget Authority Amount:</v>
      </c>
      <c r="C54" s="52">
        <f>inputOth!B48</f>
        <v>0</v>
      </c>
      <c r="D54" s="52">
        <f>inputPrYr!D19</f>
        <v>0</v>
      </c>
      <c r="E54" s="21">
        <f>E52</f>
        <v>0</v>
      </c>
      <c r="F54" s="39"/>
      <c r="G54" s="646">
        <f>summ!I32</f>
        <v>0</v>
      </c>
      <c r="H54" s="433" t="str">
        <f>CONCATENATE("Total ",E1," Mill Rate")</f>
        <v>Total 0 Mill Rate</v>
      </c>
      <c r="I54" s="632"/>
      <c r="J54" s="643"/>
    </row>
    <row r="55" spans="2:10" ht="15.75">
      <c r="B55" s="37"/>
      <c r="C55" s="893" t="s">
        <v>536</v>
      </c>
      <c r="D55" s="894"/>
      <c r="E55" s="23"/>
      <c r="F55" s="430">
        <f>IF(E52/0.95-E52&lt;E55,"Exceeds 5%","")</f>
      </c>
      <c r="G55" s="645">
        <f>summ!F32</f>
        <v>0</v>
      </c>
      <c r="H55" s="647" t="str">
        <f>CONCATENATE("Total ",E1-1," Mill Rate")</f>
        <v>Total -1 Mill Rate</v>
      </c>
      <c r="I55" s="648"/>
      <c r="J55" s="649"/>
    </row>
    <row r="56" spans="2:10" ht="15.75">
      <c r="B56" s="348" t="str">
        <f>CONCATENATE(C74,"     ",D74)</f>
        <v>     </v>
      </c>
      <c r="C56" s="895" t="s">
        <v>537</v>
      </c>
      <c r="D56" s="896"/>
      <c r="E56" s="21">
        <f>E52+E55</f>
        <v>0</v>
      </c>
      <c r="G56" s="633"/>
      <c r="H56" s="442"/>
      <c r="I56" s="442"/>
      <c r="J56" s="634"/>
    </row>
    <row r="57" spans="2:10" ht="15.75">
      <c r="B57" s="348" t="str">
        <f>CONCATENATE(C75,"     ",D75)</f>
        <v>     </v>
      </c>
      <c r="C57" s="49"/>
      <c r="D57" s="41" t="s">
        <v>24</v>
      </c>
      <c r="E57" s="35">
        <f>IF(E56-E30&gt;0,E56-E30,0)</f>
        <v>0</v>
      </c>
      <c r="G57" s="776" t="s">
        <v>833</v>
      </c>
      <c r="H57" s="777"/>
      <c r="I57" s="778"/>
      <c r="J57" s="779" t="str">
        <f>cert!G37</f>
        <v>No</v>
      </c>
    </row>
    <row r="58" spans="2:10" ht="15.75">
      <c r="B58" s="41"/>
      <c r="C58" s="352" t="s">
        <v>538</v>
      </c>
      <c r="D58" s="630">
        <f>inputOth!$E$42</f>
        <v>0</v>
      </c>
      <c r="E58" s="21">
        <f>ROUND(IF(D58&gt;0,(E57*D58),0),0)</f>
        <v>0</v>
      </c>
      <c r="G58" s="780" t="str">
        <f>CONCATENATE("Computed ",E1," tax levy limit amount")</f>
        <v>Computed 0 tax levy limit amount</v>
      </c>
      <c r="H58" s="781"/>
      <c r="I58" s="781"/>
      <c r="J58" s="782">
        <f>computation!J41</f>
        <v>0</v>
      </c>
    </row>
    <row r="59" spans="2:10" ht="15.75">
      <c r="B59" s="3"/>
      <c r="C59" s="891" t="str">
        <f>CONCATENATE("Amount of  ",$E$1-1," Ad Valorem Tax")</f>
        <v>Amount of  -1 Ad Valorem Tax</v>
      </c>
      <c r="D59" s="892"/>
      <c r="E59" s="35">
        <f>E57+E58</f>
        <v>0</v>
      </c>
      <c r="G59" s="783" t="str">
        <f>CONCATENATE("Total ",E1," tax levy amount")</f>
        <v>Total 0 tax levy amount</v>
      </c>
      <c r="H59" s="784"/>
      <c r="I59" s="784"/>
      <c r="J59" s="785">
        <f>summ!H32</f>
        <v>0</v>
      </c>
    </row>
    <row r="60" spans="2:5" ht="15.75">
      <c r="B60" s="3"/>
      <c r="C60" s="3"/>
      <c r="D60" s="3"/>
      <c r="E60" s="3"/>
    </row>
    <row r="61" spans="2:11" s="43" customFormat="1" ht="15.75">
      <c r="B61" s="8"/>
      <c r="C61" s="8"/>
      <c r="D61" s="42"/>
      <c r="E61" s="8"/>
      <c r="G61" s="5"/>
      <c r="H61" s="5"/>
      <c r="I61" s="5"/>
      <c r="J61" s="5"/>
      <c r="K61" s="5"/>
    </row>
    <row r="62" spans="2:11" s="45" customFormat="1" ht="15.75">
      <c r="B62" s="3"/>
      <c r="C62" s="3"/>
      <c r="D62" s="44"/>
      <c r="E62" s="3"/>
      <c r="G62" s="5"/>
      <c r="H62" s="5"/>
      <c r="I62" s="5"/>
      <c r="J62" s="5"/>
      <c r="K62" s="5"/>
    </row>
    <row r="63" spans="2:5" ht="15.75">
      <c r="B63" s="41" t="s">
        <v>5</v>
      </c>
      <c r="C63" s="749"/>
      <c r="D63" s="3"/>
      <c r="E63" s="44"/>
    </row>
    <row r="65" ht="15.75">
      <c r="B65" s="1"/>
    </row>
    <row r="68" ht="15.75">
      <c r="E68" s="46"/>
    </row>
    <row r="70" ht="15.75">
      <c r="E70" s="46"/>
    </row>
    <row r="72" ht="15.75">
      <c r="C72" s="47"/>
    </row>
    <row r="73" spans="3:5" ht="15.75">
      <c r="C73" s="46"/>
      <c r="E73" s="46"/>
    </row>
    <row r="74" spans="3:4" ht="15.75" hidden="1">
      <c r="C74" s="5">
        <f>IF(C52&gt;C54,"See Tab A","")</f>
      </c>
      <c r="D74" s="5">
        <f>IF(D52&gt;D54,"See Tab C","")</f>
      </c>
    </row>
    <row r="75" spans="3:4" ht="15.75" hidden="1">
      <c r="C75" s="5">
        <f>IF(C53&lt;0,"See Tab B","")</f>
      </c>
      <c r="D75" s="5">
        <f>IF(D53&lt;0,"See Tab D","")</f>
      </c>
    </row>
  </sheetData>
  <sheetProtection sheet="1"/>
  <mergeCells count="6">
    <mergeCell ref="C59:D59"/>
    <mergeCell ref="C55:D55"/>
    <mergeCell ref="C56:D56"/>
    <mergeCell ref="G33:J33"/>
    <mergeCell ref="G40:J40"/>
    <mergeCell ref="G50:J50"/>
  </mergeCells>
  <conditionalFormatting sqref="E55">
    <cfRule type="cellIs" priority="12" dxfId="130" operator="greaterThan" stopIfTrue="1">
      <formula>$E$52/0.95-$E$52</formula>
    </cfRule>
  </conditionalFormatting>
  <conditionalFormatting sqref="C50">
    <cfRule type="cellIs" priority="13" dxfId="130" operator="greaterThan" stopIfTrue="1">
      <formula>$C$52*0.1</formula>
    </cfRule>
  </conditionalFormatting>
  <conditionalFormatting sqref="D50">
    <cfRule type="cellIs" priority="14" dxfId="130" operator="greaterThan" stopIfTrue="1">
      <formula>$D$52*0.1</formula>
    </cfRule>
  </conditionalFormatting>
  <conditionalFormatting sqref="E50">
    <cfRule type="cellIs" priority="15" dxfId="130" operator="greaterThan" stopIfTrue="1">
      <formula>$E$52*0.1</formula>
    </cfRule>
  </conditionalFormatting>
  <conditionalFormatting sqref="C53">
    <cfRule type="cellIs" priority="17" dxfId="2" operator="lessThan" stopIfTrue="1">
      <formula>0</formula>
    </cfRule>
  </conditionalFormatting>
  <conditionalFormatting sqref="D52">
    <cfRule type="cellIs" priority="18" dxfId="2" operator="greaterThan" stopIfTrue="1">
      <formula>$D$54</formula>
    </cfRule>
  </conditionalFormatting>
  <conditionalFormatting sqref="C48">
    <cfRule type="cellIs" priority="19" dxfId="130" operator="greaterThan" stopIfTrue="1">
      <formula>$C$30*0.25</formula>
    </cfRule>
  </conditionalFormatting>
  <conditionalFormatting sqref="C27">
    <cfRule type="cellIs" priority="20" dxfId="130" operator="greaterThan" stopIfTrue="1">
      <formula>$C$29*0.1</formula>
    </cfRule>
  </conditionalFormatting>
  <conditionalFormatting sqref="D27">
    <cfRule type="cellIs" priority="21" dxfId="130" operator="greaterThan" stopIfTrue="1">
      <formula>$D$29*0.1</formula>
    </cfRule>
  </conditionalFormatting>
  <conditionalFormatting sqref="C45">
    <cfRule type="expression" priority="23" dxfId="2" stopIfTrue="1">
      <formula>"Mike"</formula>
    </cfRule>
  </conditionalFormatting>
  <conditionalFormatting sqref="D48">
    <cfRule type="cellIs" priority="24" dxfId="130" operator="greaterThan" stopIfTrue="1">
      <formula>$D$30*0.25</formula>
    </cfRule>
  </conditionalFormatting>
  <conditionalFormatting sqref="C46">
    <cfRule type="expression" priority="26" dxfId="130" stopIfTrue="1">
      <formula>$C$8&gt;0</formula>
    </cfRule>
  </conditionalFormatting>
  <conditionalFormatting sqref="D46">
    <cfRule type="expression" priority="28" dxfId="2" stopIfTrue="1">
      <formula>$D$8&gt;0</formula>
    </cfRule>
  </conditionalFormatting>
  <conditionalFormatting sqref="C52">
    <cfRule type="cellIs" priority="10" dxfId="2" operator="greaterThan" stopIfTrue="1">
      <formula>$C$54</formula>
    </cfRule>
  </conditionalFormatting>
  <conditionalFormatting sqref="D53">
    <cfRule type="cellIs" priority="9" dxfId="0" operator="lessThan" stopIfTrue="1">
      <formula>0</formula>
    </cfRule>
  </conditionalFormatting>
  <conditionalFormatting sqref="E46">
    <cfRule type="expression" priority="2" dxfId="0" stopIfTrue="1">
      <formula>$E$59&gt;0</formula>
    </cfRule>
  </conditionalFormatting>
  <conditionalFormatting sqref="E27">
    <cfRule type="cellIs" priority="29" dxfId="130" operator="greaterThan" stopIfTrue="1">
      <formula>$E$29*0.1+$E$59</formula>
    </cfRule>
  </conditionalFormatting>
  <conditionalFormatting sqref="E48">
    <cfRule type="cellIs" priority="30" dxfId="130" operator="greaterThan" stopIfTrue="1">
      <formula>$E$30*0.25+$E$59</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P145" sqref="P145"/>
    </sheetView>
  </sheetViews>
  <sheetFormatPr defaultColWidth="8.796875" defaultRowHeight="15.75"/>
  <cols>
    <col min="1" max="1" width="2.19921875" style="526" customWidth="1"/>
    <col min="2" max="2" width="28.59765625" style="526" customWidth="1"/>
    <col min="3" max="4" width="14.19921875" style="526" customWidth="1"/>
    <col min="5" max="5" width="14.59765625" style="526" customWidth="1"/>
    <col min="6" max="6" width="7.296875" style="526" customWidth="1"/>
    <col min="7" max="7" width="9.19921875" style="526" customWidth="1"/>
    <col min="8" max="8" width="8.796875" style="526" customWidth="1"/>
    <col min="9" max="9" width="4.5" style="526" customWidth="1"/>
    <col min="10" max="10" width="9" style="526" customWidth="1"/>
    <col min="11" max="16384" width="8.796875" style="526" customWidth="1"/>
  </cols>
  <sheetData>
    <row r="1" spans="2:5" ht="15.75">
      <c r="B1" s="523">
        <f>inputPrYr!D3</f>
        <v>0</v>
      </c>
      <c r="C1" s="523"/>
      <c r="D1" s="524"/>
      <c r="E1" s="525">
        <f>inputPrYr!D6</f>
        <v>0</v>
      </c>
    </row>
    <row r="2" spans="2:5" ht="15.75">
      <c r="B2" s="524"/>
      <c r="C2" s="524"/>
      <c r="D2" s="524"/>
      <c r="E2" s="527"/>
    </row>
    <row r="3" spans="2:5" ht="15.75">
      <c r="B3" s="480" t="s">
        <v>632</v>
      </c>
      <c r="C3" s="480"/>
      <c r="D3" s="528"/>
      <c r="E3" s="529"/>
    </row>
    <row r="4" spans="2:5" ht="15.75">
      <c r="B4" s="530" t="s">
        <v>6</v>
      </c>
      <c r="C4" s="531" t="s">
        <v>697</v>
      </c>
      <c r="D4" s="532" t="s">
        <v>698</v>
      </c>
      <c r="E4" s="533" t="s">
        <v>699</v>
      </c>
    </row>
    <row r="5" spans="2:5" ht="15.75">
      <c r="B5" s="534" t="str">
        <f>inputPrYr!B20</f>
        <v>Debt Service</v>
      </c>
      <c r="C5" s="535" t="str">
        <f>CONCATENATE("Actual for ",$E$1-2,"")</f>
        <v>Actual for -2</v>
      </c>
      <c r="D5" s="536" t="str">
        <f>CONCATENATE("Estimate for ",$E$1-1,"")</f>
        <v>Estimate for -1</v>
      </c>
      <c r="E5" s="537" t="str">
        <f>CONCATENATE("Year for ",$E$1,"")</f>
        <v>Year for 0</v>
      </c>
    </row>
    <row r="6" spans="2:5" ht="15.75">
      <c r="B6" s="538" t="s">
        <v>117</v>
      </c>
      <c r="C6" s="539"/>
      <c r="D6" s="540">
        <f>C36</f>
        <v>0</v>
      </c>
      <c r="E6" s="541">
        <f>D36</f>
        <v>0</v>
      </c>
    </row>
    <row r="7" spans="2:5" ht="15.75">
      <c r="B7" s="538" t="s">
        <v>105</v>
      </c>
      <c r="C7" s="542"/>
      <c r="D7" s="540"/>
      <c r="E7" s="541"/>
    </row>
    <row r="8" spans="2:5" ht="15.75">
      <c r="B8" s="538" t="s">
        <v>12</v>
      </c>
      <c r="C8" s="543"/>
      <c r="D8" s="540">
        <f>IF(inputPrYr!H18&gt;0,inputPrYr!G20,inputPrYr!E20)</f>
        <v>0</v>
      </c>
      <c r="E8" s="544" t="s">
        <v>251</v>
      </c>
    </row>
    <row r="9" spans="2:5" ht="15.75">
      <c r="B9" s="538" t="s">
        <v>13</v>
      </c>
      <c r="C9" s="543"/>
      <c r="D9" s="545"/>
      <c r="E9" s="546"/>
    </row>
    <row r="10" spans="2:5" ht="15.75">
      <c r="B10" s="538" t="s">
        <v>14</v>
      </c>
      <c r="C10" s="543"/>
      <c r="D10" s="545"/>
      <c r="E10" s="541">
        <f>mvalloc!D12</f>
        <v>0</v>
      </c>
    </row>
    <row r="11" spans="2:5" ht="15.75">
      <c r="B11" s="538" t="s">
        <v>15</v>
      </c>
      <c r="C11" s="543"/>
      <c r="D11" s="545"/>
      <c r="E11" s="541">
        <f>mvalloc!E12</f>
        <v>0</v>
      </c>
    </row>
    <row r="12" spans="2:5" ht="15.75">
      <c r="B12" s="547" t="s">
        <v>93</v>
      </c>
      <c r="C12" s="543"/>
      <c r="D12" s="545"/>
      <c r="E12" s="541">
        <f>mvalloc!F12</f>
        <v>0</v>
      </c>
    </row>
    <row r="13" spans="2:5" ht="15.75">
      <c r="B13" s="771" t="s">
        <v>825</v>
      </c>
      <c r="C13" s="543"/>
      <c r="D13" s="545"/>
      <c r="E13" s="541">
        <f>mvalloc!G12</f>
        <v>0</v>
      </c>
    </row>
    <row r="14" spans="2:5" ht="15.75">
      <c r="B14" s="771" t="s">
        <v>826</v>
      </c>
      <c r="C14" s="543"/>
      <c r="D14" s="545"/>
      <c r="E14" s="541">
        <f>mvalloc!H12</f>
        <v>0</v>
      </c>
    </row>
    <row r="15" spans="2:5" ht="15.75">
      <c r="B15" s="548"/>
      <c r="C15" s="543"/>
      <c r="D15" s="545"/>
      <c r="E15" s="549"/>
    </row>
    <row r="16" spans="2:5" ht="15.75">
      <c r="B16" s="548"/>
      <c r="C16" s="543"/>
      <c r="D16" s="545"/>
      <c r="E16" s="546"/>
    </row>
    <row r="17" spans="2:5" ht="15.75">
      <c r="B17" s="548"/>
      <c r="C17" s="543"/>
      <c r="D17" s="545"/>
      <c r="E17" s="546"/>
    </row>
    <row r="18" spans="2:5" ht="15.75">
      <c r="B18" s="548"/>
      <c r="C18" s="543"/>
      <c r="D18" s="545"/>
      <c r="E18" s="546"/>
    </row>
    <row r="19" spans="2:10" ht="15.75">
      <c r="B19" s="550" t="s">
        <v>18</v>
      </c>
      <c r="C19" s="543"/>
      <c r="D19" s="545"/>
      <c r="E19" s="546"/>
      <c r="G19" s="903" t="str">
        <f>CONCATENATE("Desired Carryover Into ",E1+1,"")</f>
        <v>Desired Carryover Into 1</v>
      </c>
      <c r="H19" s="904"/>
      <c r="I19" s="904"/>
      <c r="J19" s="905"/>
    </row>
    <row r="20" spans="2:10" ht="15.75">
      <c r="B20" s="571" t="s">
        <v>180</v>
      </c>
      <c r="C20" s="543"/>
      <c r="D20" s="545"/>
      <c r="E20" s="541">
        <f>nhood!E7*-1</f>
        <v>0</v>
      </c>
      <c r="G20" s="557"/>
      <c r="H20" s="558"/>
      <c r="I20" s="559"/>
      <c r="J20" s="560"/>
    </row>
    <row r="21" spans="2:10" ht="15.75">
      <c r="B21" s="538" t="s">
        <v>178</v>
      </c>
      <c r="C21" s="551"/>
      <c r="D21" s="545"/>
      <c r="E21" s="546"/>
      <c r="G21" s="561" t="s">
        <v>626</v>
      </c>
      <c r="H21" s="559"/>
      <c r="I21" s="559"/>
      <c r="J21" s="562">
        <v>0</v>
      </c>
    </row>
    <row r="22" spans="2:10" ht="15.75">
      <c r="B22" s="538" t="s">
        <v>703</v>
      </c>
      <c r="C22" s="552">
        <f>IF(C23*0.1&lt;C21,"Exceed 10% Rule","")</f>
      </c>
      <c r="D22" s="552">
        <f>IF(D23*0.1&lt;D21,"Exceeds 10% Rule","")</f>
      </c>
      <c r="E22" s="553">
        <f>IF(E23*0.1+E42&lt;E21,"Exceed 10% Rule","")</f>
      </c>
      <c r="G22" s="557" t="s">
        <v>627</v>
      </c>
      <c r="H22" s="558"/>
      <c r="I22" s="558"/>
      <c r="J22" s="563">
        <f>IF(J21=0,"",ROUND((J21+E42-G34)/inputOth!E7*1000,3)-G39)</f>
      </c>
    </row>
    <row r="23" spans="2:10" ht="15.75">
      <c r="B23" s="554" t="s">
        <v>19</v>
      </c>
      <c r="C23" s="555">
        <f>SUM(C8:C21)</f>
        <v>0</v>
      </c>
      <c r="D23" s="555">
        <f>SUM(D8:D21)</f>
        <v>0</v>
      </c>
      <c r="E23" s="556">
        <f>SUM(E9:E21)</f>
        <v>0</v>
      </c>
      <c r="G23" s="564" t="str">
        <f>CONCATENATE("",E1," Tot Exp/Non-Appr Must Be:")</f>
        <v>0 Tot Exp/Non-Appr Must Be:</v>
      </c>
      <c r="H23" s="565"/>
      <c r="I23" s="566"/>
      <c r="J23" s="567">
        <f>IF(J21&gt;0,IF(E39&lt;E24,IF(J21=G34,E39,((J21-G34)*(1-D41))+E24),E39+(J21-G34)),0)</f>
        <v>0</v>
      </c>
    </row>
    <row r="24" spans="2:10" ht="15.75">
      <c r="B24" s="554" t="s">
        <v>20</v>
      </c>
      <c r="C24" s="555">
        <f>C6+C23</f>
        <v>0</v>
      </c>
      <c r="D24" s="555">
        <f>D6+D23</f>
        <v>0</v>
      </c>
      <c r="E24" s="556">
        <f>E6+E23</f>
        <v>0</v>
      </c>
      <c r="G24" s="568" t="s">
        <v>700</v>
      </c>
      <c r="H24" s="569"/>
      <c r="I24" s="569"/>
      <c r="J24" s="570">
        <f>IF(J21&gt;0,J23-E39,0)</f>
        <v>0</v>
      </c>
    </row>
    <row r="25" spans="2:5" ht="15.75">
      <c r="B25" s="538" t="s">
        <v>21</v>
      </c>
      <c r="C25" s="538"/>
      <c r="D25" s="540"/>
      <c r="E25" s="541"/>
    </row>
    <row r="26" spans="2:10" ht="15.75">
      <c r="B26" s="548"/>
      <c r="C26" s="543"/>
      <c r="D26" s="545"/>
      <c r="E26" s="546"/>
      <c r="G26" s="903" t="str">
        <f>CONCATENATE("Projected Carryover Into ",E1+1,"")</f>
        <v>Projected Carryover Into 1</v>
      </c>
      <c r="H26" s="906"/>
      <c r="I26" s="906"/>
      <c r="J26" s="907"/>
    </row>
    <row r="27" spans="2:10" ht="15.75">
      <c r="B27" s="548"/>
      <c r="C27" s="543"/>
      <c r="D27" s="545"/>
      <c r="E27" s="546"/>
      <c r="G27" s="557"/>
      <c r="H27" s="559"/>
      <c r="I27" s="559"/>
      <c r="J27" s="572"/>
    </row>
    <row r="28" spans="2:10" ht="15.75">
      <c r="B28" s="548"/>
      <c r="C28" s="545"/>
      <c r="D28" s="545"/>
      <c r="E28" s="546"/>
      <c r="G28" s="575">
        <f>D36</f>
        <v>0</v>
      </c>
      <c r="H28" s="576" t="str">
        <f>CONCATENATE("",E1-1," Ending Cash Balance (est.)")</f>
        <v>-1 Ending Cash Balance (est.)</v>
      </c>
      <c r="I28" s="577"/>
      <c r="J28" s="572"/>
    </row>
    <row r="29" spans="2:10" ht="15.75">
      <c r="B29" s="548"/>
      <c r="C29" s="543"/>
      <c r="D29" s="545"/>
      <c r="E29" s="546"/>
      <c r="G29" s="575">
        <f>E23</f>
        <v>0</v>
      </c>
      <c r="H29" s="559" t="str">
        <f>CONCATENATE("",E1," Non-AV Receipts (est.)")</f>
        <v>0 Non-AV Receipts (est.)</v>
      </c>
      <c r="I29" s="577"/>
      <c r="J29" s="572"/>
    </row>
    <row r="30" spans="2:11" ht="15.75">
      <c r="B30" s="548"/>
      <c r="C30" s="543"/>
      <c r="D30" s="545"/>
      <c r="E30" s="546"/>
      <c r="G30" s="582">
        <f>IF(E41&gt;0,E40,E42)</f>
        <v>0</v>
      </c>
      <c r="H30" s="559" t="str">
        <f>CONCATENATE("",E1," Ad Valorem Tax (est.)")</f>
        <v>0 Ad Valorem Tax (est.)</v>
      </c>
      <c r="I30" s="559"/>
      <c r="J30" s="672"/>
      <c r="K30" s="673">
        <f>IF(G30=E42,"","Note: Does not include Delinquent Taxes")</f>
      </c>
    </row>
    <row r="31" spans="2:10" ht="15.75">
      <c r="B31" s="548"/>
      <c r="C31" s="543"/>
      <c r="D31" s="545"/>
      <c r="E31" s="546"/>
      <c r="G31" s="575">
        <f>SUM(G28:G30)</f>
        <v>0</v>
      </c>
      <c r="H31" s="559" t="str">
        <f>CONCATENATE("Total ",E1," Resources Available")</f>
        <v>Total 0 Resources Available</v>
      </c>
      <c r="I31" s="577"/>
      <c r="J31" s="572"/>
    </row>
    <row r="32" spans="2:10" ht="15.75">
      <c r="B32" s="571" t="str">
        <f>CONCATENATE("Cash Basis Reserve (",E1," column)")</f>
        <v>Cash Basis Reserve (0 column)</v>
      </c>
      <c r="C32" s="543"/>
      <c r="D32" s="545"/>
      <c r="E32" s="546"/>
      <c r="G32" s="586"/>
      <c r="H32" s="559"/>
      <c r="I32" s="559"/>
      <c r="J32" s="572"/>
    </row>
    <row r="33" spans="2:10" ht="15.75">
      <c r="B33" s="571" t="s">
        <v>178</v>
      </c>
      <c r="C33" s="551"/>
      <c r="D33" s="545"/>
      <c r="E33" s="546"/>
      <c r="G33" s="582">
        <f>C35</f>
        <v>0</v>
      </c>
      <c r="H33" s="559" t="str">
        <f>CONCATENATE("Less ",E1-2," Expenditures")</f>
        <v>Less -2 Expenditures</v>
      </c>
      <c r="I33" s="559"/>
      <c r="J33" s="572"/>
    </row>
    <row r="34" spans="2:10" ht="15.75">
      <c r="B34" s="571" t="s">
        <v>535</v>
      </c>
      <c r="C34" s="552">
        <f>IF(C35*0.1&lt;C33,"Exceed 10% Rule","")</f>
      </c>
      <c r="D34" s="552">
        <f>IF(D35*0.1&lt;D33,"Exceed 10% Rule","")</f>
      </c>
      <c r="E34" s="553">
        <f>IF(E35*0.1&lt;E33,"Exceed 10% Rule","")</f>
      </c>
      <c r="G34" s="590">
        <f>G31-G33</f>
        <v>0</v>
      </c>
      <c r="H34" s="591" t="str">
        <f>CONCATENATE("Projected ",E1+1," carryover (est.)")</f>
        <v>Projected 1 carryover (est.)</v>
      </c>
      <c r="I34" s="592"/>
      <c r="J34" s="593"/>
    </row>
    <row r="35" spans="2:5" ht="15.75">
      <c r="B35" s="554" t="s">
        <v>22</v>
      </c>
      <c r="C35" s="573">
        <f>SUM(C26:C33)</f>
        <v>0</v>
      </c>
      <c r="D35" s="573">
        <f>SUM(D26:D33)</f>
        <v>0</v>
      </c>
      <c r="E35" s="574">
        <f>SUM(E26:E33)</f>
        <v>0</v>
      </c>
    </row>
    <row r="36" spans="2:10" ht="15.75">
      <c r="B36" s="538" t="s">
        <v>104</v>
      </c>
      <c r="C36" s="578">
        <f>C24-C35</f>
        <v>0</v>
      </c>
      <c r="D36" s="578">
        <f>D24-D35</f>
        <v>0</v>
      </c>
      <c r="E36" s="544" t="s">
        <v>251</v>
      </c>
      <c r="F36" s="579"/>
      <c r="G36" s="910" t="s">
        <v>701</v>
      </c>
      <c r="H36" s="911"/>
      <c r="I36" s="911"/>
      <c r="J36" s="912"/>
    </row>
    <row r="37" spans="2:10" ht="15.75">
      <c r="B37" s="689" t="str">
        <f>CONCATENATE("",E1-2,"/",E1-1,"/",E1," Budget Authority Amount:")</f>
        <v>-2/-1/0 Budget Authority Amount:</v>
      </c>
      <c r="C37" s="688">
        <f>inputOth!B49</f>
        <v>0</v>
      </c>
      <c r="D37" s="687">
        <f>inputPrYr!D20</f>
        <v>0</v>
      </c>
      <c r="E37" s="541">
        <f>E35</f>
        <v>0</v>
      </c>
      <c r="F37" s="581"/>
      <c r="G37" s="597"/>
      <c r="H37" s="576"/>
      <c r="I37" s="598"/>
      <c r="J37" s="599"/>
    </row>
    <row r="38" spans="2:10" ht="15.75">
      <c r="B38" s="580"/>
      <c r="C38" s="893" t="s">
        <v>536</v>
      </c>
      <c r="D38" s="894"/>
      <c r="E38" s="546"/>
      <c r="F38" s="584">
        <f>IF(E35/0.95-E35&lt;E38,"Exceeds 5%","")</f>
      </c>
      <c r="G38" s="600" t="str">
        <f>summ!I19</f>
        <v> </v>
      </c>
      <c r="H38" s="576" t="str">
        <f>CONCATENATE("",E1," Fund Mill Rate")</f>
        <v>0 Fund Mill Rate</v>
      </c>
      <c r="I38" s="598"/>
      <c r="J38" s="599"/>
    </row>
    <row r="39" spans="2:10" ht="15.75">
      <c r="B39" s="585" t="str">
        <f>CONCATENATE(C97,"     ",D97)</f>
        <v>     </v>
      </c>
      <c r="C39" s="895" t="s">
        <v>537</v>
      </c>
      <c r="D39" s="896"/>
      <c r="E39" s="541">
        <f>E35+E38</f>
        <v>0</v>
      </c>
      <c r="F39" s="579"/>
      <c r="G39" s="601" t="str">
        <f>summ!F19</f>
        <v>  </v>
      </c>
      <c r="H39" s="576" t="str">
        <f>CONCATENATE("",E1-1," Fund Mill Rate")</f>
        <v>-1 Fund Mill Rate</v>
      </c>
      <c r="I39" s="598"/>
      <c r="J39" s="599"/>
    </row>
    <row r="40" spans="2:10" ht="15.75">
      <c r="B40" s="585" t="str">
        <f>CONCATENATE(C98,"     ",D98)</f>
        <v>     </v>
      </c>
      <c r="C40" s="587"/>
      <c r="D40" s="527" t="s">
        <v>24</v>
      </c>
      <c r="E40" s="588">
        <f>IF(E39-E24&gt;0,E39-E24,0)</f>
        <v>0</v>
      </c>
      <c r="F40" s="579"/>
      <c r="G40" s="603">
        <f>summ!I32</f>
        <v>0</v>
      </c>
      <c r="H40" s="576" t="str">
        <f>CONCATENATE("Total ",E1," Mill Rate")</f>
        <v>Total 0 Mill Rate</v>
      </c>
      <c r="I40" s="598"/>
      <c r="J40" s="599"/>
    </row>
    <row r="41" spans="2:10" ht="15.75">
      <c r="B41" s="527"/>
      <c r="C41" s="352" t="s">
        <v>538</v>
      </c>
      <c r="D41" s="589">
        <f>inputOth!E42</f>
        <v>0</v>
      </c>
      <c r="E41" s="541">
        <f>ROUND(IF(D41&gt;0,(E40*D41),0),0)</f>
        <v>0</v>
      </c>
      <c r="F41" s="579"/>
      <c r="G41" s="601">
        <f>summ!F32</f>
        <v>0</v>
      </c>
      <c r="H41" s="604" t="str">
        <f>CONCATENATE("Total ",E1-1," Mill Rate")</f>
        <v>Total -1 Mill Rate</v>
      </c>
      <c r="I41" s="605"/>
      <c r="J41" s="606"/>
    </row>
    <row r="42" spans="2:6" ht="16.5" thickBot="1">
      <c r="B42" s="524"/>
      <c r="C42" s="908" t="str">
        <f>CONCATENATE("Amount of  ",E1-1," Ad Valorem Tax")</f>
        <v>Amount of  -1 Ad Valorem Tax</v>
      </c>
      <c r="D42" s="909"/>
      <c r="E42" s="595">
        <f>SUM(E40:E41)</f>
        <v>0</v>
      </c>
      <c r="F42" s="579"/>
    </row>
    <row r="43" spans="2:10" ht="16.5" thickTop="1">
      <c r="B43" s="524"/>
      <c r="C43" s="908"/>
      <c r="D43" s="909"/>
      <c r="E43" s="596"/>
      <c r="F43" s="579"/>
      <c r="G43" s="776" t="s">
        <v>833</v>
      </c>
      <c r="H43" s="777"/>
      <c r="I43" s="786"/>
      <c r="J43" s="779" t="str">
        <f>cert!G37</f>
        <v>No</v>
      </c>
    </row>
    <row r="44" spans="2:10" ht="15.75">
      <c r="B44" s="524"/>
      <c r="C44" s="594"/>
      <c r="D44" s="524"/>
      <c r="E44" s="524"/>
      <c r="F44" s="579"/>
      <c r="G44" s="787" t="str">
        <f>CONCATENATE("Computed ",E1," tax levy limit amount")</f>
        <v>Computed 0 tax levy limit amount</v>
      </c>
      <c r="H44" s="788"/>
      <c r="I44" s="788"/>
      <c r="J44" s="789">
        <f>computation!J41</f>
        <v>0</v>
      </c>
    </row>
    <row r="45" spans="2:10" ht="15.75">
      <c r="B45" s="530"/>
      <c r="C45" s="530"/>
      <c r="D45" s="528"/>
      <c r="E45" s="528"/>
      <c r="F45" s="579"/>
      <c r="G45" s="790" t="str">
        <f>CONCATENATE("Total ",E1," tax levy amount")</f>
        <v>Total 0 tax levy amount</v>
      </c>
      <c r="H45" s="791"/>
      <c r="I45" s="791"/>
      <c r="J45" s="792">
        <f>summ!H32</f>
        <v>0</v>
      </c>
    </row>
    <row r="46" spans="2:6" ht="15.75">
      <c r="B46" s="530" t="s">
        <v>6</v>
      </c>
      <c r="C46" s="531" t="s">
        <v>697</v>
      </c>
      <c r="D46" s="532" t="s">
        <v>698</v>
      </c>
      <c r="E46" s="533" t="s">
        <v>699</v>
      </c>
      <c r="F46" s="579"/>
    </row>
    <row r="47" spans="2:6" ht="15.75">
      <c r="B47" s="602" t="str">
        <f>inputPrYr!B21</f>
        <v>Library</v>
      </c>
      <c r="C47" s="535" t="str">
        <f>CONCATENATE("Actual for ",$E$1-2,"")</f>
        <v>Actual for -2</v>
      </c>
      <c r="D47" s="536" t="str">
        <f>CONCATENATE("Estimate for ",$E$1-1,"")</f>
        <v>Estimate for -1</v>
      </c>
      <c r="E47" s="537" t="str">
        <f>CONCATENATE("Year for ",$E$1,"")</f>
        <v>Year for 0</v>
      </c>
      <c r="F47" s="579"/>
    </row>
    <row r="48" spans="2:6" ht="15.75">
      <c r="B48" s="538" t="s">
        <v>117</v>
      </c>
      <c r="C48" s="543">
        <v>0</v>
      </c>
      <c r="D48" s="540">
        <f>C78</f>
        <v>0</v>
      </c>
      <c r="E48" s="541">
        <f>D78</f>
        <v>0</v>
      </c>
      <c r="F48" s="579"/>
    </row>
    <row r="49" spans="2:6" ht="15.75">
      <c r="B49" s="607" t="s">
        <v>105</v>
      </c>
      <c r="C49" s="538"/>
      <c r="D49" s="540"/>
      <c r="E49" s="541"/>
      <c r="F49" s="579"/>
    </row>
    <row r="50" spans="2:6" ht="15.75">
      <c r="B50" s="538" t="s">
        <v>12</v>
      </c>
      <c r="C50" s="551"/>
      <c r="D50" s="540">
        <f>IF(inputPrYr!H18&gt;0,inputPrYr!G21,inputPrYr!E21)</f>
        <v>0</v>
      </c>
      <c r="E50" s="544" t="s">
        <v>251</v>
      </c>
      <c r="F50" s="579"/>
    </row>
    <row r="51" spans="2:6" ht="15.75">
      <c r="B51" s="538" t="s">
        <v>13</v>
      </c>
      <c r="C51" s="551"/>
      <c r="D51" s="545"/>
      <c r="E51" s="546"/>
      <c r="F51" s="579"/>
    </row>
    <row r="52" spans="2:6" ht="15.75">
      <c r="B52" s="538" t="s">
        <v>14</v>
      </c>
      <c r="C52" s="551"/>
      <c r="D52" s="545"/>
      <c r="E52" s="541">
        <f>mvalloc!D13</f>
        <v>0</v>
      </c>
      <c r="F52" s="579"/>
    </row>
    <row r="53" spans="2:6" ht="15.75">
      <c r="B53" s="538" t="s">
        <v>15</v>
      </c>
      <c r="C53" s="551"/>
      <c r="D53" s="545"/>
      <c r="E53" s="541">
        <f>mvalloc!E13</f>
        <v>0</v>
      </c>
      <c r="F53" s="579"/>
    </row>
    <row r="54" spans="2:5" ht="15.75">
      <c r="B54" s="547" t="s">
        <v>93</v>
      </c>
      <c r="C54" s="551"/>
      <c r="D54" s="545"/>
      <c r="E54" s="541">
        <f>mvalloc!F13</f>
        <v>0</v>
      </c>
    </row>
    <row r="55" spans="2:5" ht="15.75">
      <c r="B55" s="771" t="s">
        <v>825</v>
      </c>
      <c r="C55" s="551"/>
      <c r="D55" s="545"/>
      <c r="E55" s="541">
        <f>mvalloc!G13</f>
        <v>0</v>
      </c>
    </row>
    <row r="56" spans="2:5" ht="15.75">
      <c r="B56" s="771" t="s">
        <v>826</v>
      </c>
      <c r="C56" s="551"/>
      <c r="D56" s="545"/>
      <c r="E56" s="541">
        <f>mvalloc!H13</f>
        <v>0</v>
      </c>
    </row>
    <row r="57" spans="2:5" ht="15.75">
      <c r="B57" s="548"/>
      <c r="C57" s="551"/>
      <c r="D57" s="545"/>
      <c r="E57" s="549"/>
    </row>
    <row r="58" spans="2:5" ht="15.75">
      <c r="B58" s="548"/>
      <c r="C58" s="551"/>
      <c r="D58" s="545"/>
      <c r="E58" s="549"/>
    </row>
    <row r="59" spans="2:5" ht="15.75">
      <c r="B59" s="548"/>
      <c r="C59" s="551"/>
      <c r="D59" s="545"/>
      <c r="E59" s="546"/>
    </row>
    <row r="60" spans="2:5" ht="15.75">
      <c r="B60" s="548"/>
      <c r="C60" s="551"/>
      <c r="D60" s="545"/>
      <c r="E60" s="546"/>
    </row>
    <row r="61" spans="2:10" ht="15.75">
      <c r="B61" s="550" t="s">
        <v>18</v>
      </c>
      <c r="C61" s="551"/>
      <c r="D61" s="545"/>
      <c r="E61" s="546"/>
      <c r="G61" s="903" t="str">
        <f>CONCATENATE("Desired Carryover Into ",E1+1,"")</f>
        <v>Desired Carryover Into 1</v>
      </c>
      <c r="H61" s="904"/>
      <c r="I61" s="904"/>
      <c r="J61" s="905"/>
    </row>
    <row r="62" spans="2:10" ht="15.75">
      <c r="B62" s="547" t="s">
        <v>180</v>
      </c>
      <c r="C62" s="551"/>
      <c r="D62" s="545"/>
      <c r="E62" s="541">
        <f>nhood!E8*-1</f>
        <v>0</v>
      </c>
      <c r="G62" s="557"/>
      <c r="H62" s="558"/>
      <c r="I62" s="559"/>
      <c r="J62" s="560"/>
    </row>
    <row r="63" spans="2:10" ht="15.75">
      <c r="B63" s="538" t="s">
        <v>178</v>
      </c>
      <c r="C63" s="551"/>
      <c r="D63" s="551"/>
      <c r="E63" s="608"/>
      <c r="G63" s="561" t="s">
        <v>626</v>
      </c>
      <c r="H63" s="559"/>
      <c r="I63" s="559"/>
      <c r="J63" s="562">
        <v>0</v>
      </c>
    </row>
    <row r="64" spans="2:10" ht="15.75">
      <c r="B64" s="538" t="s">
        <v>703</v>
      </c>
      <c r="C64" s="552">
        <f>IF(C65*0.1&lt;C63,"Exceed 10% Rule","")</f>
      </c>
      <c r="D64" s="552">
        <f>IF(D65*0.1&lt;D63,"Exceeds 10% Rule","")</f>
      </c>
      <c r="E64" s="553">
        <f>IF(E65*0.1+E84&lt;E63,"Exceed 10% Rule","")</f>
      </c>
      <c r="G64" s="557" t="s">
        <v>627</v>
      </c>
      <c r="H64" s="558"/>
      <c r="I64" s="558"/>
      <c r="J64" s="563">
        <f>IF(J63=0,"",ROUND((J63+E84-G76)/inputOth!E7*1000,3)-G81)</f>
      </c>
    </row>
    <row r="65" spans="2:10" ht="15.75">
      <c r="B65" s="554" t="s">
        <v>19</v>
      </c>
      <c r="C65" s="573">
        <f>SUM(C50:C63)</f>
        <v>0</v>
      </c>
      <c r="D65" s="573">
        <f>SUM(D50:D63)</f>
        <v>0</v>
      </c>
      <c r="E65" s="574">
        <f>SUM(E51:E63)</f>
        <v>0</v>
      </c>
      <c r="G65" s="564" t="str">
        <f>CONCATENATE("",E1," Tot Exp/Non-Appr Must Be:")</f>
        <v>0 Tot Exp/Non-Appr Must Be:</v>
      </c>
      <c r="H65" s="565"/>
      <c r="I65" s="566"/>
      <c r="J65" s="567">
        <f>IF(J63&gt;0,IF(E81&lt;E66,IF(J63=G76,E81,((J63-G76)*(1-D83))+E66),E81+(J63-G76)),0)</f>
        <v>0</v>
      </c>
    </row>
    <row r="66" spans="2:10" ht="15.75">
      <c r="B66" s="554" t="s">
        <v>20</v>
      </c>
      <c r="C66" s="573">
        <f>C48+C65</f>
        <v>0</v>
      </c>
      <c r="D66" s="573">
        <f>D48+D65</f>
        <v>0</v>
      </c>
      <c r="E66" s="574">
        <f>E48+E65</f>
        <v>0</v>
      </c>
      <c r="G66" s="568" t="s">
        <v>700</v>
      </c>
      <c r="H66" s="569"/>
      <c r="I66" s="569"/>
      <c r="J66" s="570">
        <f>IF(J63&gt;0,J65-E81,0)</f>
        <v>0</v>
      </c>
    </row>
    <row r="67" spans="2:5" ht="15.75">
      <c r="B67" s="538" t="s">
        <v>21</v>
      </c>
      <c r="C67" s="538"/>
      <c r="D67" s="540"/>
      <c r="E67" s="541"/>
    </row>
    <row r="68" spans="2:10" ht="15.75">
      <c r="B68" s="548"/>
      <c r="C68" s="543"/>
      <c r="D68" s="545"/>
      <c r="E68" s="546"/>
      <c r="G68" s="903" t="str">
        <f>CONCATENATE("Projected Carryover Into ",E1+1,"")</f>
        <v>Projected Carryover Into 1</v>
      </c>
      <c r="H68" s="913"/>
      <c r="I68" s="913"/>
      <c r="J68" s="907"/>
    </row>
    <row r="69" spans="2:10" ht="15.75">
      <c r="B69" s="548"/>
      <c r="C69" s="543"/>
      <c r="D69" s="545"/>
      <c r="E69" s="546"/>
      <c r="G69" s="609"/>
      <c r="H69" s="558"/>
      <c r="I69" s="558"/>
      <c r="J69" s="610"/>
    </row>
    <row r="70" spans="2:10" ht="15.75">
      <c r="B70" s="548"/>
      <c r="C70" s="543"/>
      <c r="D70" s="545"/>
      <c r="E70" s="546"/>
      <c r="G70" s="575">
        <f>D78</f>
        <v>0</v>
      </c>
      <c r="H70" s="576" t="str">
        <f>CONCATENATE("",E1-1," Ending Cash Balance (est.)")</f>
        <v>-1 Ending Cash Balance (est.)</v>
      </c>
      <c r="I70" s="577"/>
      <c r="J70" s="610"/>
    </row>
    <row r="71" spans="2:10" ht="15.75">
      <c r="B71" s="548"/>
      <c r="C71" s="543"/>
      <c r="D71" s="545"/>
      <c r="E71" s="546"/>
      <c r="G71" s="575">
        <f>E65</f>
        <v>0</v>
      </c>
      <c r="H71" s="559" t="str">
        <f>CONCATENATE("",E1," Non-AV Receipts (est.)")</f>
        <v>0 Non-AV Receipts (est.)</v>
      </c>
      <c r="I71" s="577"/>
      <c r="J71" s="610"/>
    </row>
    <row r="72" spans="2:11" ht="15.75">
      <c r="B72" s="548"/>
      <c r="C72" s="543"/>
      <c r="D72" s="545"/>
      <c r="E72" s="546"/>
      <c r="G72" s="582">
        <f>IF(E83&gt;0,E82,E84)</f>
        <v>0</v>
      </c>
      <c r="H72" s="559" t="str">
        <f>CONCATENATE("",E1," Ad Valorem Tax (est.)")</f>
        <v>0 Ad Valorem Tax (est.)</v>
      </c>
      <c r="I72" s="559"/>
      <c r="J72" s="829"/>
      <c r="K72" s="673">
        <f>IF(G72=E84,"","Note: Does not include Delinquent Taxes")</f>
      </c>
    </row>
    <row r="73" spans="2:10" ht="15.75">
      <c r="B73" s="548"/>
      <c r="C73" s="543"/>
      <c r="D73" s="545"/>
      <c r="E73" s="546"/>
      <c r="G73" s="612">
        <f>SUM(G70:G72)</f>
        <v>0</v>
      </c>
      <c r="H73" s="559" t="str">
        <f>CONCATENATE("Total ",E1," Resources Available")</f>
        <v>Total 0 Resources Available</v>
      </c>
      <c r="I73" s="613"/>
      <c r="J73" s="610"/>
    </row>
    <row r="74" spans="2:10" ht="15.75">
      <c r="B74" s="548"/>
      <c r="C74" s="543"/>
      <c r="D74" s="545"/>
      <c r="E74" s="546"/>
      <c r="F74" s="579"/>
      <c r="G74" s="614"/>
      <c r="H74" s="615"/>
      <c r="I74" s="558"/>
      <c r="J74" s="610"/>
    </row>
    <row r="75" spans="2:10" ht="15.75">
      <c r="B75" s="547" t="s">
        <v>178</v>
      </c>
      <c r="C75" s="551"/>
      <c r="D75" s="545"/>
      <c r="E75" s="546"/>
      <c r="F75" s="579"/>
      <c r="G75" s="582">
        <f>ROUND(C77*0.05+C77,0)</f>
        <v>0</v>
      </c>
      <c r="H75" s="559" t="str">
        <f>CONCATENATE("Less ",E1-2," Expenditures + 5%")</f>
        <v>Less -2 Expenditures + 5%</v>
      </c>
      <c r="I75" s="613"/>
      <c r="J75" s="610"/>
    </row>
    <row r="76" spans="2:10" ht="15.75">
      <c r="B76" s="547" t="s">
        <v>535</v>
      </c>
      <c r="C76" s="552">
        <f>IF(C77*0.1&lt;C75,"Exceed 10% Rule","")</f>
      </c>
      <c r="D76" s="552">
        <f>IF(D77*0.1&lt;D75,"Exceed 10% Rule","")</f>
      </c>
      <c r="E76" s="553">
        <f>IF(E77*0.1&lt;E75,"Exceed 10% Rule","")</f>
      </c>
      <c r="F76" s="579"/>
      <c r="G76" s="590">
        <f>G73-G75</f>
        <v>0</v>
      </c>
      <c r="H76" s="591" t="str">
        <f>CONCATENATE("Projected ",E1+1," carryover (est.)")</f>
        <v>Projected 1 carryover (est.)</v>
      </c>
      <c r="I76" s="616"/>
      <c r="J76" s="617"/>
    </row>
    <row r="77" spans="2:6" ht="15.75">
      <c r="B77" s="554" t="s">
        <v>22</v>
      </c>
      <c r="C77" s="573">
        <f>SUM(C68:C75)</f>
        <v>0</v>
      </c>
      <c r="D77" s="573">
        <f>SUM(D68:D75)</f>
        <v>0</v>
      </c>
      <c r="E77" s="574">
        <f>SUM(E68:E75)</f>
        <v>0</v>
      </c>
      <c r="F77" s="579"/>
    </row>
    <row r="78" spans="2:10" ht="15.75">
      <c r="B78" s="538" t="s">
        <v>104</v>
      </c>
      <c r="C78" s="578">
        <f>C66-C77</f>
        <v>0</v>
      </c>
      <c r="D78" s="578">
        <f>D66-D77</f>
        <v>0</v>
      </c>
      <c r="E78" s="544" t="s">
        <v>251</v>
      </c>
      <c r="F78" s="579"/>
      <c r="G78" s="910" t="s">
        <v>701</v>
      </c>
      <c r="H78" s="911"/>
      <c r="I78" s="911"/>
      <c r="J78" s="912"/>
    </row>
    <row r="79" spans="2:10" ht="15.75">
      <c r="B79" s="689" t="str">
        <f>CONCATENATE("",E1-2,"/",E1-1,"/",E1," Budget Authority Amount:")</f>
        <v>-2/-1/0 Budget Authority Amount:</v>
      </c>
      <c r="C79" s="688">
        <f>inputOth!B50</f>
        <v>0</v>
      </c>
      <c r="D79" s="688">
        <f>inputPrYr!D21</f>
        <v>0</v>
      </c>
      <c r="E79" s="541">
        <f>E77</f>
        <v>0</v>
      </c>
      <c r="F79" s="581"/>
      <c r="G79" s="597"/>
      <c r="H79" s="576"/>
      <c r="I79" s="598"/>
      <c r="J79" s="599"/>
    </row>
    <row r="80" spans="2:10" ht="15.75">
      <c r="B80" s="580"/>
      <c r="C80" s="893" t="s">
        <v>536</v>
      </c>
      <c r="D80" s="894"/>
      <c r="E80" s="546"/>
      <c r="F80" s="611">
        <f>IF(E77/0.95-E77&lt;E80,"Exceeds 5%","")</f>
      </c>
      <c r="G80" s="600" t="str">
        <f>summ!I20</f>
        <v> </v>
      </c>
      <c r="H80" s="576" t="str">
        <f>CONCATENATE("",E1," Fund Mill Rate")</f>
        <v>0 Fund Mill Rate</v>
      </c>
      <c r="I80" s="598"/>
      <c r="J80" s="599"/>
    </row>
    <row r="81" spans="2:10" ht="15.75">
      <c r="B81" s="585" t="str">
        <f>CONCATENATE(C99,"     ",D99)</f>
        <v>     </v>
      </c>
      <c r="C81" s="895" t="s">
        <v>537</v>
      </c>
      <c r="D81" s="896"/>
      <c r="E81" s="541">
        <f>E77+E80</f>
        <v>0</v>
      </c>
      <c r="F81" s="579"/>
      <c r="G81" s="601" t="str">
        <f>summ!F20</f>
        <v>  </v>
      </c>
      <c r="H81" s="576" t="str">
        <f>CONCATENATE("",E1-1," Fund Mill Rate")</f>
        <v>-1 Fund Mill Rate</v>
      </c>
      <c r="I81" s="598"/>
      <c r="J81" s="599"/>
    </row>
    <row r="82" spans="2:10" ht="15.75">
      <c r="B82" s="585" t="str">
        <f>CONCATENATE(C100,"     ",D100)</f>
        <v>     </v>
      </c>
      <c r="C82" s="587"/>
      <c r="D82" s="527" t="s">
        <v>24</v>
      </c>
      <c r="E82" s="588">
        <f>IF(E81-E66&gt;0,E81-E66,0)</f>
        <v>0</v>
      </c>
      <c r="F82" s="579"/>
      <c r="G82" s="603">
        <f>summ!I32</f>
        <v>0</v>
      </c>
      <c r="H82" s="576" t="str">
        <f>CONCATENATE("Total ",E1," Mill Rate")</f>
        <v>Total 0 Mill Rate</v>
      </c>
      <c r="I82" s="598"/>
      <c r="J82" s="599"/>
    </row>
    <row r="83" spans="2:10" ht="15.75">
      <c r="B83" s="527"/>
      <c r="C83" s="352" t="s">
        <v>538</v>
      </c>
      <c r="D83" s="589">
        <f>inputOth!E42</f>
        <v>0</v>
      </c>
      <c r="E83" s="541">
        <f>ROUND(IF(E82&gt;0,(E82*D83),0),0)</f>
        <v>0</v>
      </c>
      <c r="F83" s="579"/>
      <c r="G83" s="601">
        <f>summ!F32</f>
        <v>0</v>
      </c>
      <c r="H83" s="604" t="str">
        <f>CONCATENATE("Total ",E1-1," Mill Rate")</f>
        <v>Total -1 Mill Rate</v>
      </c>
      <c r="I83" s="605"/>
      <c r="J83" s="606"/>
    </row>
    <row r="84" spans="2:10" ht="16.5" thickBot="1">
      <c r="B84" s="524"/>
      <c r="C84" s="908" t="str">
        <f>CONCATENATE("Amount of  ",E1-1," Ad Valorem Tax")</f>
        <v>Amount of  -1 Ad Valorem Tax</v>
      </c>
      <c r="D84" s="909"/>
      <c r="E84" s="595">
        <f>E82+E83</f>
        <v>0</v>
      </c>
      <c r="F84" s="618" t="str">
        <f>IF('Library Grant'!F33="","",IF('Library Grant'!F33="Qualify","Qualifies for State Library Grant","See 'Library Grant' tab"))</f>
        <v>Qualifies for State Library Grant</v>
      </c>
      <c r="G84" s="619"/>
      <c r="H84" s="619"/>
      <c r="I84" s="619"/>
      <c r="J84" s="619"/>
    </row>
    <row r="85" spans="2:10" ht="16.5" thickTop="1">
      <c r="B85" s="527"/>
      <c r="C85" s="908"/>
      <c r="D85" s="909"/>
      <c r="E85" s="596"/>
      <c r="F85" s="579"/>
      <c r="G85" s="776" t="s">
        <v>833</v>
      </c>
      <c r="H85" s="777"/>
      <c r="I85" s="786"/>
      <c r="J85" s="779" t="str">
        <f>cert!G37</f>
        <v>No</v>
      </c>
    </row>
    <row r="86" spans="2:10" ht="15.75">
      <c r="B86" s="527"/>
      <c r="C86" s="527"/>
      <c r="D86" s="527"/>
      <c r="E86" s="527"/>
      <c r="G86" s="787" t="str">
        <f>CONCATENATE("Computed ",E1," tax levy limit amount")</f>
        <v>Computed 0 tax levy limit amount</v>
      </c>
      <c r="H86" s="788"/>
      <c r="I86" s="788"/>
      <c r="J86" s="789">
        <f>computation!J41</f>
        <v>0</v>
      </c>
    </row>
    <row r="87" spans="2:10" ht="15.75">
      <c r="B87" s="527" t="s">
        <v>5</v>
      </c>
      <c r="C87" s="750"/>
      <c r="D87" s="527"/>
      <c r="E87" s="527"/>
      <c r="F87" s="579"/>
      <c r="G87" s="790" t="str">
        <f>CONCATENATE("Total ",E1," tax levy amount")</f>
        <v>Total 0 tax levy amount</v>
      </c>
      <c r="H87" s="791"/>
      <c r="I87" s="791"/>
      <c r="J87" s="792">
        <f>summ!H32</f>
        <v>0</v>
      </c>
    </row>
    <row r="92" spans="3:4" ht="15.75">
      <c r="C92" s="620" t="s">
        <v>702</v>
      </c>
      <c r="D92" s="620" t="s">
        <v>702</v>
      </c>
    </row>
    <row r="93" spans="3:4" ht="15.75">
      <c r="C93" s="620" t="s">
        <v>702</v>
      </c>
      <c r="D93" s="620" t="s">
        <v>702</v>
      </c>
    </row>
    <row r="95" spans="3:4" ht="15.75">
      <c r="C95" s="620" t="s">
        <v>702</v>
      </c>
      <c r="D95" s="620" t="s">
        <v>702</v>
      </c>
    </row>
    <row r="96" spans="3:4" ht="15.75">
      <c r="C96" s="620" t="s">
        <v>702</v>
      </c>
      <c r="D96" s="620" t="s">
        <v>702</v>
      </c>
    </row>
    <row r="97" spans="3:4" ht="15.75" hidden="1">
      <c r="C97" s="621">
        <f>IF(C35&gt;C37,"See Tab A","")</f>
      </c>
      <c r="D97" s="621">
        <f>IF(D35&gt;D37,"See Tab C","")</f>
      </c>
    </row>
    <row r="98" spans="3:4" ht="15.75" hidden="1">
      <c r="C98" s="621">
        <f>IF(C36&lt;0,"See Tab B","")</f>
      </c>
      <c r="D98" s="621">
        <f>IF(D36&lt;0,"See Tab D","")</f>
      </c>
    </row>
    <row r="99" spans="3:4" ht="15.75" hidden="1">
      <c r="C99" s="622">
        <f>IF(C77&gt;C79,"See Tab A","")</f>
      </c>
      <c r="D99" s="622">
        <f>IF(D77&gt;D79,"See Tab C","")</f>
      </c>
    </row>
    <row r="100" spans="3:4" ht="15.75" hidden="1">
      <c r="C100" s="622">
        <f>IF(C78&lt;0,"See Tab B","")</f>
      </c>
      <c r="D100" s="622">
        <f>IF(D78&lt;0,"See Tab D","")</f>
      </c>
    </row>
  </sheetData>
  <sheetProtection sheet="1"/>
  <mergeCells count="14">
    <mergeCell ref="G61:J61"/>
    <mergeCell ref="G68:J68"/>
    <mergeCell ref="C80:D80"/>
    <mergeCell ref="C81:D81"/>
    <mergeCell ref="C84:D84"/>
    <mergeCell ref="C85:D85"/>
    <mergeCell ref="G78:J78"/>
    <mergeCell ref="G19:J19"/>
    <mergeCell ref="G26:J26"/>
    <mergeCell ref="C38:D38"/>
    <mergeCell ref="C39:D39"/>
    <mergeCell ref="C42:D42"/>
    <mergeCell ref="C43:D43"/>
    <mergeCell ref="G36:J36"/>
  </mergeCells>
  <conditionalFormatting sqref="C77">
    <cfRule type="cellIs" priority="16" dxfId="0" operator="greaterThan" stopIfTrue="1">
      <formula>$C$79</formula>
    </cfRule>
  </conditionalFormatting>
  <conditionalFormatting sqref="C78:D78 C36:D36">
    <cfRule type="cellIs" priority="15" dxfId="0" operator="lessThan" stopIfTrue="1">
      <formula>0</formula>
    </cfRule>
  </conditionalFormatting>
  <conditionalFormatting sqref="D77">
    <cfRule type="cellIs" priority="14" dxfId="0" operator="greaterThan" stopIfTrue="1">
      <formula>$D$79</formula>
    </cfRule>
  </conditionalFormatting>
  <conditionalFormatting sqref="C35">
    <cfRule type="cellIs" priority="13" dxfId="0" operator="greaterThan" stopIfTrue="1">
      <formula>$C$37</formula>
    </cfRule>
  </conditionalFormatting>
  <conditionalFormatting sqref="D35">
    <cfRule type="cellIs" priority="12" dxfId="0" operator="greaterThan" stopIfTrue="1">
      <formula>$D$37</formula>
    </cfRule>
  </conditionalFormatting>
  <conditionalFormatting sqref="C33">
    <cfRule type="cellIs" priority="11" dxfId="0" operator="greaterThan" stopIfTrue="1">
      <formula>$C$35*0.1</formula>
    </cfRule>
  </conditionalFormatting>
  <conditionalFormatting sqref="D33">
    <cfRule type="cellIs" priority="10" dxfId="0" operator="greaterThan" stopIfTrue="1">
      <formula>$D$35*0.1</formula>
    </cfRule>
  </conditionalFormatting>
  <conditionalFormatting sqref="E33">
    <cfRule type="cellIs" priority="9" dxfId="0" operator="greaterThan" stopIfTrue="1">
      <formula>$E$35*0.1</formula>
    </cfRule>
  </conditionalFormatting>
  <conditionalFormatting sqref="C21 C63:E63">
    <cfRule type="cellIs" priority="8" dxfId="0" operator="greaterThan" stopIfTrue="1">
      <formula>$C$23*0.1</formula>
    </cfRule>
  </conditionalFormatting>
  <conditionalFormatting sqref="D21">
    <cfRule type="cellIs" priority="7" dxfId="0" operator="greaterThan" stopIfTrue="1">
      <formula>$D$23*0.1</formula>
    </cfRule>
  </conditionalFormatting>
  <conditionalFormatting sqref="C75">
    <cfRule type="cellIs" priority="5" dxfId="0" operator="greaterThan" stopIfTrue="1">
      <formula>$C$77*0.1</formula>
    </cfRule>
  </conditionalFormatting>
  <conditionalFormatting sqref="D75">
    <cfRule type="cellIs" priority="4" dxfId="0" operator="greaterThan" stopIfTrue="1">
      <formula>$D$77*0.1</formula>
    </cfRule>
  </conditionalFormatting>
  <conditionalFormatting sqref="E75">
    <cfRule type="cellIs" priority="3" dxfId="0" operator="greaterThan" stopIfTrue="1">
      <formula>$E$77*0.1</formula>
    </cfRule>
  </conditionalFormatting>
  <conditionalFormatting sqref="E38">
    <cfRule type="cellIs" priority="2" dxfId="0" operator="greaterThan" stopIfTrue="1">
      <formula>$E$35/0.95-$E$35</formula>
    </cfRule>
  </conditionalFormatting>
  <conditionalFormatting sqref="E80">
    <cfRule type="cellIs" priority="1" dxfId="0" operator="greaterThan" stopIfTrue="1">
      <formula>$E$77/0.98-$E$77</formula>
    </cfRule>
  </conditionalFormatting>
  <conditionalFormatting sqref="E21">
    <cfRule type="cellIs" priority="31" dxfId="0" operator="greaterThan" stopIfTrue="1">
      <formula>$E$23*0.1+$E$42</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7"/>
  <sheetViews>
    <sheetView zoomScalePageLayoutView="0" workbookViewId="0" topLeftCell="A1">
      <selection activeCell="O162" sqref="O162"/>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3"/>
      <c r="D1" s="3"/>
      <c r="E1" s="4">
        <f>inputPrYr!D6</f>
        <v>0</v>
      </c>
    </row>
    <row r="2" spans="2:5" ht="15.75">
      <c r="B2" s="6"/>
      <c r="C2" s="3"/>
      <c r="D2" s="50"/>
      <c r="E2" s="51"/>
    </row>
    <row r="3" spans="2:5" ht="15.75">
      <c r="B3" s="480" t="s">
        <v>632</v>
      </c>
      <c r="C3" s="54"/>
      <c r="D3" s="54"/>
      <c r="E3" s="54"/>
    </row>
    <row r="4" spans="2:5" ht="15.75">
      <c r="B4" s="11" t="s">
        <v>6</v>
      </c>
      <c r="C4" s="340" t="s">
        <v>7</v>
      </c>
      <c r="D4" s="343" t="s">
        <v>8</v>
      </c>
      <c r="E4" s="12" t="s">
        <v>9</v>
      </c>
    </row>
    <row r="5" spans="2:5" ht="15.75">
      <c r="B5" s="349" t="str">
        <f>inputPrYr!B22</f>
        <v>Road</v>
      </c>
      <c r="C5" s="341" t="str">
        <f>gen!C5</f>
        <v>Actual for -2</v>
      </c>
      <c r="D5" s="341" t="str">
        <f>gen!D5</f>
        <v>Estimate for -1</v>
      </c>
      <c r="E5" s="15" t="str">
        <f>gen!E5</f>
        <v>Year for 0</v>
      </c>
    </row>
    <row r="6" spans="2:5" ht="15.75">
      <c r="B6" s="16" t="s">
        <v>103</v>
      </c>
      <c r="C6" s="18"/>
      <c r="D6" s="342">
        <f>C46</f>
        <v>0</v>
      </c>
      <c r="E6" s="21">
        <f>D46</f>
        <v>0</v>
      </c>
    </row>
    <row r="7" spans="2:5" ht="15.75">
      <c r="B7" s="16" t="s">
        <v>105</v>
      </c>
      <c r="C7" s="342"/>
      <c r="D7" s="342"/>
      <c r="E7" s="22"/>
    </row>
    <row r="8" spans="2:5" ht="15.75">
      <c r="B8" s="16" t="s">
        <v>12</v>
      </c>
      <c r="C8" s="18"/>
      <c r="D8" s="342">
        <f>IF(inputPrYr!H18&gt;0,inputPrYr!G22,inputPrYr!E22)</f>
        <v>0</v>
      </c>
      <c r="E8" s="22" t="s">
        <v>251</v>
      </c>
    </row>
    <row r="9" spans="2:5" ht="15.75">
      <c r="B9" s="16" t="s">
        <v>13</v>
      </c>
      <c r="C9" s="18"/>
      <c r="D9" s="18"/>
      <c r="E9" s="23"/>
    </row>
    <row r="10" spans="2:5" ht="15.75">
      <c r="B10" s="16" t="s">
        <v>14</v>
      </c>
      <c r="C10" s="18"/>
      <c r="D10" s="18"/>
      <c r="E10" s="21">
        <f>mvalloc!D14</f>
        <v>0</v>
      </c>
    </row>
    <row r="11" spans="2:5" ht="15.75">
      <c r="B11" s="16" t="s">
        <v>15</v>
      </c>
      <c r="C11" s="18"/>
      <c r="D11" s="18"/>
      <c r="E11" s="21">
        <f>mvalloc!E14</f>
        <v>0</v>
      </c>
    </row>
    <row r="12" spans="2:5" ht="15.75">
      <c r="B12" s="16" t="s">
        <v>93</v>
      </c>
      <c r="C12" s="18"/>
      <c r="D12" s="18"/>
      <c r="E12" s="21">
        <f>mvalloc!F14</f>
        <v>0</v>
      </c>
    </row>
    <row r="13" spans="2:5" ht="15.75">
      <c r="B13" s="771" t="s">
        <v>825</v>
      </c>
      <c r="C13" s="18"/>
      <c r="D13" s="18"/>
      <c r="E13" s="21">
        <f>mvalloc!G14</f>
        <v>0</v>
      </c>
    </row>
    <row r="14" spans="2:5" ht="15.75">
      <c r="B14" s="771" t="s">
        <v>826</v>
      </c>
      <c r="C14" s="18"/>
      <c r="D14" s="18"/>
      <c r="E14" s="21">
        <f>mvalloc!H14</f>
        <v>0</v>
      </c>
    </row>
    <row r="15" spans="2:5" ht="15.75">
      <c r="B15" s="16" t="s">
        <v>94</v>
      </c>
      <c r="C15" s="18"/>
      <c r="D15" s="18"/>
      <c r="E15" s="21">
        <f>inputOth!E38</f>
        <v>0</v>
      </c>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7" t="s">
        <v>18</v>
      </c>
      <c r="C22" s="18"/>
      <c r="D22" s="18"/>
      <c r="E22" s="23"/>
    </row>
    <row r="23" spans="2:5" ht="15.75">
      <c r="B23" s="24" t="s">
        <v>180</v>
      </c>
      <c r="C23" s="18"/>
      <c r="D23" s="18"/>
      <c r="E23" s="35">
        <f>nhood!E9*-1</f>
        <v>0</v>
      </c>
    </row>
    <row r="24" spans="2:5" ht="15.75">
      <c r="B24" s="28" t="s">
        <v>178</v>
      </c>
      <c r="C24" s="18"/>
      <c r="D24" s="18"/>
      <c r="E24" s="23"/>
    </row>
    <row r="25" spans="2:5" ht="15.75">
      <c r="B25" s="28" t="s">
        <v>179</v>
      </c>
      <c r="C25" s="339">
        <f>IF(C26*0.1&lt;C24,"Exceed 10% Rule","")</f>
      </c>
      <c r="D25" s="339">
        <f>IF(D26*0.1&lt;D24,"Exceed 10% Rule","")</f>
      </c>
      <c r="E25" s="34">
        <f>IF(E26*0.1+E52&lt;E24,"Exceed 10% Rule","")</f>
      </c>
    </row>
    <row r="26" spans="2:10" ht="15.75">
      <c r="B26" s="30" t="s">
        <v>19</v>
      </c>
      <c r="C26" s="344">
        <f>SUM(C8:C24)</f>
        <v>0</v>
      </c>
      <c r="D26" s="344">
        <f>SUM(D8:D24)</f>
        <v>0</v>
      </c>
      <c r="E26" s="31">
        <f>SUM(E8:E24)</f>
        <v>0</v>
      </c>
      <c r="G26" s="897" t="str">
        <f>CONCATENATE("Desired Carryover Into ",E1+1,"")</f>
        <v>Desired Carryover Into 1</v>
      </c>
      <c r="H26" s="898"/>
      <c r="I26" s="898"/>
      <c r="J26" s="899"/>
    </row>
    <row r="27" spans="2:10" ht="15.75">
      <c r="B27" s="32" t="s">
        <v>20</v>
      </c>
      <c r="C27" s="344">
        <f>C26+C6</f>
        <v>0</v>
      </c>
      <c r="D27" s="344">
        <f>D26+D6</f>
        <v>0</v>
      </c>
      <c r="E27" s="31">
        <f>E26+E6</f>
        <v>0</v>
      </c>
      <c r="G27" s="443"/>
      <c r="H27" s="8"/>
      <c r="I27" s="435"/>
      <c r="J27" s="444"/>
    </row>
    <row r="28" spans="2:10" ht="15.75">
      <c r="B28" s="16" t="s">
        <v>21</v>
      </c>
      <c r="C28" s="342"/>
      <c r="D28" s="342"/>
      <c r="E28" s="21"/>
      <c r="G28" s="445" t="s">
        <v>626</v>
      </c>
      <c r="H28" s="435"/>
      <c r="I28" s="435"/>
      <c r="J28" s="446">
        <v>0</v>
      </c>
    </row>
    <row r="29" spans="2:10" ht="15.75">
      <c r="B29" s="27" t="s">
        <v>110</v>
      </c>
      <c r="C29" s="18"/>
      <c r="D29" s="18"/>
      <c r="E29" s="23"/>
      <c r="G29" s="443" t="s">
        <v>627</v>
      </c>
      <c r="H29" s="8"/>
      <c r="I29" s="8"/>
      <c r="J29" s="635">
        <f>IF(J28=0,"",ROUND((J28+E52-G41)/inputOth!E7*1000,3)-G46)</f>
      </c>
    </row>
    <row r="30" spans="2:10" ht="15.75">
      <c r="B30" s="26" t="s">
        <v>96</v>
      </c>
      <c r="C30" s="18"/>
      <c r="D30" s="18"/>
      <c r="E30" s="23"/>
      <c r="G30" s="636" t="str">
        <f>CONCATENATE("",E1," Tot Exp/Non-Appr Must Be:")</f>
        <v>0 Tot Exp/Non-Appr Must Be:</v>
      </c>
      <c r="H30" s="522"/>
      <c r="I30" s="631"/>
      <c r="J30" s="637">
        <f>IF(J28&gt;0,IF(E49&lt;E18,IF(J28=G41,E49,((J28-G41)*(1-D51))+E18),E49+(J28-G41)),0)</f>
        <v>0</v>
      </c>
    </row>
    <row r="31" spans="2:10" ht="15.75">
      <c r="B31" s="27" t="s">
        <v>112</v>
      </c>
      <c r="C31" s="18"/>
      <c r="D31" s="18"/>
      <c r="E31" s="23"/>
      <c r="G31" s="638" t="s">
        <v>700</v>
      </c>
      <c r="H31" s="639"/>
      <c r="I31" s="639"/>
      <c r="J31" s="640">
        <f>IF(J28&gt;0,J30-E49,0)</f>
        <v>0</v>
      </c>
    </row>
    <row r="32" spans="2:5" ht="15.75">
      <c r="B32" s="27" t="s">
        <v>99</v>
      </c>
      <c r="C32" s="18"/>
      <c r="D32" s="18"/>
      <c r="E32" s="23"/>
    </row>
    <row r="33" spans="2:10" ht="15.75">
      <c r="B33" s="27" t="s">
        <v>97</v>
      </c>
      <c r="C33" s="18"/>
      <c r="D33" s="18"/>
      <c r="E33" s="23"/>
      <c r="G33" s="897" t="str">
        <f>CONCATENATE("Projected Carryover Into ",E1+1,"")</f>
        <v>Projected Carryover Into 1</v>
      </c>
      <c r="H33" s="898"/>
      <c r="I33" s="898"/>
      <c r="J33" s="899"/>
    </row>
    <row r="34" spans="2:10" ht="15.75">
      <c r="B34" s="27"/>
      <c r="C34" s="18"/>
      <c r="D34" s="18"/>
      <c r="E34" s="23"/>
      <c r="G34" s="431"/>
      <c r="H34" s="8"/>
      <c r="I34" s="8"/>
      <c r="J34" s="235"/>
    </row>
    <row r="35" spans="2:10" ht="15.75">
      <c r="B35" s="27"/>
      <c r="C35" s="18"/>
      <c r="D35" s="18"/>
      <c r="E35" s="23"/>
      <c r="G35" s="432">
        <f>D46</f>
        <v>0</v>
      </c>
      <c r="H35" s="433" t="str">
        <f>CONCATENATE("",E1-1," Ending Cash Balance (est.)")</f>
        <v>-1 Ending Cash Balance (est.)</v>
      </c>
      <c r="I35" s="434"/>
      <c r="J35" s="235"/>
    </row>
    <row r="36" spans="2:11" ht="15.75">
      <c r="B36" s="27"/>
      <c r="C36" s="18"/>
      <c r="D36" s="18"/>
      <c r="E36" s="23"/>
      <c r="G36" s="432">
        <f>E26</f>
        <v>0</v>
      </c>
      <c r="H36" s="435" t="str">
        <f>CONCATENATE("",E1," Non-AV Receipts (est.)")</f>
        <v>0 Non-AV Receipts (est.)</v>
      </c>
      <c r="I36" s="435"/>
      <c r="J36" s="8"/>
      <c r="K36" s="831"/>
    </row>
    <row r="37" spans="2:11" ht="15.75">
      <c r="B37" s="26"/>
      <c r="C37" s="18"/>
      <c r="D37" s="18"/>
      <c r="E37" s="23"/>
      <c r="G37" s="436">
        <f>IF(D51&gt;0,E50,E52)</f>
        <v>0</v>
      </c>
      <c r="H37" s="435" t="str">
        <f>CONCATENATE("",E1," Ad Valorem Tax (est.)")</f>
        <v>0 Ad Valorem Tax (est.)</v>
      </c>
      <c r="I37" s="435"/>
      <c r="J37" s="8"/>
      <c r="K37" s="830">
        <f>IF(G37=E52,"","Note: Does not include Delinquent Taxes")</f>
      </c>
    </row>
    <row r="38" spans="2:10" ht="15.75">
      <c r="B38" s="26"/>
      <c r="C38" s="18"/>
      <c r="D38" s="18"/>
      <c r="E38" s="23"/>
      <c r="G38" s="432">
        <f>SUM(G35:G37)</f>
        <v>0</v>
      </c>
      <c r="H38" s="435" t="str">
        <f>CONCATENATE("Total ",E1," Resources Available")</f>
        <v>Total 0 Resources Available</v>
      </c>
      <c r="I38" s="434"/>
      <c r="J38" s="235"/>
    </row>
    <row r="39" spans="2:10" ht="15.75">
      <c r="B39" s="27"/>
      <c r="C39" s="18"/>
      <c r="D39" s="18"/>
      <c r="E39" s="23"/>
      <c r="G39" s="437"/>
      <c r="H39" s="435"/>
      <c r="I39" s="435"/>
      <c r="J39" s="235"/>
    </row>
    <row r="40" spans="2:10" ht="15.75">
      <c r="B40" s="16" t="str">
        <f>CONCATENATE("Cash Forward (",E1," column)")</f>
        <v>Cash Forward (0 column)</v>
      </c>
      <c r="C40" s="18"/>
      <c r="D40" s="18"/>
      <c r="E40" s="23"/>
      <c r="G40" s="436">
        <f>ROUND(C45*0.05+C45,0)</f>
        <v>0</v>
      </c>
      <c r="H40" s="435" t="str">
        <f>CONCATENATE("Less ",E1-2," Expenditures + 5%")</f>
        <v>Less -2 Expenditures + 5%</v>
      </c>
      <c r="I40" s="434"/>
      <c r="J40" s="235"/>
    </row>
    <row r="41" spans="2:10" ht="15.75">
      <c r="B41" s="16" t="s">
        <v>98</v>
      </c>
      <c r="C41" s="18"/>
      <c r="D41" s="18"/>
      <c r="E41" s="23"/>
      <c r="G41" s="438">
        <f>G38-G40</f>
        <v>0</v>
      </c>
      <c r="H41" s="439" t="str">
        <f>CONCATENATE("Projected ",E1+1," Carryover (est.)")</f>
        <v>Projected 1 Carryover (est.)</v>
      </c>
      <c r="I41" s="440"/>
      <c r="J41" s="441"/>
    </row>
    <row r="42" spans="2:5" ht="15.75">
      <c r="B42" s="16" t="s">
        <v>539</v>
      </c>
      <c r="C42" s="345">
        <f>IF(C27*0.25&lt;C41,"Not Authorized","")</f>
      </c>
      <c r="D42" s="345">
        <f>IF(D27*0.25&lt;D41,"Not Authorized","")</f>
      </c>
      <c r="E42" s="55">
        <f>IF(E27*0.25+E52&lt;E41,"Not Authorized","")</f>
      </c>
    </row>
    <row r="43" spans="2:10" ht="15.75">
      <c r="B43" s="24" t="s">
        <v>178</v>
      </c>
      <c r="C43" s="18"/>
      <c r="D43" s="18"/>
      <c r="E43" s="23"/>
      <c r="G43" s="900" t="s">
        <v>701</v>
      </c>
      <c r="H43" s="901"/>
      <c r="I43" s="901"/>
      <c r="J43" s="902"/>
    </row>
    <row r="44" spans="2:10" ht="15.75">
      <c r="B44" s="24" t="s">
        <v>535</v>
      </c>
      <c r="C44" s="339">
        <f>IF(C45*0.1&lt;C43,"Exceed 10% Rule","")</f>
      </c>
      <c r="D44" s="339">
        <f>IF(D45*0.1&lt;D43,"Exceed 10% Rule","")</f>
      </c>
      <c r="E44" s="34">
        <f>IF(E45*0.1&lt;E43,"Exceed 10% Rule","")</f>
      </c>
      <c r="G44" s="642"/>
      <c r="H44" s="433"/>
      <c r="I44" s="632"/>
      <c r="J44" s="643"/>
    </row>
    <row r="45" spans="2:10" ht="15.75">
      <c r="B45" s="32" t="s">
        <v>22</v>
      </c>
      <c r="C45" s="344">
        <f>SUM(C29:C41,C43:C43)</f>
        <v>0</v>
      </c>
      <c r="D45" s="344">
        <f>SUM(D29:D41,D43:D43)</f>
        <v>0</v>
      </c>
      <c r="E45" s="31">
        <f>SUM(E29:E41,E43:E43)</f>
        <v>0</v>
      </c>
      <c r="G45" s="644" t="str">
        <f>summ!I21</f>
        <v> </v>
      </c>
      <c r="H45" s="433" t="str">
        <f>CONCATENATE("",E1," Fund Mill Rate")</f>
        <v>0 Fund Mill Rate</v>
      </c>
      <c r="I45" s="632"/>
      <c r="J45" s="643"/>
    </row>
    <row r="46" spans="2:10" ht="15.75">
      <c r="B46" s="16" t="s">
        <v>104</v>
      </c>
      <c r="C46" s="337">
        <f>C27-C45</f>
        <v>0</v>
      </c>
      <c r="D46" s="337">
        <f>D27-D45</f>
        <v>0</v>
      </c>
      <c r="E46" s="22" t="s">
        <v>251</v>
      </c>
      <c r="G46" s="645" t="str">
        <f>summ!F21</f>
        <v>  </v>
      </c>
      <c r="H46" s="433" t="str">
        <f>CONCATENATE("",E1-1," Fund Mill Rate")</f>
        <v>-1 Fund Mill Rate</v>
      </c>
      <c r="I46" s="632"/>
      <c r="J46" s="643"/>
    </row>
    <row r="47" spans="2:10" ht="15.75">
      <c r="B47" s="255" t="str">
        <f>CONCATENATE("",E1-2,"/",E1-1,"/",E1," Budget Authority Amount:")</f>
        <v>-2/-1/0 Budget Authority Amount:</v>
      </c>
      <c r="C47" s="52">
        <f>inputOth!B51</f>
        <v>0</v>
      </c>
      <c r="D47" s="52">
        <f>inputPrYr!D22</f>
        <v>0</v>
      </c>
      <c r="E47" s="21">
        <f>E45</f>
        <v>0</v>
      </c>
      <c r="F47" s="39"/>
      <c r="G47" s="646">
        <f>summ!I32</f>
        <v>0</v>
      </c>
      <c r="H47" s="433" t="str">
        <f>CONCATENATE("Total ",E1," Mill Rate")</f>
        <v>Total 0 Mill Rate</v>
      </c>
      <c r="I47" s="632"/>
      <c r="J47" s="643"/>
    </row>
    <row r="48" spans="2:10" ht="15.75">
      <c r="B48" s="37"/>
      <c r="C48" s="893" t="s">
        <v>536</v>
      </c>
      <c r="D48" s="894"/>
      <c r="E48" s="23"/>
      <c r="F48" s="430">
        <f>IF(E45/0.95-E45&lt;E48,"Exceeds 5%","")</f>
      </c>
      <c r="G48" s="645">
        <f>summ!F32</f>
        <v>0</v>
      </c>
      <c r="H48" s="647" t="str">
        <f>CONCATENATE("Total ",E1-1," Mill Rate")</f>
        <v>Total -1 Mill Rate</v>
      </c>
      <c r="I48" s="648"/>
      <c r="J48" s="649"/>
    </row>
    <row r="49" spans="2:5" ht="15.75">
      <c r="B49" s="348" t="str">
        <f>CONCATENATE(C76,"     ",D76)</f>
        <v>     </v>
      </c>
      <c r="C49" s="895" t="s">
        <v>537</v>
      </c>
      <c r="D49" s="896"/>
      <c r="E49" s="21">
        <f>E45+E48</f>
        <v>0</v>
      </c>
    </row>
    <row r="50" spans="2:10" ht="15.75">
      <c r="B50" s="348" t="str">
        <f>CONCATENATE(C77,"     ",D77)</f>
        <v>     </v>
      </c>
      <c r="C50" s="49"/>
      <c r="D50" s="41" t="s">
        <v>24</v>
      </c>
      <c r="E50" s="35">
        <f>IF(E49-E27&gt;0,E49-E27,0)</f>
        <v>0</v>
      </c>
      <c r="G50" s="776" t="s">
        <v>833</v>
      </c>
      <c r="H50" s="777"/>
      <c r="I50" s="778"/>
      <c r="J50" s="779" t="str">
        <f>cert!G37</f>
        <v>No</v>
      </c>
    </row>
    <row r="51" spans="2:10" ht="15.75">
      <c r="B51" s="41"/>
      <c r="C51" s="352" t="s">
        <v>538</v>
      </c>
      <c r="D51" s="630">
        <f>inputOth!$E$42</f>
        <v>0</v>
      </c>
      <c r="E51" s="21">
        <f>ROUND(IF(D51&gt;0,(E50*D51),0),0)</f>
        <v>0</v>
      </c>
      <c r="G51" s="780" t="str">
        <f>CONCATENATE("Computed ",E1," tax levy limit amount")</f>
        <v>Computed 0 tax levy limit amount</v>
      </c>
      <c r="H51" s="781"/>
      <c r="I51" s="781"/>
      <c r="J51" s="782">
        <f>computation!J41</f>
        <v>0</v>
      </c>
    </row>
    <row r="52" spans="2:10" ht="15.75">
      <c r="B52" s="3"/>
      <c r="C52" s="891" t="str">
        <f>CONCATENATE("Amount of  ",$E$1-1," Ad Valorem Tax")</f>
        <v>Amount of  -1 Ad Valorem Tax</v>
      </c>
      <c r="D52" s="892"/>
      <c r="E52" s="35">
        <f>E50+E51</f>
        <v>0</v>
      </c>
      <c r="G52" s="783" t="str">
        <f>CONCATENATE("Total ",E1," tax levy amount")</f>
        <v>Total 0 tax levy amount</v>
      </c>
      <c r="H52" s="784"/>
      <c r="I52" s="784"/>
      <c r="J52" s="785">
        <f>summ!H32</f>
        <v>0</v>
      </c>
    </row>
    <row r="53" spans="2:5" ht="15.75">
      <c r="B53" s="3"/>
      <c r="C53" s="3"/>
      <c r="D53" s="3"/>
      <c r="E53" s="3"/>
    </row>
    <row r="54" spans="2:5" ht="15.75">
      <c r="B54" s="3"/>
      <c r="C54" s="3"/>
      <c r="D54" s="3"/>
      <c r="E54" s="3"/>
    </row>
    <row r="55" spans="2:5" ht="15.75">
      <c r="B55" s="56" t="s">
        <v>26</v>
      </c>
      <c r="C55" s="58"/>
      <c r="D55" s="3"/>
      <c r="E55" s="3"/>
    </row>
    <row r="56" spans="2:5" ht="15.75">
      <c r="B56" s="59" t="s">
        <v>27</v>
      </c>
      <c r="C56" s="353" t="str">
        <f>CONCATENATE("",E1-2," Actual Year")</f>
        <v>-2 Actual Year</v>
      </c>
      <c r="D56" s="3"/>
      <c r="E56" s="3"/>
    </row>
    <row r="57" spans="2:5" ht="15.75">
      <c r="B57" s="60" t="s">
        <v>10</v>
      </c>
      <c r="C57" s="117"/>
      <c r="D57" s="3"/>
      <c r="E57" s="3"/>
    </row>
    <row r="58" spans="2:5" ht="15.75">
      <c r="B58" s="60" t="s">
        <v>29</v>
      </c>
      <c r="C58" s="119"/>
      <c r="D58" s="3"/>
      <c r="E58" s="3"/>
    </row>
    <row r="59" spans="2:5" ht="15.75">
      <c r="B59" s="60" t="s">
        <v>30</v>
      </c>
      <c r="C59" s="351">
        <f>C41</f>
        <v>0</v>
      </c>
      <c r="D59" s="62"/>
      <c r="E59" s="3"/>
    </row>
    <row r="60" spans="2:5" ht="15.75">
      <c r="B60" s="60" t="s">
        <v>209</v>
      </c>
      <c r="C60" s="351">
        <f>gen!C46</f>
        <v>0</v>
      </c>
      <c r="D60" s="914">
        <f>IF(AND(C60&gt;0,C61&gt;0),"Not Auth. Two General Transfers - Only One","")</f>
      </c>
      <c r="E60" s="915"/>
    </row>
    <row r="61" spans="2:5" ht="15.75">
      <c r="B61" s="63" t="s">
        <v>210</v>
      </c>
      <c r="C61" s="351">
        <f>gen!C48</f>
        <v>0</v>
      </c>
      <c r="D61" s="916"/>
      <c r="E61" s="915"/>
    </row>
    <row r="62" spans="2:5" ht="15.75">
      <c r="B62" s="64"/>
      <c r="C62" s="117"/>
      <c r="D62" s="3"/>
      <c r="E62" s="3"/>
    </row>
    <row r="63" spans="2:5" ht="15.75">
      <c r="B63" s="64" t="s">
        <v>18</v>
      </c>
      <c r="C63" s="117"/>
      <c r="D63" s="3"/>
      <c r="E63" s="3"/>
    </row>
    <row r="64" spans="2:5" ht="15.75">
      <c r="B64" s="64" t="s">
        <v>17</v>
      </c>
      <c r="C64" s="117"/>
      <c r="D64" s="3"/>
      <c r="E64" s="3"/>
    </row>
    <row r="65" spans="2:5" ht="15.75">
      <c r="B65" s="65" t="s">
        <v>20</v>
      </c>
      <c r="C65" s="119">
        <f>SUM(C57:C64)</f>
        <v>0</v>
      </c>
      <c r="D65" s="3"/>
      <c r="E65" s="3"/>
    </row>
    <row r="66" spans="2:5" ht="15.75">
      <c r="B66" s="65" t="s">
        <v>22</v>
      </c>
      <c r="C66" s="117"/>
      <c r="D66" s="3"/>
      <c r="E66" s="3"/>
    </row>
    <row r="67" spans="2:5" ht="15.75">
      <c r="B67" s="65" t="s">
        <v>23</v>
      </c>
      <c r="C67" s="350">
        <f>SUM(C65-C66)</f>
        <v>0</v>
      </c>
      <c r="D67" s="3"/>
      <c r="E67" s="3"/>
    </row>
    <row r="68" spans="2:5" ht="15.75">
      <c r="B68" s="3"/>
      <c r="C68" s="3"/>
      <c r="D68" s="3"/>
      <c r="E68" s="3"/>
    </row>
    <row r="69" spans="2:5" ht="15.75">
      <c r="B69" s="41" t="s">
        <v>5</v>
      </c>
      <c r="C69" s="751"/>
      <c r="D69" s="3"/>
      <c r="E69" s="3"/>
    </row>
    <row r="71" ht="15.75">
      <c r="B71" s="1"/>
    </row>
    <row r="76" spans="3:4" ht="15.75" hidden="1">
      <c r="C76" s="5">
        <f>IF(C45&gt;C47,"See Tab A","")</f>
      </c>
      <c r="D76" s="5">
        <f>IF(D45&gt;D47,"See Tab C","")</f>
      </c>
    </row>
    <row r="77" spans="3:4" ht="15.75" hidden="1">
      <c r="C77" s="5">
        <f>IF(C46&lt;0,"See Tab B","")</f>
      </c>
      <c r="D77" s="5">
        <f>IF(D46&lt;0,"See Tab D","")</f>
      </c>
    </row>
  </sheetData>
  <sheetProtection sheet="1"/>
  <mergeCells count="7">
    <mergeCell ref="C52:D52"/>
    <mergeCell ref="C48:D48"/>
    <mergeCell ref="C49:D49"/>
    <mergeCell ref="D60:E61"/>
    <mergeCell ref="G26:J26"/>
    <mergeCell ref="G33:J33"/>
    <mergeCell ref="G43:J43"/>
  </mergeCells>
  <conditionalFormatting sqref="E48">
    <cfRule type="cellIs" priority="3" dxfId="130" operator="greaterThan" stopIfTrue="1">
      <formula>$E$45/0.95-$E$45</formula>
    </cfRule>
  </conditionalFormatting>
  <conditionalFormatting sqref="C43">
    <cfRule type="cellIs" priority="4" dxfId="130" operator="greaterThan" stopIfTrue="1">
      <formula>$C$45*0.1</formula>
    </cfRule>
  </conditionalFormatting>
  <conditionalFormatting sqref="D43">
    <cfRule type="cellIs" priority="5" dxfId="130" operator="greaterThan" stopIfTrue="1">
      <formula>$D$45*0.1</formula>
    </cfRule>
  </conditionalFormatting>
  <conditionalFormatting sqref="E43">
    <cfRule type="cellIs" priority="6" dxfId="130" operator="greaterThan" stopIfTrue="1">
      <formula>$E$45*0.1</formula>
    </cfRule>
  </conditionalFormatting>
  <conditionalFormatting sqref="C24">
    <cfRule type="cellIs" priority="7" dxfId="130" operator="greaterThan" stopIfTrue="1">
      <formula>$C$26*0.1</formula>
    </cfRule>
  </conditionalFormatting>
  <conditionalFormatting sqref="D24">
    <cfRule type="cellIs" priority="8" dxfId="130" operator="greaterThan" stopIfTrue="1">
      <formula>$D$26*0.1</formula>
    </cfRule>
  </conditionalFormatting>
  <conditionalFormatting sqref="C41">
    <cfRule type="cellIs" priority="9" dxfId="130" operator="greaterThan" stopIfTrue="1">
      <formula>$C$27*0.25</formula>
    </cfRule>
  </conditionalFormatting>
  <conditionalFormatting sqref="C46">
    <cfRule type="cellIs" priority="11" dxfId="130" operator="lessThan" stopIfTrue="1">
      <formula>0</formula>
    </cfRule>
  </conditionalFormatting>
  <conditionalFormatting sqref="C45">
    <cfRule type="cellIs" priority="1" dxfId="0" operator="greaterThan" stopIfTrue="1">
      <formula>$C$47</formula>
    </cfRule>
    <cfRule type="cellIs" priority="12" dxfId="2" operator="greaterThan" stopIfTrue="1">
      <formula>#REF!</formula>
    </cfRule>
  </conditionalFormatting>
  <conditionalFormatting sqref="D45">
    <cfRule type="cellIs" priority="13" dxfId="2" operator="greaterThan" stopIfTrue="1">
      <formula>$D$47</formula>
    </cfRule>
  </conditionalFormatting>
  <conditionalFormatting sqref="D41">
    <cfRule type="cellIs" priority="14" dxfId="2" operator="greaterThan" stopIfTrue="1">
      <formula>$D$27*0.25</formula>
    </cfRule>
  </conditionalFormatting>
  <conditionalFormatting sqref="D46">
    <cfRule type="cellIs" priority="2" dxfId="0" operator="lessThan" stopIfTrue="1">
      <formula>0</formula>
    </cfRule>
  </conditionalFormatting>
  <conditionalFormatting sqref="E24">
    <cfRule type="cellIs" priority="32" dxfId="130" operator="greaterThan" stopIfTrue="1">
      <formula>$E$26*0.1+$E$52</formula>
    </cfRule>
  </conditionalFormatting>
  <conditionalFormatting sqref="E41">
    <cfRule type="cellIs" priority="33" dxfId="2" operator="greaterThan" stopIfTrue="1">
      <formula>$E$27*0.25+$E$52</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O143" sqref="O14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11" t="s">
        <v>31</v>
      </c>
      <c r="D1" s="3"/>
      <c r="E1" s="4">
        <f>inputPrYr!D6</f>
        <v>0</v>
      </c>
    </row>
    <row r="2" spans="2:5" ht="15.75">
      <c r="B2" s="6"/>
      <c r="C2" s="3"/>
      <c r="D2" s="3"/>
      <c r="E2" s="66"/>
    </row>
    <row r="3" spans="2:5" ht="15.75">
      <c r="B3" s="480" t="s">
        <v>632</v>
      </c>
      <c r="C3" s="54"/>
      <c r="D3" s="54"/>
      <c r="E3" s="3"/>
    </row>
    <row r="4" spans="2:5" ht="15.75">
      <c r="B4" s="11" t="s">
        <v>6</v>
      </c>
      <c r="C4" s="340" t="s">
        <v>7</v>
      </c>
      <c r="D4" s="343" t="s">
        <v>8</v>
      </c>
      <c r="E4" s="12" t="s">
        <v>9</v>
      </c>
    </row>
    <row r="5" spans="2:5" ht="15.75">
      <c r="B5" s="349">
        <f>inputPrYr!B23</f>
        <v>0</v>
      </c>
      <c r="C5" s="341" t="str">
        <f>gen!C5</f>
        <v>Actual for -2</v>
      </c>
      <c r="D5" s="341" t="str">
        <f>gen!D5</f>
        <v>Estimate for -1</v>
      </c>
      <c r="E5" s="15" t="str">
        <f>gen!E5</f>
        <v>Year for 0</v>
      </c>
    </row>
    <row r="6" spans="2:5" ht="15.75">
      <c r="B6" s="16" t="s">
        <v>103</v>
      </c>
      <c r="C6" s="18"/>
      <c r="D6" s="342">
        <f>C36</f>
        <v>0</v>
      </c>
      <c r="E6" s="21">
        <f>D36</f>
        <v>0</v>
      </c>
    </row>
    <row r="7" spans="2:5" ht="15.75">
      <c r="B7" s="16" t="s">
        <v>105</v>
      </c>
      <c r="C7" s="342"/>
      <c r="D7" s="342"/>
      <c r="E7" s="22"/>
    </row>
    <row r="8" spans="2:5" ht="15.75">
      <c r="B8" s="16" t="s">
        <v>12</v>
      </c>
      <c r="C8" s="18"/>
      <c r="D8" s="342">
        <f>IF(inputPrYr!H18&gt;0,inputPrYr!G23,inputPrYr!E23)</f>
        <v>0</v>
      </c>
      <c r="E8" s="22" t="s">
        <v>251</v>
      </c>
    </row>
    <row r="9" spans="2:5" ht="15.75">
      <c r="B9" s="16" t="s">
        <v>13</v>
      </c>
      <c r="C9" s="18"/>
      <c r="D9" s="18"/>
      <c r="E9" s="23"/>
    </row>
    <row r="10" spans="2:5" ht="15.75">
      <c r="B10" s="16" t="s">
        <v>14</v>
      </c>
      <c r="C10" s="18"/>
      <c r="D10" s="18"/>
      <c r="E10" s="21">
        <f>mvalloc!D15</f>
        <v>0</v>
      </c>
    </row>
    <row r="11" spans="2:5" ht="15.75">
      <c r="B11" s="16" t="s">
        <v>15</v>
      </c>
      <c r="C11" s="18"/>
      <c r="D11" s="18"/>
      <c r="E11" s="21">
        <f>mvalloc!E15</f>
        <v>0</v>
      </c>
    </row>
    <row r="12" spans="2:5" ht="15.75">
      <c r="B12" s="24" t="s">
        <v>65</v>
      </c>
      <c r="C12" s="18"/>
      <c r="D12" s="18"/>
      <c r="E12" s="21">
        <f>mvalloc!F15</f>
        <v>0</v>
      </c>
    </row>
    <row r="13" spans="2:5" ht="15.75">
      <c r="B13" s="771" t="s">
        <v>825</v>
      </c>
      <c r="C13" s="18"/>
      <c r="D13" s="18"/>
      <c r="E13" s="21">
        <f>mvalloc!G15</f>
        <v>0</v>
      </c>
    </row>
    <row r="14" spans="2:5" ht="15.75">
      <c r="B14" s="771" t="s">
        <v>826</v>
      </c>
      <c r="C14" s="18"/>
      <c r="D14" s="18"/>
      <c r="E14" s="21">
        <f>mvalloc!H15</f>
        <v>0</v>
      </c>
    </row>
    <row r="15" spans="2:5" ht="15.75">
      <c r="B15" s="27"/>
      <c r="C15" s="18"/>
      <c r="D15" s="18"/>
      <c r="E15" s="23"/>
    </row>
    <row r="16" spans="2:11" ht="15.75">
      <c r="B16" s="27"/>
      <c r="C16" s="18"/>
      <c r="D16" s="18"/>
      <c r="E16" s="23"/>
      <c r="G16" s="903" t="str">
        <f>CONCATENATE("Desired Carryover Into ",E1+1,"")</f>
        <v>Desired Carryover Into 1</v>
      </c>
      <c r="H16" s="904"/>
      <c r="I16" s="904"/>
      <c r="J16" s="905"/>
      <c r="K16" s="526"/>
    </row>
    <row r="17" spans="2:11" ht="15.75">
      <c r="B17" s="27"/>
      <c r="C17" s="18"/>
      <c r="D17" s="18"/>
      <c r="E17" s="23"/>
      <c r="G17" s="557"/>
      <c r="H17" s="558"/>
      <c r="I17" s="559"/>
      <c r="J17" s="560"/>
      <c r="K17" s="526"/>
    </row>
    <row r="18" spans="2:11" ht="15.75">
      <c r="B18" s="27"/>
      <c r="C18" s="18"/>
      <c r="D18" s="18"/>
      <c r="E18" s="23"/>
      <c r="G18" s="561" t="s">
        <v>626</v>
      </c>
      <c r="H18" s="559"/>
      <c r="I18" s="559"/>
      <c r="J18" s="562">
        <v>0</v>
      </c>
      <c r="K18" s="526"/>
    </row>
    <row r="19" spans="2:11" ht="15.75">
      <c r="B19" s="27" t="s">
        <v>18</v>
      </c>
      <c r="C19" s="18"/>
      <c r="D19" s="18"/>
      <c r="E19" s="23"/>
      <c r="G19" s="557" t="s">
        <v>627</v>
      </c>
      <c r="H19" s="558"/>
      <c r="I19" s="558"/>
      <c r="J19" s="563">
        <f>IF(J18=0,"",ROUND((J18+E42-G31)/inputOth!E7*1000,3)-G36)</f>
      </c>
      <c r="K19" s="526"/>
    </row>
    <row r="20" spans="2:11" ht="15.75">
      <c r="B20" s="24" t="s">
        <v>180</v>
      </c>
      <c r="C20" s="18"/>
      <c r="D20" s="18"/>
      <c r="E20" s="35">
        <f>nhood!E10*-1</f>
        <v>0</v>
      </c>
      <c r="G20" s="564" t="str">
        <f>CONCATENATE("",E1," Tot Exp/Non-Appr Must Be:")</f>
        <v>0 Tot Exp/Non-Appr Must Be:</v>
      </c>
      <c r="H20" s="565"/>
      <c r="I20" s="566"/>
      <c r="J20" s="567">
        <f>IF(J18&gt;0,IF(E39&lt;E24,IF(J18=G31,E39,((J18-G31)*(1-D41))+E24),E39+(J18-G31)),0)</f>
        <v>0</v>
      </c>
      <c r="K20" s="526"/>
    </row>
    <row r="21" spans="2:11" ht="15.75">
      <c r="B21" s="28" t="s">
        <v>178</v>
      </c>
      <c r="C21" s="18"/>
      <c r="D21" s="18"/>
      <c r="E21" s="23"/>
      <c r="G21" s="568" t="s">
        <v>700</v>
      </c>
      <c r="H21" s="569"/>
      <c r="I21" s="569"/>
      <c r="J21" s="570">
        <f>IF(J18&gt;0,J20-E39,0)</f>
        <v>0</v>
      </c>
      <c r="K21" s="526"/>
    </row>
    <row r="22" spans="2:11" ht="15.75">
      <c r="B22" s="28" t="s">
        <v>179</v>
      </c>
      <c r="C22" s="339">
        <f>IF(C23*0.1&lt;C21,"Exceed 10% Rule","")</f>
      </c>
      <c r="D22" s="339">
        <f>IF(D23*0.1&lt;D21,"Exceed 10% Rule","")</f>
      </c>
      <c r="E22" s="34">
        <f>IF(E23*0.1+E42&lt;E21,"Exceed 10% Rule","")</f>
      </c>
      <c r="G22" s="526"/>
      <c r="H22" s="526"/>
      <c r="I22" s="526"/>
      <c r="J22" s="526"/>
      <c r="K22" s="526"/>
    </row>
    <row r="23" spans="2:11" ht="15.75">
      <c r="B23" s="30" t="s">
        <v>19</v>
      </c>
      <c r="C23" s="344">
        <f>SUM(C8:C21)</f>
        <v>0</v>
      </c>
      <c r="D23" s="344">
        <f>SUM(D8:D21)</f>
        <v>0</v>
      </c>
      <c r="E23" s="31">
        <f>SUM(E8:E21)</f>
        <v>0</v>
      </c>
      <c r="G23" s="903" t="str">
        <f>CONCATENATE("Projected Carryover Into ",E1+1,"")</f>
        <v>Projected Carryover Into 1</v>
      </c>
      <c r="H23" s="906"/>
      <c r="I23" s="906"/>
      <c r="J23" s="907"/>
      <c r="K23" s="526"/>
    </row>
    <row r="24" spans="2:11" ht="15.75">
      <c r="B24" s="32" t="s">
        <v>20</v>
      </c>
      <c r="C24" s="344">
        <f>C23+C6</f>
        <v>0</v>
      </c>
      <c r="D24" s="344">
        <f>D23+D6</f>
        <v>0</v>
      </c>
      <c r="E24" s="31">
        <f>E23+E6</f>
        <v>0</v>
      </c>
      <c r="G24" s="557"/>
      <c r="H24" s="559"/>
      <c r="I24" s="559"/>
      <c r="J24" s="572"/>
      <c r="K24" s="526"/>
    </row>
    <row r="25" spans="2:11" ht="15.75">
      <c r="B25" s="16" t="s">
        <v>21</v>
      </c>
      <c r="C25" s="342"/>
      <c r="D25" s="342"/>
      <c r="E25" s="21"/>
      <c r="G25" s="575">
        <f>D36</f>
        <v>0</v>
      </c>
      <c r="H25" s="576" t="str">
        <f>CONCATENATE("",E1-1," Ending Cash Balance (est.)")</f>
        <v>-1 Ending Cash Balance (est.)</v>
      </c>
      <c r="I25" s="577"/>
      <c r="J25" s="572"/>
      <c r="K25" s="526"/>
    </row>
    <row r="26" spans="2:11" ht="15.75">
      <c r="B26" s="27"/>
      <c r="C26" s="18"/>
      <c r="D26" s="18"/>
      <c r="E26" s="23"/>
      <c r="G26" s="575">
        <f>E23</f>
        <v>0</v>
      </c>
      <c r="H26" s="559" t="str">
        <f>CONCATENATE("",E1," Non-AV Receipts (est.)")</f>
        <v>0 Non-AV Receipts (est.)</v>
      </c>
      <c r="I26" s="559"/>
      <c r="J26" s="672"/>
      <c r="K26" s="828"/>
    </row>
    <row r="27" spans="2:11" ht="15.75">
      <c r="B27" s="27"/>
      <c r="C27" s="18"/>
      <c r="D27" s="18"/>
      <c r="E27" s="23"/>
      <c r="G27" s="582">
        <f>IF(E41&gt;0,E40,E42)</f>
        <v>0</v>
      </c>
      <c r="H27" s="559" t="str">
        <f>CONCATENATE("",E1," Ad Valorem Tax (est.)")</f>
        <v>0 Ad Valorem Tax (est.)</v>
      </c>
      <c r="I27" s="559"/>
      <c r="J27" s="672"/>
      <c r="K27" s="673">
        <f>IF(G27=E42,"","Note: Does not include Delinquent Taxes")</f>
      </c>
    </row>
    <row r="28" spans="2:11" ht="15.75">
      <c r="B28" s="27"/>
      <c r="C28" s="18"/>
      <c r="D28" s="18"/>
      <c r="E28" s="23"/>
      <c r="G28" s="575">
        <f>SUM(G25:G27)</f>
        <v>0</v>
      </c>
      <c r="H28" s="559" t="str">
        <f>CONCATENATE("Total ",E1," Resources Available")</f>
        <v>Total 0 Resources Available</v>
      </c>
      <c r="I28" s="577"/>
      <c r="J28" s="572"/>
      <c r="K28" s="526"/>
    </row>
    <row r="29" spans="2:11" ht="15.75">
      <c r="B29" s="27"/>
      <c r="C29" s="18"/>
      <c r="D29" s="18"/>
      <c r="E29" s="23"/>
      <c r="G29" s="586"/>
      <c r="H29" s="559"/>
      <c r="I29" s="559"/>
      <c r="J29" s="572"/>
      <c r="K29" s="526"/>
    </row>
    <row r="30" spans="2:11" ht="15.75">
      <c r="B30" s="27"/>
      <c r="C30" s="18"/>
      <c r="D30" s="18"/>
      <c r="E30" s="23"/>
      <c r="G30" s="582">
        <f>C35*0.05+C35</f>
        <v>0</v>
      </c>
      <c r="H30" s="559" t="str">
        <f>CONCATENATE("Less ",E1-2," Expenditures + 5%")</f>
        <v>Less -2 Expenditures + 5%</v>
      </c>
      <c r="I30" s="559"/>
      <c r="J30" s="572"/>
      <c r="K30" s="526"/>
    </row>
    <row r="31" spans="2:11" ht="15.75">
      <c r="B31" s="27"/>
      <c r="C31" s="18"/>
      <c r="D31" s="18"/>
      <c r="E31" s="23"/>
      <c r="G31" s="590">
        <f>G28-G30</f>
        <v>0</v>
      </c>
      <c r="H31" s="591" t="str">
        <f>CONCATENATE("Projected ",E1+1," carryover (est.)")</f>
        <v>Projected 1 carryover (est.)</v>
      </c>
      <c r="I31" s="592"/>
      <c r="J31" s="593"/>
      <c r="K31" s="526"/>
    </row>
    <row r="32" spans="2:11" ht="15.75">
      <c r="B32" s="24" t="str">
        <f>CONCATENATE("Cash Forward (",E1," column)")</f>
        <v>Cash Forward (0 column)</v>
      </c>
      <c r="C32" s="18"/>
      <c r="D32" s="18"/>
      <c r="E32" s="23"/>
      <c r="G32" s="526"/>
      <c r="H32" s="526"/>
      <c r="I32" s="526"/>
      <c r="J32" s="526"/>
      <c r="K32" s="526"/>
    </row>
    <row r="33" spans="2:11" ht="15.75">
      <c r="B33" s="24" t="s">
        <v>178</v>
      </c>
      <c r="C33" s="18"/>
      <c r="D33" s="18"/>
      <c r="E33" s="23"/>
      <c r="G33" s="910" t="s">
        <v>701</v>
      </c>
      <c r="H33" s="911"/>
      <c r="I33" s="911"/>
      <c r="J33" s="912"/>
      <c r="K33" s="526"/>
    </row>
    <row r="34" spans="2:11" ht="15.75">
      <c r="B34" s="24" t="s">
        <v>535</v>
      </c>
      <c r="C34" s="339">
        <f>IF(C35*0.1&lt;C33,"Exceed 10% Rule","")</f>
      </c>
      <c r="D34" s="339">
        <f>IF(D35*0.1&lt;D33,"Exceed 10% Rule","")</f>
      </c>
      <c r="E34" s="34">
        <f>IF(E35*0.1&lt;E33,"Exceed 10% Rule","")</f>
      </c>
      <c r="G34" s="597"/>
      <c r="H34" s="576"/>
      <c r="I34" s="598"/>
      <c r="J34" s="599"/>
      <c r="K34" s="526"/>
    </row>
    <row r="35" spans="2:11" ht="15.75">
      <c r="B35" s="32" t="s">
        <v>22</v>
      </c>
      <c r="C35" s="344">
        <f>SUM(C26:C33)</f>
        <v>0</v>
      </c>
      <c r="D35" s="344">
        <f>SUM(D26:D33)</f>
        <v>0</v>
      </c>
      <c r="E35" s="31">
        <f>SUM(E26:E33)</f>
        <v>0</v>
      </c>
      <c r="G35" s="600" t="str">
        <f>summ!I22</f>
        <v> </v>
      </c>
      <c r="H35" s="576" t="str">
        <f>CONCATENATE("",E1," Fund Mill Rate")</f>
        <v>0 Fund Mill Rate</v>
      </c>
      <c r="I35" s="598"/>
      <c r="J35" s="599"/>
      <c r="K35" s="526"/>
    </row>
    <row r="36" spans="2:11" ht="15.75">
      <c r="B36" s="16" t="s">
        <v>104</v>
      </c>
      <c r="C36" s="337">
        <f>C24-C35</f>
        <v>0</v>
      </c>
      <c r="D36" s="337">
        <f>D24-D35</f>
        <v>0</v>
      </c>
      <c r="E36" s="22" t="s">
        <v>251</v>
      </c>
      <c r="G36" s="601" t="str">
        <f>summ!F22</f>
        <v>  </v>
      </c>
      <c r="H36" s="576" t="str">
        <f>CONCATENATE("",E1-1," Fund Mill Rate")</f>
        <v>-1 Fund Mill Rate</v>
      </c>
      <c r="I36" s="598"/>
      <c r="J36" s="599"/>
      <c r="K36" s="526"/>
    </row>
    <row r="37" spans="2:11" ht="15.75">
      <c r="B37" s="255" t="str">
        <f>CONCATENATE("",E1-2,"/",E1-1,"/",E1," Budget Authority Amount:")</f>
        <v>-2/-1/0 Budget Authority Amount:</v>
      </c>
      <c r="C37" s="52">
        <f>inputOth!B52</f>
        <v>0</v>
      </c>
      <c r="D37" s="52">
        <f>inputPrYr!D23</f>
        <v>0</v>
      </c>
      <c r="E37" s="21">
        <f>E35</f>
        <v>0</v>
      </c>
      <c r="F37" s="39"/>
      <c r="G37" s="603">
        <f>summ!I32</f>
        <v>0</v>
      </c>
      <c r="H37" s="576" t="str">
        <f>CONCATENATE("Total ",E1," Mill Rate")</f>
        <v>Total 0 Mill Rate</v>
      </c>
      <c r="I37" s="598"/>
      <c r="J37" s="599"/>
      <c r="K37" s="526"/>
    </row>
    <row r="38" spans="2:11" ht="15.75">
      <c r="B38" s="37"/>
      <c r="C38" s="893" t="s">
        <v>536</v>
      </c>
      <c r="D38" s="894"/>
      <c r="E38" s="23"/>
      <c r="F38" s="430">
        <f>IF(E35/0.95-E35&lt;E38,"Exceeds 5%","")</f>
      </c>
      <c r="G38" s="601">
        <f>summ!F32</f>
        <v>0</v>
      </c>
      <c r="H38" s="604" t="str">
        <f>CONCATENATE("Total ",E1-1," Mill Rate")</f>
        <v>Total -1 Mill Rate</v>
      </c>
      <c r="I38" s="605"/>
      <c r="J38" s="606"/>
      <c r="K38" s="526"/>
    </row>
    <row r="39" spans="2:11" ht="15.75">
      <c r="B39" s="348" t="str">
        <f>CONCATENATE(C96,"     ",D96)</f>
        <v>     </v>
      </c>
      <c r="C39" s="895" t="s">
        <v>537</v>
      </c>
      <c r="D39" s="896"/>
      <c r="E39" s="21">
        <f>E35+E38</f>
        <v>0</v>
      </c>
      <c r="G39" s="526"/>
      <c r="H39" s="526"/>
      <c r="I39" s="526"/>
      <c r="J39" s="526"/>
      <c r="K39" s="526"/>
    </row>
    <row r="40" spans="2:11" ht="15.75">
      <c r="B40" s="348" t="str">
        <f>CONCATENATE(C97,"     ",D97)</f>
        <v>     </v>
      </c>
      <c r="C40" s="49"/>
      <c r="D40" s="41" t="s">
        <v>24</v>
      </c>
      <c r="E40" s="35">
        <f>IF(E39-E24&gt;0,E39-E24,0)</f>
        <v>0</v>
      </c>
      <c r="G40" s="776" t="s">
        <v>833</v>
      </c>
      <c r="H40" s="777"/>
      <c r="I40" s="778"/>
      <c r="J40" s="779" t="str">
        <f>cert!G37</f>
        <v>No</v>
      </c>
      <c r="K40" s="526"/>
    </row>
    <row r="41" spans="2:11" ht="15.75">
      <c r="B41" s="41"/>
      <c r="C41" s="352" t="s">
        <v>538</v>
      </c>
      <c r="D41" s="630">
        <f>inputOth!$E$42</f>
        <v>0</v>
      </c>
      <c r="E41" s="21">
        <f>ROUND(IF(D41&gt;0,(E40*D41),0),0)</f>
        <v>0</v>
      </c>
      <c r="G41" s="787" t="str">
        <f>CONCATENATE("Computed ",E1," tax levy limit amount")</f>
        <v>Computed 0 tax levy limit amount</v>
      </c>
      <c r="H41" s="788"/>
      <c r="I41" s="788"/>
      <c r="J41" s="789">
        <f>computation!J41</f>
        <v>0</v>
      </c>
      <c r="K41" s="526"/>
    </row>
    <row r="42" spans="2:11" ht="15.75">
      <c r="B42" s="3"/>
      <c r="C42" s="891" t="str">
        <f>CONCATENATE("Amount of  ",$E$1-1," Ad Valorem Tax")</f>
        <v>Amount of  -1 Ad Valorem Tax</v>
      </c>
      <c r="D42" s="892"/>
      <c r="E42" s="35">
        <f>E40+E41</f>
        <v>0</v>
      </c>
      <c r="G42" s="790" t="str">
        <f>CONCATENATE("Total ",E1," tax levy amount")</f>
        <v>Total 0 tax levy amount</v>
      </c>
      <c r="H42" s="791"/>
      <c r="I42" s="791"/>
      <c r="J42" s="792">
        <f>summ!H32</f>
        <v>0</v>
      </c>
      <c r="K42" s="526"/>
    </row>
    <row r="43" spans="2:11" ht="15.75">
      <c r="B43" s="3"/>
      <c r="C43" s="487"/>
      <c r="D43" s="3"/>
      <c r="E43" s="3"/>
      <c r="G43" s="526"/>
      <c r="H43" s="526"/>
      <c r="I43" s="526"/>
      <c r="J43" s="526"/>
      <c r="K43" s="526"/>
    </row>
    <row r="44" spans="2:11" ht="15.75">
      <c r="B44" s="3"/>
      <c r="C44" s="487"/>
      <c r="D44" s="3"/>
      <c r="E44" s="3"/>
      <c r="G44" s="526"/>
      <c r="H44" s="526"/>
      <c r="I44" s="526"/>
      <c r="J44" s="526"/>
      <c r="K44" s="526"/>
    </row>
    <row r="45" spans="2:11" ht="15.75">
      <c r="B45" s="11" t="s">
        <v>6</v>
      </c>
      <c r="C45" s="54"/>
      <c r="D45" s="54"/>
      <c r="E45" s="54"/>
      <c r="G45" s="526"/>
      <c r="H45" s="526"/>
      <c r="I45" s="526"/>
      <c r="J45" s="526"/>
      <c r="K45" s="526"/>
    </row>
    <row r="46" spans="2:11" ht="15.75">
      <c r="B46" s="3"/>
      <c r="C46" s="340" t="s">
        <v>7</v>
      </c>
      <c r="D46" s="343" t="s">
        <v>8</v>
      </c>
      <c r="E46" s="12" t="s">
        <v>9</v>
      </c>
      <c r="G46" s="526"/>
      <c r="H46" s="526"/>
      <c r="I46" s="526"/>
      <c r="J46" s="526"/>
      <c r="K46" s="526"/>
    </row>
    <row r="47" spans="2:11" ht="15.75">
      <c r="B47" s="425">
        <f>inputPrYr!B24</f>
        <v>0</v>
      </c>
      <c r="C47" s="341" t="str">
        <f>C5</f>
        <v>Actual for -2</v>
      </c>
      <c r="D47" s="341" t="str">
        <f>D5</f>
        <v>Estimate for -1</v>
      </c>
      <c r="E47" s="15" t="str">
        <f>E5</f>
        <v>Year for 0</v>
      </c>
      <c r="G47" s="526"/>
      <c r="H47" s="526"/>
      <c r="I47" s="526"/>
      <c r="J47" s="526"/>
      <c r="K47" s="526"/>
    </row>
    <row r="48" spans="2:11" ht="15.75">
      <c r="B48" s="16" t="s">
        <v>103</v>
      </c>
      <c r="C48" s="18"/>
      <c r="D48" s="342">
        <f>C78</f>
        <v>0</v>
      </c>
      <c r="E48" s="21">
        <f>D78</f>
        <v>0</v>
      </c>
      <c r="G48" s="526"/>
      <c r="H48" s="526"/>
      <c r="I48" s="526"/>
      <c r="J48" s="526"/>
      <c r="K48" s="526"/>
    </row>
    <row r="49" spans="2:11" ht="15.75">
      <c r="B49" s="16" t="s">
        <v>105</v>
      </c>
      <c r="C49" s="342"/>
      <c r="D49" s="342"/>
      <c r="E49" s="22"/>
      <c r="G49" s="526"/>
      <c r="H49" s="526"/>
      <c r="I49" s="526"/>
      <c r="J49" s="526"/>
      <c r="K49" s="526"/>
    </row>
    <row r="50" spans="2:11" ht="15.75">
      <c r="B50" s="16" t="s">
        <v>12</v>
      </c>
      <c r="C50" s="18"/>
      <c r="D50" s="342">
        <f>IF(inputPrYr!H18&gt;0,inputPrYr!G24,inputPrYr!E24)</f>
        <v>0</v>
      </c>
      <c r="E50" s="22" t="s">
        <v>251</v>
      </c>
      <c r="G50" s="526"/>
      <c r="H50" s="526"/>
      <c r="I50" s="526"/>
      <c r="J50" s="526"/>
      <c r="K50" s="526"/>
    </row>
    <row r="51" spans="2:11" ht="15.75">
      <c r="B51" s="16" t="s">
        <v>13</v>
      </c>
      <c r="C51" s="18"/>
      <c r="D51" s="18"/>
      <c r="E51" s="23"/>
      <c r="G51" s="526"/>
      <c r="H51" s="526"/>
      <c r="I51" s="526"/>
      <c r="J51" s="526"/>
      <c r="K51" s="526"/>
    </row>
    <row r="52" spans="2:11" ht="15.75">
      <c r="B52" s="16" t="s">
        <v>14</v>
      </c>
      <c r="C52" s="18"/>
      <c r="D52" s="18"/>
      <c r="E52" s="21">
        <f>mvalloc!D16</f>
        <v>0</v>
      </c>
      <c r="G52" s="526"/>
      <c r="H52" s="526"/>
      <c r="I52" s="526"/>
      <c r="J52" s="526"/>
      <c r="K52" s="526"/>
    </row>
    <row r="53" spans="2:11" ht="15.75">
      <c r="B53" s="16" t="s">
        <v>15</v>
      </c>
      <c r="C53" s="18"/>
      <c r="D53" s="18"/>
      <c r="E53" s="21">
        <f>mvalloc!E16</f>
        <v>0</v>
      </c>
      <c r="G53" s="526"/>
      <c r="H53" s="526"/>
      <c r="I53" s="526"/>
      <c r="J53" s="526"/>
      <c r="K53" s="526"/>
    </row>
    <row r="54" spans="2:11" ht="15.75">
      <c r="B54" s="16" t="s">
        <v>93</v>
      </c>
      <c r="C54" s="18"/>
      <c r="D54" s="18"/>
      <c r="E54" s="21">
        <f>mvalloc!F16</f>
        <v>0</v>
      </c>
      <c r="G54" s="526"/>
      <c r="H54" s="526"/>
      <c r="I54" s="526"/>
      <c r="J54" s="526"/>
      <c r="K54" s="526"/>
    </row>
    <row r="55" spans="2:11" ht="15.75">
      <c r="B55" s="771" t="s">
        <v>825</v>
      </c>
      <c r="C55" s="18"/>
      <c r="D55" s="18"/>
      <c r="E55" s="21">
        <f>mvalloc!G16</f>
        <v>0</v>
      </c>
      <c r="G55" s="526"/>
      <c r="H55" s="526"/>
      <c r="I55" s="526"/>
      <c r="J55" s="526"/>
      <c r="K55" s="526"/>
    </row>
    <row r="56" spans="2:11" ht="15.75">
      <c r="B56" s="771" t="s">
        <v>826</v>
      </c>
      <c r="C56" s="18"/>
      <c r="D56" s="18"/>
      <c r="E56" s="21">
        <f>mvalloc!H16</f>
        <v>0</v>
      </c>
      <c r="G56" s="526"/>
      <c r="H56" s="526"/>
      <c r="I56" s="526"/>
      <c r="J56" s="526"/>
      <c r="K56" s="526"/>
    </row>
    <row r="57" spans="2:11" ht="15.75">
      <c r="B57" s="26"/>
      <c r="C57" s="18"/>
      <c r="D57" s="18"/>
      <c r="E57" s="23"/>
      <c r="G57" s="526"/>
      <c r="H57" s="526"/>
      <c r="I57" s="526"/>
      <c r="J57" s="526"/>
      <c r="K57" s="526"/>
    </row>
    <row r="58" spans="2:11" ht="15.75">
      <c r="B58" s="26"/>
      <c r="C58" s="18"/>
      <c r="D58" s="18"/>
      <c r="E58" s="23"/>
      <c r="G58" s="903" t="str">
        <f>CONCATENATE("Desired Carryover Into ",E1+1,"")</f>
        <v>Desired Carryover Into 1</v>
      </c>
      <c r="H58" s="904"/>
      <c r="I58" s="904"/>
      <c r="J58" s="905"/>
      <c r="K58" s="526"/>
    </row>
    <row r="59" spans="2:11" ht="15.75">
      <c r="B59" s="26"/>
      <c r="C59" s="18"/>
      <c r="D59" s="18"/>
      <c r="E59" s="23"/>
      <c r="G59" s="557"/>
      <c r="H59" s="558"/>
      <c r="I59" s="559"/>
      <c r="J59" s="560"/>
      <c r="K59" s="526"/>
    </row>
    <row r="60" spans="2:11" ht="15.75">
      <c r="B60" s="27"/>
      <c r="C60" s="18"/>
      <c r="D60" s="18"/>
      <c r="E60" s="23"/>
      <c r="G60" s="561" t="s">
        <v>626</v>
      </c>
      <c r="H60" s="559"/>
      <c r="I60" s="559"/>
      <c r="J60" s="562">
        <v>0</v>
      </c>
      <c r="K60" s="526"/>
    </row>
    <row r="61" spans="2:11" ht="15.75">
      <c r="B61" s="27" t="s">
        <v>18</v>
      </c>
      <c r="C61" s="18"/>
      <c r="D61" s="18"/>
      <c r="E61" s="23"/>
      <c r="G61" s="557" t="s">
        <v>627</v>
      </c>
      <c r="H61" s="558"/>
      <c r="I61" s="558"/>
      <c r="J61" s="563">
        <f>IF(J60=0,"",ROUND((J60+E84-G73)/inputOth!E7*1000,3)-G78)</f>
      </c>
      <c r="K61" s="526"/>
    </row>
    <row r="62" spans="2:11" ht="15.75">
      <c r="B62" s="24" t="s">
        <v>180</v>
      </c>
      <c r="C62" s="18"/>
      <c r="D62" s="18"/>
      <c r="E62" s="35">
        <f>nhood!E11*-1</f>
        <v>0</v>
      </c>
      <c r="G62" s="564" t="str">
        <f>CONCATENATE("",E1," Tot Exp/Non-Appr Must Be:")</f>
        <v>0 Tot Exp/Non-Appr Must Be:</v>
      </c>
      <c r="H62" s="565"/>
      <c r="I62" s="566"/>
      <c r="J62" s="567">
        <f>IF(J60&gt;0,IF(E81&lt;E66,IF(J60=G73,E81,((J60-G73)*(1-D83))+E66),E81+(J60-G73)),0)</f>
        <v>0</v>
      </c>
      <c r="K62" s="526"/>
    </row>
    <row r="63" spans="2:11" ht="15.75">
      <c r="B63" s="28" t="s">
        <v>178</v>
      </c>
      <c r="C63" s="18"/>
      <c r="D63" s="18"/>
      <c r="E63" s="23"/>
      <c r="G63" s="568" t="s">
        <v>700</v>
      </c>
      <c r="H63" s="569"/>
      <c r="I63" s="569"/>
      <c r="J63" s="570">
        <f>IF(J60&gt;0,J62-E81,0)</f>
        <v>0</v>
      </c>
      <c r="K63" s="526"/>
    </row>
    <row r="64" spans="2:11" ht="15.75">
      <c r="B64" s="28" t="s">
        <v>179</v>
      </c>
      <c r="C64" s="339">
        <f>IF(C65*0.1&lt;C63,"Exceed 10% Rule","")</f>
      </c>
      <c r="D64" s="339">
        <f>IF(D65*0.1&lt;D63,"Exceed 10% Rule","")</f>
      </c>
      <c r="E64" s="34">
        <f>IF(E65*0.1+E84&lt;E63,"Exceed 10% Rule","")</f>
      </c>
      <c r="G64" s="526"/>
      <c r="H64" s="526"/>
      <c r="I64" s="526"/>
      <c r="J64" s="526"/>
      <c r="K64" s="526"/>
    </row>
    <row r="65" spans="2:11" ht="15.75">
      <c r="B65" s="30" t="s">
        <v>19</v>
      </c>
      <c r="C65" s="344">
        <f>SUM(C50:C63)</f>
        <v>0</v>
      </c>
      <c r="D65" s="344">
        <f>SUM(D50:D63)</f>
        <v>0</v>
      </c>
      <c r="E65" s="31">
        <f>SUM(E50:E63)</f>
        <v>0</v>
      </c>
      <c r="G65" s="903" t="str">
        <f>CONCATENATE("Projected Carryover Into ",E1+1,"")</f>
        <v>Projected Carryover Into 1</v>
      </c>
      <c r="H65" s="913"/>
      <c r="I65" s="913"/>
      <c r="J65" s="907"/>
      <c r="K65" s="526"/>
    </row>
    <row r="66" spans="2:11" ht="15.75">
      <c r="B66" s="32" t="s">
        <v>20</v>
      </c>
      <c r="C66" s="344">
        <f>C65+C48</f>
        <v>0</v>
      </c>
      <c r="D66" s="344">
        <f>D65+D48</f>
        <v>0</v>
      </c>
      <c r="E66" s="31">
        <f>E65+E48</f>
        <v>0</v>
      </c>
      <c r="G66" s="609"/>
      <c r="H66" s="558"/>
      <c r="I66" s="558"/>
      <c r="J66" s="610"/>
      <c r="K66" s="526"/>
    </row>
    <row r="67" spans="2:11" ht="15.75">
      <c r="B67" s="16" t="s">
        <v>21</v>
      </c>
      <c r="C67" s="342"/>
      <c r="D67" s="342"/>
      <c r="E67" s="21"/>
      <c r="G67" s="575">
        <f>D78</f>
        <v>0</v>
      </c>
      <c r="H67" s="576" t="str">
        <f>CONCATENATE("",E1-1," Ending Cash Balance (est.)")</f>
        <v>-1 Ending Cash Balance (est.)</v>
      </c>
      <c r="I67" s="577"/>
      <c r="J67" s="610"/>
      <c r="K67" s="526"/>
    </row>
    <row r="68" spans="2:11" ht="15.75">
      <c r="B68" s="27"/>
      <c r="C68" s="18"/>
      <c r="D68" s="18"/>
      <c r="E68" s="23"/>
      <c r="G68" s="575">
        <f>E65</f>
        <v>0</v>
      </c>
      <c r="H68" s="559" t="str">
        <f>CONCATENATE("",E1," Non-AV Receipts (est.)")</f>
        <v>0 Non-AV Receipts (est.)</v>
      </c>
      <c r="I68" s="559"/>
      <c r="J68" s="829"/>
      <c r="K68" s="828"/>
    </row>
    <row r="69" spans="2:11" ht="15.75">
      <c r="B69" s="27"/>
      <c r="C69" s="18"/>
      <c r="D69" s="18"/>
      <c r="E69" s="23"/>
      <c r="G69" s="582">
        <f>IF(E83&gt;0,E82,E84)</f>
        <v>0</v>
      </c>
      <c r="H69" s="559" t="str">
        <f>CONCATENATE("",E1," Ad Valorem Tax (est.)")</f>
        <v>0 Ad Valorem Tax (est.)</v>
      </c>
      <c r="I69" s="559"/>
      <c r="J69" s="829"/>
      <c r="K69" s="673">
        <f>IF(G69=E84,"","Note: Does not include Delinquent Taxes")</f>
      </c>
    </row>
    <row r="70" spans="2:11" ht="15.75">
      <c r="B70" s="27"/>
      <c r="C70" s="18"/>
      <c r="D70" s="18"/>
      <c r="E70" s="23"/>
      <c r="G70" s="612">
        <f>SUM(G67:G69)</f>
        <v>0</v>
      </c>
      <c r="H70" s="559" t="str">
        <f>CONCATENATE("Total ",E1," Resources Available")</f>
        <v>Total 0 Resources Available</v>
      </c>
      <c r="I70" s="613"/>
      <c r="J70" s="610"/>
      <c r="K70" s="526"/>
    </row>
    <row r="71" spans="2:11" ht="15.75">
      <c r="B71" s="27"/>
      <c r="C71" s="18"/>
      <c r="D71" s="18"/>
      <c r="E71" s="23"/>
      <c r="G71" s="614"/>
      <c r="H71" s="615"/>
      <c r="I71" s="558"/>
      <c r="J71" s="610"/>
      <c r="K71" s="526"/>
    </row>
    <row r="72" spans="2:11" ht="15.75">
      <c r="B72" s="27"/>
      <c r="C72" s="18"/>
      <c r="D72" s="18"/>
      <c r="E72" s="23"/>
      <c r="G72" s="582">
        <f>ROUND(C77*0.05+C77,0)</f>
        <v>0</v>
      </c>
      <c r="H72" s="559" t="str">
        <f>CONCATENATE("Less ",E1-2," Expenditures + 5%")</f>
        <v>Less -2 Expenditures + 5%</v>
      </c>
      <c r="I72" s="613"/>
      <c r="J72" s="610"/>
      <c r="K72" s="526"/>
    </row>
    <row r="73" spans="2:11" ht="15.75">
      <c r="B73" s="27"/>
      <c r="C73" s="18"/>
      <c r="D73" s="18"/>
      <c r="E73" s="23"/>
      <c r="G73" s="590">
        <f>G70-G72</f>
        <v>0</v>
      </c>
      <c r="H73" s="591" t="str">
        <f>CONCATENATE("Projected ",E1+1," carryover (est.)")</f>
        <v>Projected 1 carryover (est.)</v>
      </c>
      <c r="I73" s="616"/>
      <c r="J73" s="617"/>
      <c r="K73" s="526"/>
    </row>
    <row r="74" spans="2:11" ht="15.75">
      <c r="B74" s="24" t="str">
        <f>CONCATENATE("Cash Forward (",E1," column)")</f>
        <v>Cash Forward (0 column)</v>
      </c>
      <c r="C74" s="18"/>
      <c r="D74" s="18"/>
      <c r="E74" s="23"/>
      <c r="G74" s="526"/>
      <c r="H74" s="526"/>
      <c r="I74" s="526"/>
      <c r="J74" s="526"/>
      <c r="K74" s="526"/>
    </row>
    <row r="75" spans="2:11" ht="15.75">
      <c r="B75" s="24" t="s">
        <v>178</v>
      </c>
      <c r="C75" s="18"/>
      <c r="D75" s="18"/>
      <c r="E75" s="23"/>
      <c r="G75" s="910" t="s">
        <v>701</v>
      </c>
      <c r="H75" s="911"/>
      <c r="I75" s="911"/>
      <c r="J75" s="912"/>
      <c r="K75" s="526"/>
    </row>
    <row r="76" spans="2:11" ht="15.75">
      <c r="B76" s="24" t="s">
        <v>535</v>
      </c>
      <c r="C76" s="339">
        <f>IF(C77*0.1&lt;C75,"Exceed 10% Rule","")</f>
      </c>
      <c r="D76" s="339">
        <f>IF(D77*0.1&lt;D75,"Exceed 10% Rule","")</f>
      </c>
      <c r="E76" s="34">
        <f>IF(E77*0.1&lt;E75,"Exceed 10% Rule","")</f>
      </c>
      <c r="G76" s="597"/>
      <c r="H76" s="576"/>
      <c r="I76" s="598"/>
      <c r="J76" s="599"/>
      <c r="K76" s="526"/>
    </row>
    <row r="77" spans="2:11" ht="15.75">
      <c r="B77" s="32" t="s">
        <v>22</v>
      </c>
      <c r="C77" s="344">
        <f>SUM(C68:C75)</f>
        <v>0</v>
      </c>
      <c r="D77" s="344">
        <f>SUM(D68:D75)</f>
        <v>0</v>
      </c>
      <c r="E77" s="31">
        <f>SUM(E68:E75)</f>
        <v>0</v>
      </c>
      <c r="G77" s="600" t="str">
        <f>summ!I23</f>
        <v> </v>
      </c>
      <c r="H77" s="576" t="str">
        <f>CONCATENATE("",E1," Fund Mill Rate")</f>
        <v>0 Fund Mill Rate</v>
      </c>
      <c r="I77" s="598"/>
      <c r="J77" s="599"/>
      <c r="K77" s="526"/>
    </row>
    <row r="78" spans="2:11" ht="15.75">
      <c r="B78" s="16" t="s">
        <v>104</v>
      </c>
      <c r="C78" s="337">
        <f>C66-C77</f>
        <v>0</v>
      </c>
      <c r="D78" s="337">
        <f>D66-D77</f>
        <v>0</v>
      </c>
      <c r="E78" s="22" t="s">
        <v>251</v>
      </c>
      <c r="G78" s="601" t="str">
        <f>summ!F23</f>
        <v>  </v>
      </c>
      <c r="H78" s="576" t="str">
        <f>CONCATENATE("",E1-1," Fund Mill Rate")</f>
        <v>-1 Fund Mill Rate</v>
      </c>
      <c r="I78" s="598"/>
      <c r="J78" s="599"/>
      <c r="K78" s="526"/>
    </row>
    <row r="79" spans="2:11" ht="15.75">
      <c r="B79" s="255" t="str">
        <f>CONCATENATE("",E1-2,"/",E1-1,"/",E1," Budget Authority Amount:")</f>
        <v>-2/-1/0 Budget Authority Amount:</v>
      </c>
      <c r="C79" s="52">
        <f>inputOth!B53</f>
        <v>0</v>
      </c>
      <c r="D79" s="52">
        <f>inputPrYr!D24</f>
        <v>0</v>
      </c>
      <c r="E79" s="21">
        <f>E77</f>
        <v>0</v>
      </c>
      <c r="F79" s="39"/>
      <c r="G79" s="603">
        <f>summ!I32</f>
        <v>0</v>
      </c>
      <c r="H79" s="576" t="str">
        <f>CONCATENATE("Total ",E1," Mill Rate")</f>
        <v>Total 0 Mill Rate</v>
      </c>
      <c r="I79" s="598"/>
      <c r="J79" s="599"/>
      <c r="K79" s="526"/>
    </row>
    <row r="80" spans="2:11" ht="15.75">
      <c r="B80" s="37"/>
      <c r="C80" s="893" t="s">
        <v>536</v>
      </c>
      <c r="D80" s="894"/>
      <c r="E80" s="23"/>
      <c r="F80" s="430">
        <f>IF(E77/0.95-E77&lt;E80,"Exceeds 5%","")</f>
      </c>
      <c r="G80" s="601">
        <f>summ!F32</f>
        <v>0</v>
      </c>
      <c r="H80" s="604" t="str">
        <f>CONCATENATE("Total ",E1-1," Mill Rate")</f>
        <v>Total -1 Mill Rate</v>
      </c>
      <c r="I80" s="605"/>
      <c r="J80" s="606"/>
      <c r="K80" s="526"/>
    </row>
    <row r="81" spans="2:5" ht="15.75">
      <c r="B81" s="348" t="str">
        <f>CONCATENATE(C98,"     ",D98)</f>
        <v>     </v>
      </c>
      <c r="C81" s="895" t="s">
        <v>537</v>
      </c>
      <c r="D81" s="896"/>
      <c r="E81" s="21">
        <f>E77+E80</f>
        <v>0</v>
      </c>
    </row>
    <row r="82" spans="2:10" ht="15.75">
      <c r="B82" s="348" t="str">
        <f>CONCATENATE(C99,"     ",D99)</f>
        <v>     </v>
      </c>
      <c r="C82" s="49"/>
      <c r="D82" s="41" t="s">
        <v>24</v>
      </c>
      <c r="E82" s="35">
        <f>IF(E81-E66&gt;0,E81-E66,0)</f>
        <v>0</v>
      </c>
      <c r="G82" s="776" t="s">
        <v>833</v>
      </c>
      <c r="H82" s="777"/>
      <c r="I82" s="778"/>
      <c r="J82" s="779" t="str">
        <f>cert!G37</f>
        <v>No</v>
      </c>
    </row>
    <row r="83" spans="2:10" ht="15.75">
      <c r="B83" s="41"/>
      <c r="C83" s="352" t="s">
        <v>538</v>
      </c>
      <c r="D83" s="630">
        <f>inputOth!$E$42</f>
        <v>0</v>
      </c>
      <c r="E83" s="21">
        <f>ROUND(IF(D83&gt;0,(E82*D83),0),0)</f>
        <v>0</v>
      </c>
      <c r="G83" s="780" t="str">
        <f>CONCATENATE("Computed ",E1," tax levy limit amount")</f>
        <v>Computed 0 tax levy limit amount</v>
      </c>
      <c r="H83" s="781"/>
      <c r="I83" s="781"/>
      <c r="J83" s="782">
        <f>computation!J41</f>
        <v>0</v>
      </c>
    </row>
    <row r="84" spans="2:10" ht="15.75">
      <c r="B84" s="3"/>
      <c r="C84" s="891" t="str">
        <f>CONCATENATE("Amount of  ",$E$1-1," Ad Valorem Tax")</f>
        <v>Amount of  -1 Ad Valorem Tax</v>
      </c>
      <c r="D84" s="892"/>
      <c r="E84" s="35">
        <f>E82+E83</f>
        <v>0</v>
      </c>
      <c r="G84" s="783" t="str">
        <f>CONCATENATE("Total ",E1," tax levy amount")</f>
        <v>Total 0 tax levy amount</v>
      </c>
      <c r="H84" s="784"/>
      <c r="I84" s="784"/>
      <c r="J84" s="785">
        <f>summ!H32</f>
        <v>0</v>
      </c>
    </row>
    <row r="85" spans="2:5" ht="15.75">
      <c r="B85" s="41" t="s">
        <v>5</v>
      </c>
      <c r="C85" s="751"/>
      <c r="D85" s="3"/>
      <c r="E85" s="3"/>
    </row>
    <row r="86" ht="15.75">
      <c r="B86" s="68"/>
    </row>
    <row r="96" spans="3:4" ht="15.75" hidden="1">
      <c r="C96" s="5">
        <f>IF(C35&gt;C37,"See Tab A","")</f>
      </c>
      <c r="D96" s="5">
        <f>IF(D35&gt;D37,"See Tab C","")</f>
      </c>
    </row>
    <row r="97" spans="3:4" ht="15.75" hidden="1">
      <c r="C97" s="5">
        <f>IF(C36&lt;0,"See Tab B","")</f>
      </c>
      <c r="D97" s="5">
        <f>IF(D36&lt;0,"See Tab D","")</f>
      </c>
    </row>
    <row r="98" spans="3:4" ht="15.75" hidden="1">
      <c r="C98" s="5">
        <f>IF(C77&gt;C79,"See Tab A","")</f>
      </c>
      <c r="D98" s="5">
        <f>IF(D77&gt;D79,"See Tab C","")</f>
      </c>
    </row>
    <row r="99" spans="3:4" ht="15.75" hidden="1">
      <c r="C99" s="5">
        <f>IF(C78&lt;0,"See Tab B","")</f>
      </c>
      <c r="D99" s="5">
        <f>IF(D78&lt;0,"See Tab D","")</f>
      </c>
    </row>
  </sheetData>
  <sheetProtection sheet="1"/>
  <mergeCells count="12">
    <mergeCell ref="C84:D84"/>
    <mergeCell ref="C42:D42"/>
    <mergeCell ref="C38:D38"/>
    <mergeCell ref="C39:D39"/>
    <mergeCell ref="C80:D80"/>
    <mergeCell ref="C81:D81"/>
    <mergeCell ref="G16:J16"/>
    <mergeCell ref="G23:J23"/>
    <mergeCell ref="G33:J33"/>
    <mergeCell ref="G58:J58"/>
    <mergeCell ref="G65:J65"/>
    <mergeCell ref="G75:J75"/>
  </mergeCells>
  <conditionalFormatting sqref="E80">
    <cfRule type="cellIs" priority="3" dxfId="130" operator="greaterThan" stopIfTrue="1">
      <formula>$E$77/0.95-$E$77</formula>
    </cfRule>
  </conditionalFormatting>
  <conditionalFormatting sqref="C75">
    <cfRule type="cellIs" priority="4" dxfId="130" operator="greaterThan" stopIfTrue="1">
      <formula>$C$77*0.1</formula>
    </cfRule>
  </conditionalFormatting>
  <conditionalFormatting sqref="D75">
    <cfRule type="cellIs" priority="5" dxfId="130" operator="greaterThan" stopIfTrue="1">
      <formula>$D$77*0.1</formula>
    </cfRule>
  </conditionalFormatting>
  <conditionalFormatting sqref="E75">
    <cfRule type="cellIs" priority="6" dxfId="130" operator="greaterThan" stopIfTrue="1">
      <formula>$E$77*0.1</formula>
    </cfRule>
  </conditionalFormatting>
  <conditionalFormatting sqref="C63">
    <cfRule type="cellIs" priority="7" dxfId="130" operator="greaterThan" stopIfTrue="1">
      <formula>$C$65*0.1</formula>
    </cfRule>
  </conditionalFormatting>
  <conditionalFormatting sqref="D63">
    <cfRule type="cellIs" priority="8" dxfId="130" operator="greaterThan" stopIfTrue="1">
      <formula>$D$65*0.1</formula>
    </cfRule>
  </conditionalFormatting>
  <conditionalFormatting sqref="E38">
    <cfRule type="cellIs" priority="9" dxfId="130" operator="greaterThan" stopIfTrue="1">
      <formula>$E$35/0.95-$E$35</formula>
    </cfRule>
  </conditionalFormatting>
  <conditionalFormatting sqref="C33">
    <cfRule type="cellIs" priority="10" dxfId="130" operator="greaterThan" stopIfTrue="1">
      <formula>$C$35*0.1</formula>
    </cfRule>
  </conditionalFormatting>
  <conditionalFormatting sqref="D33">
    <cfRule type="cellIs" priority="11" dxfId="130" operator="greaterThan" stopIfTrue="1">
      <formula>$D$35*0.1</formula>
    </cfRule>
  </conditionalFormatting>
  <conditionalFormatting sqref="E33">
    <cfRule type="cellIs" priority="12" dxfId="130" operator="greaterThan" stopIfTrue="1">
      <formula>$E$35*0.1</formula>
    </cfRule>
  </conditionalFormatting>
  <conditionalFormatting sqref="C21">
    <cfRule type="cellIs" priority="13" dxfId="130" operator="greaterThan" stopIfTrue="1">
      <formula>$C$23*0.1</formula>
    </cfRule>
  </conditionalFormatting>
  <conditionalFormatting sqref="D21">
    <cfRule type="cellIs" priority="14" dxfId="130" operator="greaterThan" stopIfTrue="1">
      <formula>$D$23*0.1</formula>
    </cfRule>
  </conditionalFormatting>
  <conditionalFormatting sqref="C78 C36">
    <cfRule type="cellIs" priority="17" dxfId="130" operator="lessThan" stopIfTrue="1">
      <formula>0</formula>
    </cfRule>
  </conditionalFormatting>
  <conditionalFormatting sqref="C77">
    <cfRule type="cellIs" priority="18" dxfId="2" operator="greaterThan" stopIfTrue="1">
      <formula>$C$79</formula>
    </cfRule>
  </conditionalFormatting>
  <conditionalFormatting sqref="D77">
    <cfRule type="cellIs" priority="19" dxfId="2" operator="greaterThan" stopIfTrue="1">
      <formula>$D$79</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4" dxfId="130" operator="greaterThan" stopIfTrue="1">
      <formula>$E$23*0.1+$E$42</formula>
    </cfRule>
  </conditionalFormatting>
  <conditionalFormatting sqref="E63">
    <cfRule type="cellIs" priority="35" dxfId="130"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O141" sqref="O14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3"/>
      <c r="D1" s="3"/>
      <c r="E1" s="4">
        <f>inputPrYr!D6</f>
        <v>0</v>
      </c>
    </row>
    <row r="2" spans="2:5" ht="15.75">
      <c r="B2" s="6"/>
      <c r="C2" s="3"/>
      <c r="D2" s="50"/>
      <c r="E2" s="69"/>
    </row>
    <row r="3" spans="2:5" ht="15.75">
      <c r="B3" s="480" t="s">
        <v>632</v>
      </c>
      <c r="C3" s="54"/>
      <c r="D3" s="54"/>
      <c r="E3" s="54"/>
    </row>
    <row r="4" spans="2:5" ht="15.75">
      <c r="B4" s="11" t="s">
        <v>6</v>
      </c>
      <c r="C4" s="340" t="s">
        <v>7</v>
      </c>
      <c r="D4" s="343" t="s">
        <v>8</v>
      </c>
      <c r="E4" s="12" t="s">
        <v>9</v>
      </c>
    </row>
    <row r="5" spans="2:5" ht="15.75">
      <c r="B5" s="349">
        <f>inputPrYr!B25</f>
        <v>0</v>
      </c>
      <c r="C5" s="341" t="str">
        <f>gen!C5</f>
        <v>Actual for -2</v>
      </c>
      <c r="D5" s="341" t="str">
        <f>gen!D5</f>
        <v>Estimate for -1</v>
      </c>
      <c r="E5" s="15" t="str">
        <f>gen!E5</f>
        <v>Year for 0</v>
      </c>
    </row>
    <row r="6" spans="2:5" ht="15.75">
      <c r="B6" s="16" t="s">
        <v>103</v>
      </c>
      <c r="C6" s="18"/>
      <c r="D6" s="342">
        <f>C36</f>
        <v>0</v>
      </c>
      <c r="E6" s="21">
        <f>D36</f>
        <v>0</v>
      </c>
    </row>
    <row r="7" spans="2:5" ht="15.75">
      <c r="B7" s="16" t="s">
        <v>105</v>
      </c>
      <c r="C7" s="342"/>
      <c r="D7" s="342"/>
      <c r="E7" s="22"/>
    </row>
    <row r="8" spans="2:5" ht="15.75">
      <c r="B8" s="16" t="s">
        <v>12</v>
      </c>
      <c r="C8" s="18"/>
      <c r="D8" s="342">
        <f>IF(inputPrYr!H18&gt;0,inputPrYr!G25,inputPrYr!E25)</f>
        <v>0</v>
      </c>
      <c r="E8" s="22" t="s">
        <v>251</v>
      </c>
    </row>
    <row r="9" spans="2:5" ht="15.75">
      <c r="B9" s="16" t="s">
        <v>13</v>
      </c>
      <c r="C9" s="18"/>
      <c r="D9" s="18"/>
      <c r="E9" s="23"/>
    </row>
    <row r="10" spans="2:5" ht="15.75">
      <c r="B10" s="16" t="s">
        <v>14</v>
      </c>
      <c r="C10" s="18"/>
      <c r="D10" s="18"/>
      <c r="E10" s="21">
        <f>mvalloc!D17</f>
        <v>0</v>
      </c>
    </row>
    <row r="11" spans="2:5" ht="15.75">
      <c r="B11" s="16" t="s">
        <v>15</v>
      </c>
      <c r="C11" s="18"/>
      <c r="D11" s="18"/>
      <c r="E11" s="21">
        <f>mvalloc!E17</f>
        <v>0</v>
      </c>
    </row>
    <row r="12" spans="2:5" ht="15.75">
      <c r="B12" s="16" t="s">
        <v>93</v>
      </c>
      <c r="C12" s="18"/>
      <c r="D12" s="18"/>
      <c r="E12" s="21">
        <f>mvalloc!F17</f>
        <v>0</v>
      </c>
    </row>
    <row r="13" spans="2:5" ht="15.75">
      <c r="B13" s="771" t="s">
        <v>825</v>
      </c>
      <c r="C13" s="18"/>
      <c r="D13" s="18"/>
      <c r="E13" s="21">
        <f>mvalloc!G17</f>
        <v>0</v>
      </c>
    </row>
    <row r="14" spans="2:5" ht="15.75">
      <c r="B14" s="771" t="s">
        <v>826</v>
      </c>
      <c r="C14" s="18"/>
      <c r="D14" s="18"/>
      <c r="E14" s="21">
        <f>mvalloc!H17</f>
        <v>0</v>
      </c>
    </row>
    <row r="15" spans="2:5" ht="15.75">
      <c r="B15" s="26"/>
      <c r="C15" s="18"/>
      <c r="D15" s="18"/>
      <c r="E15" s="23"/>
    </row>
    <row r="16" spans="2:11" ht="15.75">
      <c r="B16" s="26"/>
      <c r="C16" s="18"/>
      <c r="D16" s="18"/>
      <c r="E16" s="23"/>
      <c r="G16" s="903" t="str">
        <f>CONCATENATE("Desired Carryover Into ",E1+1,"")</f>
        <v>Desired Carryover Into 1</v>
      </c>
      <c r="H16" s="904"/>
      <c r="I16" s="904"/>
      <c r="J16" s="905"/>
      <c r="K16" s="526"/>
    </row>
    <row r="17" spans="2:11" ht="15.75">
      <c r="B17" s="26"/>
      <c r="C17" s="18"/>
      <c r="D17" s="18"/>
      <c r="E17" s="23"/>
      <c r="G17" s="557"/>
      <c r="H17" s="558"/>
      <c r="I17" s="559"/>
      <c r="J17" s="560"/>
      <c r="K17" s="526"/>
    </row>
    <row r="18" spans="2:11" ht="15.75">
      <c r="B18" s="27"/>
      <c r="C18" s="18"/>
      <c r="D18" s="18"/>
      <c r="E18" s="23"/>
      <c r="G18" s="561" t="s">
        <v>626</v>
      </c>
      <c r="H18" s="559"/>
      <c r="I18" s="559"/>
      <c r="J18" s="562">
        <v>0</v>
      </c>
      <c r="K18" s="526"/>
    </row>
    <row r="19" spans="2:11" ht="15.75">
      <c r="B19" s="27" t="s">
        <v>18</v>
      </c>
      <c r="C19" s="18"/>
      <c r="D19" s="18"/>
      <c r="E19" s="23"/>
      <c r="G19" s="557" t="s">
        <v>627</v>
      </c>
      <c r="H19" s="558"/>
      <c r="I19" s="558"/>
      <c r="J19" s="563">
        <f>IF(J18=0,"",ROUND((J18+E42-G31)/inputOth!E7*1000,3)-G36)</f>
      </c>
      <c r="K19" s="526"/>
    </row>
    <row r="20" spans="2:11" ht="15.75">
      <c r="B20" s="24" t="s">
        <v>180</v>
      </c>
      <c r="C20" s="18"/>
      <c r="D20" s="18"/>
      <c r="E20" s="35">
        <f>nhood!E12*-1</f>
        <v>0</v>
      </c>
      <c r="G20" s="564" t="str">
        <f>CONCATENATE("",E1," Tot Exp/Non-Appr Must Be:")</f>
        <v>0 Tot Exp/Non-Appr Must Be:</v>
      </c>
      <c r="H20" s="565"/>
      <c r="I20" s="566"/>
      <c r="J20" s="567">
        <f>IF(J18&gt;0,IF(E39&lt;E24,IF(J18=G31,E39,((J18-G31)*(1-D41))+E24),E39+(J18-G31)),0)</f>
        <v>0</v>
      </c>
      <c r="K20" s="526"/>
    </row>
    <row r="21" spans="2:11" ht="15.75">
      <c r="B21" s="28" t="s">
        <v>178</v>
      </c>
      <c r="C21" s="18"/>
      <c r="D21" s="18"/>
      <c r="E21" s="23"/>
      <c r="G21" s="568" t="s">
        <v>700</v>
      </c>
      <c r="H21" s="569"/>
      <c r="I21" s="569"/>
      <c r="J21" s="570">
        <f>IF(J18&gt;0,J20-E39,0)</f>
        <v>0</v>
      </c>
      <c r="K21" s="526"/>
    </row>
    <row r="22" spans="2:11" ht="15.75">
      <c r="B22" s="28" t="s">
        <v>179</v>
      </c>
      <c r="C22" s="339">
        <f>IF(C23*0.1&lt;C21,"Exceed 10% Rule","")</f>
      </c>
      <c r="D22" s="339">
        <f>IF(D23*0.1&lt;D21,"Exceed 10% Rule","")</f>
      </c>
      <c r="E22" s="34">
        <f>IF(E23*0.1+E42&lt;E21,"Exceed 10% Rule","")</f>
      </c>
      <c r="G22" s="526"/>
      <c r="H22" s="526"/>
      <c r="I22" s="526"/>
      <c r="J22" s="526"/>
      <c r="K22" s="526"/>
    </row>
    <row r="23" spans="2:11" ht="15.75">
      <c r="B23" s="30" t="s">
        <v>19</v>
      </c>
      <c r="C23" s="344">
        <f>SUM(C8:C21)</f>
        <v>0</v>
      </c>
      <c r="D23" s="344">
        <f>SUM(D8:D21)</f>
        <v>0</v>
      </c>
      <c r="E23" s="31">
        <f>SUM(E8:E21)</f>
        <v>0</v>
      </c>
      <c r="G23" s="903" t="str">
        <f>CONCATENATE("Projected Carryover Into ",E1+1,"")</f>
        <v>Projected Carryover Into 1</v>
      </c>
      <c r="H23" s="906"/>
      <c r="I23" s="906"/>
      <c r="J23" s="907"/>
      <c r="K23" s="526"/>
    </row>
    <row r="24" spans="2:11" ht="15.75">
      <c r="B24" s="32" t="s">
        <v>20</v>
      </c>
      <c r="C24" s="344">
        <f>C23+C6</f>
        <v>0</v>
      </c>
      <c r="D24" s="344">
        <f>D23+D6</f>
        <v>0</v>
      </c>
      <c r="E24" s="31">
        <f>E23+E6</f>
        <v>0</v>
      </c>
      <c r="G24" s="557"/>
      <c r="H24" s="559"/>
      <c r="I24" s="559"/>
      <c r="J24" s="572"/>
      <c r="K24" s="526"/>
    </row>
    <row r="25" spans="2:11" ht="15.75">
      <c r="B25" s="16" t="s">
        <v>21</v>
      </c>
      <c r="C25" s="342"/>
      <c r="D25" s="342"/>
      <c r="E25" s="21"/>
      <c r="G25" s="575">
        <f>D36</f>
        <v>0</v>
      </c>
      <c r="H25" s="576" t="str">
        <f>CONCATENATE("",E1-1," Ending Cash Balance (est.)")</f>
        <v>-1 Ending Cash Balance (est.)</v>
      </c>
      <c r="I25" s="577"/>
      <c r="J25" s="572"/>
      <c r="K25" s="526"/>
    </row>
    <row r="26" spans="2:11" ht="15.75">
      <c r="B26" s="27"/>
      <c r="C26" s="18"/>
      <c r="D26" s="18"/>
      <c r="E26" s="23"/>
      <c r="G26" s="575">
        <f>E23</f>
        <v>0</v>
      </c>
      <c r="H26" s="559" t="str">
        <f>CONCATENATE("",E1," Non-AV Receipts (est.)")</f>
        <v>0 Non-AV Receipts (est.)</v>
      </c>
      <c r="I26" s="559"/>
      <c r="J26" s="672"/>
      <c r="K26" s="828"/>
    </row>
    <row r="27" spans="2:11" ht="15.75">
      <c r="B27" s="27"/>
      <c r="C27" s="18"/>
      <c r="D27" s="18"/>
      <c r="E27" s="23"/>
      <c r="G27" s="582">
        <f>IF(E41&gt;0,E40,E42)</f>
        <v>0</v>
      </c>
      <c r="H27" s="559" t="str">
        <f>CONCATENATE("",E1," Ad Valorem Tax (est.)")</f>
        <v>0 Ad Valorem Tax (est.)</v>
      </c>
      <c r="I27" s="559"/>
      <c r="J27" s="672"/>
      <c r="K27" s="673">
        <f>IF(G27=E42,"","Note: Does not include Delinquent Taxes")</f>
      </c>
    </row>
    <row r="28" spans="2:11" ht="15.75">
      <c r="B28" s="27"/>
      <c r="C28" s="18"/>
      <c r="D28" s="18"/>
      <c r="E28" s="23"/>
      <c r="G28" s="575">
        <f>SUM(G25:G27)</f>
        <v>0</v>
      </c>
      <c r="H28" s="559" t="str">
        <f>CONCATENATE("Total ",E1," Resources Available")</f>
        <v>Total 0 Resources Available</v>
      </c>
      <c r="I28" s="577"/>
      <c r="J28" s="572"/>
      <c r="K28" s="526"/>
    </row>
    <row r="29" spans="2:11" ht="15.75">
      <c r="B29" s="27"/>
      <c r="C29" s="18"/>
      <c r="D29" s="18"/>
      <c r="E29" s="23"/>
      <c r="G29" s="586"/>
      <c r="H29" s="559"/>
      <c r="I29" s="559"/>
      <c r="J29" s="572"/>
      <c r="K29" s="526"/>
    </row>
    <row r="30" spans="2:11" ht="15.75">
      <c r="B30" s="27"/>
      <c r="C30" s="18"/>
      <c r="D30" s="18"/>
      <c r="E30" s="23"/>
      <c r="G30" s="582">
        <f>C35*0.05+C35</f>
        <v>0</v>
      </c>
      <c r="H30" s="559" t="str">
        <f>CONCATENATE("Less ",E1-2," Expenditures + 5%")</f>
        <v>Less -2 Expenditures + 5%</v>
      </c>
      <c r="I30" s="559"/>
      <c r="J30" s="572"/>
      <c r="K30" s="526"/>
    </row>
    <row r="31" spans="2:11" ht="15.75">
      <c r="B31" s="27"/>
      <c r="C31" s="18"/>
      <c r="D31" s="18"/>
      <c r="E31" s="23"/>
      <c r="G31" s="590">
        <f>G28-G30</f>
        <v>0</v>
      </c>
      <c r="H31" s="591" t="str">
        <f>CONCATENATE("Projected ",E1+1," carryover (est.)")</f>
        <v>Projected 1 carryover (est.)</v>
      </c>
      <c r="I31" s="592"/>
      <c r="J31" s="593"/>
      <c r="K31" s="526"/>
    </row>
    <row r="32" spans="2:11" ht="15.75">
      <c r="B32" s="819" t="str">
        <f>CONCATENATE("Cash Forward (",E1," column)")</f>
        <v>Cash Forward (0 column)</v>
      </c>
      <c r="C32" s="18"/>
      <c r="D32" s="18"/>
      <c r="E32" s="23"/>
      <c r="G32" s="526"/>
      <c r="H32" s="526"/>
      <c r="I32" s="526"/>
      <c r="J32" s="526"/>
      <c r="K32" s="526"/>
    </row>
    <row r="33" spans="2:11" ht="15.75">
      <c r="B33" s="24" t="s">
        <v>178</v>
      </c>
      <c r="C33" s="18"/>
      <c r="D33" s="18"/>
      <c r="E33" s="23"/>
      <c r="G33" s="910" t="s">
        <v>701</v>
      </c>
      <c r="H33" s="911"/>
      <c r="I33" s="911"/>
      <c r="J33" s="912"/>
      <c r="K33" s="526"/>
    </row>
    <row r="34" spans="2:11" ht="15.75">
      <c r="B34" s="24" t="s">
        <v>535</v>
      </c>
      <c r="C34" s="339">
        <f>IF(C35*0.1&lt;C33,"Exceed 10% Rule","")</f>
      </c>
      <c r="D34" s="339">
        <f>IF(D35*0.1&lt;D33,"Exceed 10% Rule","")</f>
      </c>
      <c r="E34" s="34">
        <f>IF(E35*0.1&lt;E33,"Exceed 10% Rule","")</f>
      </c>
      <c r="G34" s="597"/>
      <c r="H34" s="576"/>
      <c r="I34" s="598"/>
      <c r="J34" s="599"/>
      <c r="K34" s="526"/>
    </row>
    <row r="35" spans="2:11" ht="15.75">
      <c r="B35" s="32" t="s">
        <v>22</v>
      </c>
      <c r="C35" s="344">
        <f>SUM(C26:C33)</f>
        <v>0</v>
      </c>
      <c r="D35" s="344">
        <f>SUM(D26:D33)</f>
        <v>0</v>
      </c>
      <c r="E35" s="31">
        <f>SUM(E26:E33)</f>
        <v>0</v>
      </c>
      <c r="G35" s="600" t="str">
        <f>summ!I24</f>
        <v> </v>
      </c>
      <c r="H35" s="576" t="str">
        <f>CONCATENATE("",E1," Fund Mill Rate")</f>
        <v>0 Fund Mill Rate</v>
      </c>
      <c r="I35" s="598"/>
      <c r="J35" s="599"/>
      <c r="K35" s="526"/>
    </row>
    <row r="36" spans="2:11" ht="15.75">
      <c r="B36" s="16" t="s">
        <v>104</v>
      </c>
      <c r="C36" s="337">
        <f>C24-C35</f>
        <v>0</v>
      </c>
      <c r="D36" s="337">
        <f>D24-D35</f>
        <v>0</v>
      </c>
      <c r="E36" s="22" t="s">
        <v>251</v>
      </c>
      <c r="G36" s="601" t="str">
        <f>summ!F24</f>
        <v>  </v>
      </c>
      <c r="H36" s="576" t="str">
        <f>CONCATENATE("",E1-1," Fund Mill Rate")</f>
        <v>-1 Fund Mill Rate</v>
      </c>
      <c r="I36" s="598"/>
      <c r="J36" s="599"/>
      <c r="K36" s="526"/>
    </row>
    <row r="37" spans="2:11" ht="15.75">
      <c r="B37" s="255" t="str">
        <f>CONCATENATE("",E1-2,"/",E1-1,"/",E1," Budget Authority Amount:")</f>
        <v>-2/-1/0 Budget Authority Amount:</v>
      </c>
      <c r="C37" s="52">
        <f>inputOth!B54</f>
        <v>0</v>
      </c>
      <c r="D37" s="52">
        <f>inputPrYr!D25</f>
        <v>0</v>
      </c>
      <c r="E37" s="21">
        <f>E35</f>
        <v>0</v>
      </c>
      <c r="F37" s="39"/>
      <c r="G37" s="603">
        <f>summ!I32</f>
        <v>0</v>
      </c>
      <c r="H37" s="576" t="str">
        <f>CONCATENATE("Total ",E1," Mill Rate")</f>
        <v>Total 0 Mill Rate</v>
      </c>
      <c r="I37" s="598"/>
      <c r="J37" s="599"/>
      <c r="K37" s="526"/>
    </row>
    <row r="38" spans="2:11" ht="15.75">
      <c r="B38" s="37"/>
      <c r="C38" s="893" t="s">
        <v>536</v>
      </c>
      <c r="D38" s="894"/>
      <c r="E38" s="23"/>
      <c r="F38" s="430">
        <f>IF(E35/0.95-E35&lt;E38,"Exceeds 5%","")</f>
      </c>
      <c r="G38" s="601">
        <f>summ!F32</f>
        <v>0</v>
      </c>
      <c r="H38" s="604" t="str">
        <f>CONCATENATE("Total ",E1-1," Mill Rate")</f>
        <v>Total -1 Mill Rate</v>
      </c>
      <c r="I38" s="605"/>
      <c r="J38" s="606"/>
      <c r="K38" s="526"/>
    </row>
    <row r="39" spans="2:11" ht="15.75">
      <c r="B39" s="348" t="str">
        <f>CONCATENATE(C96,"     ",D96)</f>
        <v>     </v>
      </c>
      <c r="C39" s="895" t="s">
        <v>537</v>
      </c>
      <c r="D39" s="896"/>
      <c r="E39" s="21">
        <f>E35+E38</f>
        <v>0</v>
      </c>
      <c r="G39" s="526"/>
      <c r="H39" s="526"/>
      <c r="I39" s="526"/>
      <c r="J39" s="526"/>
      <c r="K39" s="526"/>
    </row>
    <row r="40" spans="2:11" ht="15.75">
      <c r="B40" s="348" t="str">
        <f>CONCATENATE(C97,"     ",D97)</f>
        <v>     </v>
      </c>
      <c r="C40" s="49"/>
      <c r="D40" s="41" t="s">
        <v>24</v>
      </c>
      <c r="E40" s="35">
        <f>IF(E39-E24&gt;0,E39-E24,0)</f>
        <v>0</v>
      </c>
      <c r="G40" s="818" t="s">
        <v>833</v>
      </c>
      <c r="H40" s="777"/>
      <c r="I40" s="778"/>
      <c r="J40" s="779" t="str">
        <f>cert!G37</f>
        <v>No</v>
      </c>
      <c r="K40" s="526"/>
    </row>
    <row r="41" spans="2:11" ht="15.75">
      <c r="B41" s="41"/>
      <c r="C41" s="352" t="s">
        <v>538</v>
      </c>
      <c r="D41" s="630">
        <f>inputOth!$E$42</f>
        <v>0</v>
      </c>
      <c r="E41" s="21">
        <f>ROUND(IF(D41&gt;0,(E40*D41),0),0)</f>
        <v>0</v>
      </c>
      <c r="G41" s="787" t="str">
        <f>CONCATENATE("Computed ",E1," tax levy limit amount")</f>
        <v>Computed 0 tax levy limit amount</v>
      </c>
      <c r="H41" s="788"/>
      <c r="I41" s="788"/>
      <c r="J41" s="789">
        <f>computation!J41</f>
        <v>0</v>
      </c>
      <c r="K41" s="526"/>
    </row>
    <row r="42" spans="2:11" ht="15.75">
      <c r="B42" s="3"/>
      <c r="C42" s="891" t="str">
        <f>CONCATENATE("Amount of  ",$E$1-1," Ad Valorem Tax")</f>
        <v>Amount of  -1 Ad Valorem Tax</v>
      </c>
      <c r="D42" s="892"/>
      <c r="E42" s="35">
        <f>E40+E41</f>
        <v>0</v>
      </c>
      <c r="G42" s="790" t="str">
        <f>CONCATENATE("Total ",E1," tax levy amount")</f>
        <v>Total 0 tax levy amount</v>
      </c>
      <c r="H42" s="791"/>
      <c r="I42" s="791"/>
      <c r="J42" s="792">
        <f>summ!H32</f>
        <v>0</v>
      </c>
      <c r="K42" s="526"/>
    </row>
    <row r="43" spans="2:11" ht="15.75">
      <c r="B43" s="3"/>
      <c r="C43" s="487"/>
      <c r="D43" s="3"/>
      <c r="E43" s="3"/>
      <c r="G43" s="526"/>
      <c r="H43" s="526"/>
      <c r="I43" s="526"/>
      <c r="J43" s="526"/>
      <c r="K43" s="526"/>
    </row>
    <row r="44" spans="2:11" ht="15.75">
      <c r="B44" s="3"/>
      <c r="C44" s="487"/>
      <c r="D44" s="3"/>
      <c r="E44" s="3"/>
      <c r="G44" s="526"/>
      <c r="H44" s="526"/>
      <c r="I44" s="526"/>
      <c r="J44" s="526"/>
      <c r="K44" s="526"/>
    </row>
    <row r="45" spans="2:11" ht="15.75">
      <c r="B45" s="11" t="s">
        <v>6</v>
      </c>
      <c r="C45" s="54"/>
      <c r="D45" s="54"/>
      <c r="E45" s="54"/>
      <c r="G45" s="526"/>
      <c r="H45" s="526"/>
      <c r="I45" s="526"/>
      <c r="J45" s="526"/>
      <c r="K45" s="526"/>
    </row>
    <row r="46" spans="2:11" ht="15.75">
      <c r="B46" s="3"/>
      <c r="C46" s="340" t="s">
        <v>7</v>
      </c>
      <c r="D46" s="343" t="s">
        <v>8</v>
      </c>
      <c r="E46" s="12" t="s">
        <v>9</v>
      </c>
      <c r="G46" s="526"/>
      <c r="H46" s="526"/>
      <c r="I46" s="526"/>
      <c r="J46" s="526"/>
      <c r="K46" s="526"/>
    </row>
    <row r="47" spans="2:11" ht="15.75">
      <c r="B47" s="425">
        <f>inputPrYr!B26</f>
        <v>0</v>
      </c>
      <c r="C47" s="341" t="str">
        <f>C5</f>
        <v>Actual for -2</v>
      </c>
      <c r="D47" s="341" t="str">
        <f>D5</f>
        <v>Estimate for -1</v>
      </c>
      <c r="E47" s="15" t="str">
        <f>E5</f>
        <v>Year for 0</v>
      </c>
      <c r="G47" s="526"/>
      <c r="H47" s="526"/>
      <c r="I47" s="526"/>
      <c r="J47" s="526"/>
      <c r="K47" s="526"/>
    </row>
    <row r="48" spans="2:11" ht="15.75">
      <c r="B48" s="16" t="s">
        <v>103</v>
      </c>
      <c r="C48" s="18"/>
      <c r="D48" s="342">
        <f>C78</f>
        <v>0</v>
      </c>
      <c r="E48" s="21">
        <f>D78</f>
        <v>0</v>
      </c>
      <c r="G48" s="526"/>
      <c r="H48" s="526"/>
      <c r="I48" s="526"/>
      <c r="J48" s="526"/>
      <c r="K48" s="526"/>
    </row>
    <row r="49" spans="2:11" ht="15.75">
      <c r="B49" s="16" t="s">
        <v>105</v>
      </c>
      <c r="C49" s="342"/>
      <c r="D49" s="342"/>
      <c r="E49" s="22"/>
      <c r="G49" s="526"/>
      <c r="H49" s="526"/>
      <c r="I49" s="526"/>
      <c r="J49" s="526"/>
      <c r="K49" s="526"/>
    </row>
    <row r="50" spans="2:11" ht="15.75">
      <c r="B50" s="16" t="s">
        <v>12</v>
      </c>
      <c r="C50" s="18"/>
      <c r="D50" s="342">
        <f>IF(inputPrYr!H18&gt;0,inputPrYr!G26,inputPrYr!E26)</f>
        <v>0</v>
      </c>
      <c r="E50" s="22" t="s">
        <v>251</v>
      </c>
      <c r="G50" s="526"/>
      <c r="H50" s="526"/>
      <c r="I50" s="526"/>
      <c r="J50" s="526"/>
      <c r="K50" s="526"/>
    </row>
    <row r="51" spans="2:11" ht="15.75">
      <c r="B51" s="16" t="s">
        <v>13</v>
      </c>
      <c r="C51" s="18"/>
      <c r="D51" s="18"/>
      <c r="E51" s="23"/>
      <c r="G51" s="526"/>
      <c r="H51" s="526"/>
      <c r="I51" s="526"/>
      <c r="J51" s="526"/>
      <c r="K51" s="526"/>
    </row>
    <row r="52" spans="2:11" ht="15.75">
      <c r="B52" s="16" t="s">
        <v>14</v>
      </c>
      <c r="C52" s="18"/>
      <c r="D52" s="18"/>
      <c r="E52" s="21">
        <f>mvalloc!D18</f>
        <v>0</v>
      </c>
      <c r="G52" s="526"/>
      <c r="H52" s="526"/>
      <c r="I52" s="526"/>
      <c r="J52" s="526"/>
      <c r="K52" s="526"/>
    </row>
    <row r="53" spans="2:11" ht="15.75">
      <c r="B53" s="16" t="s">
        <v>15</v>
      </c>
      <c r="C53" s="18"/>
      <c r="D53" s="18"/>
      <c r="E53" s="21">
        <f>mvalloc!E18</f>
        <v>0</v>
      </c>
      <c r="G53" s="526"/>
      <c r="H53" s="526"/>
      <c r="I53" s="526"/>
      <c r="J53" s="526"/>
      <c r="K53" s="526"/>
    </row>
    <row r="54" spans="2:11" ht="15.75">
      <c r="B54" s="16" t="s">
        <v>93</v>
      </c>
      <c r="C54" s="18"/>
      <c r="D54" s="18"/>
      <c r="E54" s="21">
        <f>mvalloc!F18</f>
        <v>0</v>
      </c>
      <c r="G54" s="526"/>
      <c r="H54" s="526"/>
      <c r="I54" s="526"/>
      <c r="J54" s="526"/>
      <c r="K54" s="526"/>
    </row>
    <row r="55" spans="2:11" ht="15.75">
      <c r="B55" s="771" t="s">
        <v>825</v>
      </c>
      <c r="C55" s="18"/>
      <c r="D55" s="18"/>
      <c r="E55" s="21">
        <f>mvalloc!G18</f>
        <v>0</v>
      </c>
      <c r="G55" s="526"/>
      <c r="H55" s="526"/>
      <c r="I55" s="526"/>
      <c r="J55" s="526"/>
      <c r="K55" s="526"/>
    </row>
    <row r="56" spans="2:11" ht="15.75">
      <c r="B56" s="771" t="s">
        <v>826</v>
      </c>
      <c r="C56" s="18"/>
      <c r="D56" s="18"/>
      <c r="E56" s="21">
        <f>mvalloc!H18</f>
        <v>0</v>
      </c>
      <c r="G56" s="526"/>
      <c r="H56" s="526"/>
      <c r="I56" s="526"/>
      <c r="J56" s="526"/>
      <c r="K56" s="526"/>
    </row>
    <row r="57" spans="2:11" ht="15.75">
      <c r="B57" s="27"/>
      <c r="C57" s="18"/>
      <c r="D57" s="18"/>
      <c r="E57" s="23"/>
      <c r="G57" s="526"/>
      <c r="H57" s="526"/>
      <c r="I57" s="526"/>
      <c r="J57" s="526"/>
      <c r="K57" s="526"/>
    </row>
    <row r="58" spans="2:11" ht="15.75">
      <c r="B58" s="27"/>
      <c r="C58" s="18"/>
      <c r="D58" s="18"/>
      <c r="E58" s="23"/>
      <c r="G58" s="903" t="str">
        <f>CONCATENATE("Desired Carryover Into ",E1+1,"")</f>
        <v>Desired Carryover Into 1</v>
      </c>
      <c r="H58" s="904"/>
      <c r="I58" s="904"/>
      <c r="J58" s="905"/>
      <c r="K58" s="526"/>
    </row>
    <row r="59" spans="2:11" ht="15.75">
      <c r="B59" s="27"/>
      <c r="C59" s="18"/>
      <c r="D59" s="18"/>
      <c r="E59" s="23"/>
      <c r="G59" s="557"/>
      <c r="H59" s="558"/>
      <c r="I59" s="559"/>
      <c r="J59" s="560"/>
      <c r="K59" s="526"/>
    </row>
    <row r="60" spans="2:11" ht="15.75">
      <c r="B60" s="27"/>
      <c r="C60" s="18"/>
      <c r="D60" s="18"/>
      <c r="E60" s="23"/>
      <c r="G60" s="561" t="s">
        <v>626</v>
      </c>
      <c r="H60" s="559"/>
      <c r="I60" s="559"/>
      <c r="J60" s="562">
        <v>0</v>
      </c>
      <c r="K60" s="526"/>
    </row>
    <row r="61" spans="2:11" ht="15.75">
      <c r="B61" s="27" t="s">
        <v>18</v>
      </c>
      <c r="C61" s="18"/>
      <c r="D61" s="18"/>
      <c r="E61" s="23"/>
      <c r="G61" s="557" t="s">
        <v>627</v>
      </c>
      <c r="H61" s="558"/>
      <c r="I61" s="558"/>
      <c r="J61" s="563">
        <f>IF(J60=0,"",ROUND((J60+E84-G73)/inputOth!E7*1000,3)-G78)</f>
      </c>
      <c r="K61" s="526"/>
    </row>
    <row r="62" spans="2:11" ht="15.75">
      <c r="B62" s="24" t="s">
        <v>180</v>
      </c>
      <c r="C62" s="18"/>
      <c r="D62" s="18"/>
      <c r="E62" s="35">
        <f>nhood!E13*-1</f>
        <v>0</v>
      </c>
      <c r="G62" s="564" t="str">
        <f>CONCATENATE("",E1," Tot Exp/Non-Appr Must Be:")</f>
        <v>0 Tot Exp/Non-Appr Must Be:</v>
      </c>
      <c r="H62" s="565"/>
      <c r="I62" s="566"/>
      <c r="J62" s="567">
        <f>IF(J60&gt;0,IF(E81&lt;E66,IF(J60=G73,E81,((J60-G73)*(1-D83))+E66),E81+(J60-G73)),0)</f>
        <v>0</v>
      </c>
      <c r="K62" s="526"/>
    </row>
    <row r="63" spans="2:11" ht="15.75">
      <c r="B63" s="28" t="s">
        <v>178</v>
      </c>
      <c r="C63" s="18"/>
      <c r="D63" s="18"/>
      <c r="E63" s="23"/>
      <c r="G63" s="568" t="s">
        <v>700</v>
      </c>
      <c r="H63" s="569"/>
      <c r="I63" s="569"/>
      <c r="J63" s="570">
        <f>IF(J60&gt;0,J62-E81,0)</f>
        <v>0</v>
      </c>
      <c r="K63" s="526"/>
    </row>
    <row r="64" spans="2:11" ht="15.75">
      <c r="B64" s="28" t="s">
        <v>179</v>
      </c>
      <c r="C64" s="339">
        <f>IF(C65*0.1&lt;C63,"Exceed 10% Rule","")</f>
      </c>
      <c r="D64" s="339">
        <f>IF(D65*0.1&lt;D63,"Exceed 10% Rule","")</f>
      </c>
      <c r="E64" s="34">
        <f>IF(E65*0.1+E84&lt;E63,"Exceed 10% Rule","")</f>
      </c>
      <c r="G64" s="526"/>
      <c r="H64" s="526"/>
      <c r="I64" s="526"/>
      <c r="J64" s="526"/>
      <c r="K64" s="526"/>
    </row>
    <row r="65" spans="2:11" ht="15.75">
      <c r="B65" s="30" t="s">
        <v>19</v>
      </c>
      <c r="C65" s="344">
        <f>SUM(C50:C63)</f>
        <v>0</v>
      </c>
      <c r="D65" s="344">
        <f>SUM(D50:D63)</f>
        <v>0</v>
      </c>
      <c r="E65" s="31">
        <f>SUM(E50:E63)</f>
        <v>0</v>
      </c>
      <c r="G65" s="903" t="str">
        <f>CONCATENATE("Projected Carryover Into ",E1+1,"")</f>
        <v>Projected Carryover Into 1</v>
      </c>
      <c r="H65" s="913"/>
      <c r="I65" s="913"/>
      <c r="J65" s="907"/>
      <c r="K65" s="526"/>
    </row>
    <row r="66" spans="2:11" ht="15.75">
      <c r="B66" s="32" t="s">
        <v>20</v>
      </c>
      <c r="C66" s="344">
        <f>C65+C48</f>
        <v>0</v>
      </c>
      <c r="D66" s="344">
        <f>D65+D48</f>
        <v>0</v>
      </c>
      <c r="E66" s="31">
        <f>E65+E48</f>
        <v>0</v>
      </c>
      <c r="G66" s="609"/>
      <c r="H66" s="558"/>
      <c r="I66" s="558"/>
      <c r="J66" s="610"/>
      <c r="K66" s="526"/>
    </row>
    <row r="67" spans="2:11" ht="15.75">
      <c r="B67" s="16" t="s">
        <v>21</v>
      </c>
      <c r="C67" s="342"/>
      <c r="D67" s="342"/>
      <c r="E67" s="21"/>
      <c r="G67" s="575">
        <f>D78</f>
        <v>0</v>
      </c>
      <c r="H67" s="576" t="str">
        <f>CONCATENATE("",E1-1," Ending Cash Balance (est.)")</f>
        <v>-1 Ending Cash Balance (est.)</v>
      </c>
      <c r="I67" s="577"/>
      <c r="J67" s="610"/>
      <c r="K67" s="526"/>
    </row>
    <row r="68" spans="2:11" ht="15.75">
      <c r="B68" s="27"/>
      <c r="C68" s="18"/>
      <c r="D68" s="18"/>
      <c r="E68" s="23"/>
      <c r="G68" s="575">
        <f>E65</f>
        <v>0</v>
      </c>
      <c r="H68" s="559" t="str">
        <f>CONCATENATE("",E1," Non-AV Receipts (est.)")</f>
        <v>0 Non-AV Receipts (est.)</v>
      </c>
      <c r="I68" s="559"/>
      <c r="J68" s="829"/>
      <c r="K68" s="828"/>
    </row>
    <row r="69" spans="2:11" ht="15.75">
      <c r="B69" s="27"/>
      <c r="C69" s="18"/>
      <c r="D69" s="18"/>
      <c r="E69" s="23"/>
      <c r="G69" s="582">
        <f>IF(E83&gt;0,E82,E84)</f>
        <v>0</v>
      </c>
      <c r="H69" s="559" t="str">
        <f>CONCATENATE("",E1," Ad Valorem Tax (est.)")</f>
        <v>0 Ad Valorem Tax (est.)</v>
      </c>
      <c r="I69" s="559"/>
      <c r="J69" s="829"/>
      <c r="K69" s="673">
        <f>IF(G69=E84,"","Note: Does not include Delinquent Taxes")</f>
      </c>
    </row>
    <row r="70" spans="2:11" ht="15.75">
      <c r="B70" s="27"/>
      <c r="C70" s="18"/>
      <c r="D70" s="18"/>
      <c r="E70" s="23"/>
      <c r="G70" s="612">
        <f>SUM(G67:G69)</f>
        <v>0</v>
      </c>
      <c r="H70" s="559" t="str">
        <f>CONCATENATE("Total ",E1," Resources Available")</f>
        <v>Total 0 Resources Available</v>
      </c>
      <c r="I70" s="613"/>
      <c r="J70" s="610"/>
      <c r="K70" s="526"/>
    </row>
    <row r="71" spans="2:11" ht="15.75">
      <c r="B71" s="27"/>
      <c r="C71" s="18"/>
      <c r="D71" s="18"/>
      <c r="E71" s="23"/>
      <c r="G71" s="614"/>
      <c r="H71" s="615"/>
      <c r="I71" s="558"/>
      <c r="J71" s="610"/>
      <c r="K71" s="526"/>
    </row>
    <row r="72" spans="2:11" ht="15.75">
      <c r="B72" s="27"/>
      <c r="C72" s="18"/>
      <c r="D72" s="18"/>
      <c r="E72" s="23"/>
      <c r="G72" s="582">
        <f>ROUND(C77*0.05+C77,0)</f>
        <v>0</v>
      </c>
      <c r="H72" s="559" t="str">
        <f>CONCATENATE("Less ",E1-2," Expenditures + 5%")</f>
        <v>Less -2 Expenditures + 5%</v>
      </c>
      <c r="I72" s="613"/>
      <c r="J72" s="610"/>
      <c r="K72" s="526"/>
    </row>
    <row r="73" spans="2:11" ht="15.75">
      <c r="B73" s="27"/>
      <c r="C73" s="18"/>
      <c r="D73" s="18"/>
      <c r="E73" s="23"/>
      <c r="G73" s="590">
        <f>G70-G72</f>
        <v>0</v>
      </c>
      <c r="H73" s="591" t="str">
        <f>CONCATENATE("Projected ",E1+1," carryover (est.)")</f>
        <v>Projected 1 carryover (est.)</v>
      </c>
      <c r="I73" s="616"/>
      <c r="J73" s="617"/>
      <c r="K73" s="526"/>
    </row>
    <row r="74" spans="2:11" ht="15.75">
      <c r="B74" s="24" t="str">
        <f>CONCATENATE("Cash Forward (",E1," column)")</f>
        <v>Cash Forward (0 column)</v>
      </c>
      <c r="C74" s="18"/>
      <c r="D74" s="18"/>
      <c r="E74" s="23"/>
      <c r="G74" s="526"/>
      <c r="H74" s="526"/>
      <c r="I74" s="526"/>
      <c r="J74" s="526"/>
      <c r="K74" s="526"/>
    </row>
    <row r="75" spans="2:11" ht="15.75">
      <c r="B75" s="24" t="s">
        <v>178</v>
      </c>
      <c r="C75" s="18"/>
      <c r="D75" s="18"/>
      <c r="E75" s="23"/>
      <c r="G75" s="910" t="s">
        <v>701</v>
      </c>
      <c r="H75" s="911"/>
      <c r="I75" s="911"/>
      <c r="J75" s="912"/>
      <c r="K75" s="526"/>
    </row>
    <row r="76" spans="2:11" ht="15.75">
      <c r="B76" s="24" t="s">
        <v>535</v>
      </c>
      <c r="C76" s="339">
        <f>IF(C77*0.1&lt;C75,"Exceed 10% Rule","")</f>
      </c>
      <c r="D76" s="339">
        <f>IF(D77*0.1&lt;D75,"Exceed 10% Rule","")</f>
      </c>
      <c r="E76" s="34">
        <f>IF(E77*0.1&lt;E75,"Exceed 10% Rule","")</f>
      </c>
      <c r="G76" s="597"/>
      <c r="H76" s="576"/>
      <c r="I76" s="598"/>
      <c r="J76" s="599"/>
      <c r="K76" s="526"/>
    </row>
    <row r="77" spans="2:11" ht="15.75">
      <c r="B77" s="32" t="s">
        <v>22</v>
      </c>
      <c r="C77" s="344">
        <f>SUM(C68:C75)</f>
        <v>0</v>
      </c>
      <c r="D77" s="344">
        <f>SUM(D68:D75)</f>
        <v>0</v>
      </c>
      <c r="E77" s="31">
        <f>SUM(E68:E75)</f>
        <v>0</v>
      </c>
      <c r="G77" s="600" t="str">
        <f>summ!I25</f>
        <v> </v>
      </c>
      <c r="H77" s="576" t="str">
        <f>CONCATENATE("",E1," Fund Mill Rate")</f>
        <v>0 Fund Mill Rate</v>
      </c>
      <c r="I77" s="598"/>
      <c r="J77" s="599"/>
      <c r="K77" s="526"/>
    </row>
    <row r="78" spans="2:11" ht="15.75">
      <c r="B78" s="16" t="s">
        <v>104</v>
      </c>
      <c r="C78" s="337">
        <f>C66-C77</f>
        <v>0</v>
      </c>
      <c r="D78" s="337">
        <f>D66-D77</f>
        <v>0</v>
      </c>
      <c r="E78" s="22" t="s">
        <v>251</v>
      </c>
      <c r="G78" s="601" t="str">
        <f>summ!F25</f>
        <v>  </v>
      </c>
      <c r="H78" s="576" t="str">
        <f>CONCATENATE("",E1-1," Fund Mill Rate")</f>
        <v>-1 Fund Mill Rate</v>
      </c>
      <c r="I78" s="598"/>
      <c r="J78" s="599"/>
      <c r="K78" s="526"/>
    </row>
    <row r="79" spans="2:11" ht="15.75">
      <c r="B79" s="255" t="str">
        <f>CONCATENATE("",E1-2,"/",E1-1,"/",E1," Budget Authority Amount:")</f>
        <v>-2/-1/0 Budget Authority Amount:</v>
      </c>
      <c r="C79" s="52">
        <f>inputOth!B55</f>
        <v>0</v>
      </c>
      <c r="D79" s="52">
        <f>inputPrYr!D26</f>
        <v>0</v>
      </c>
      <c r="E79" s="21">
        <f>E77</f>
        <v>0</v>
      </c>
      <c r="F79" s="39"/>
      <c r="G79" s="603">
        <f>summ!I32</f>
        <v>0</v>
      </c>
      <c r="H79" s="576" t="str">
        <f>CONCATENATE("Total ",E1," Mill Rate")</f>
        <v>Total 0 Mill Rate</v>
      </c>
      <c r="I79" s="598"/>
      <c r="J79" s="599"/>
      <c r="K79" s="526"/>
    </row>
    <row r="80" spans="2:11" ht="15.75">
      <c r="B80" s="37"/>
      <c r="C80" s="893" t="s">
        <v>536</v>
      </c>
      <c r="D80" s="894"/>
      <c r="E80" s="25"/>
      <c r="F80" s="430">
        <f>IF(E77/0.95-E77&lt;E80,"Exceeds 5%","")</f>
      </c>
      <c r="G80" s="601">
        <f>summ!F32</f>
        <v>0</v>
      </c>
      <c r="H80" s="604" t="str">
        <f>CONCATENATE("Total ",E1-1," Mill Rate")</f>
        <v>Total -1 Mill Rate</v>
      </c>
      <c r="I80" s="605"/>
      <c r="J80" s="606"/>
      <c r="K80" s="526"/>
    </row>
    <row r="81" spans="2:5" ht="15.75">
      <c r="B81" s="348" t="str">
        <f>CONCATENATE(C98,"     ",D98)</f>
        <v>     </v>
      </c>
      <c r="C81" s="895" t="s">
        <v>537</v>
      </c>
      <c r="D81" s="896"/>
      <c r="E81" s="21">
        <f>E77+E80</f>
        <v>0</v>
      </c>
    </row>
    <row r="82" spans="2:10" ht="15.75">
      <c r="B82" s="348" t="str">
        <f>CONCATENATE(C99,"     ",D99)</f>
        <v>     </v>
      </c>
      <c r="C82" s="49"/>
      <c r="D82" s="41" t="s">
        <v>24</v>
      </c>
      <c r="E82" s="35">
        <f>IF(E81-E66&gt;0,E81-E66,0)</f>
        <v>0</v>
      </c>
      <c r="G82" s="818" t="s">
        <v>833</v>
      </c>
      <c r="H82" s="777"/>
      <c r="I82" s="778"/>
      <c r="J82" s="779" t="str">
        <f>cert!G37</f>
        <v>No</v>
      </c>
    </row>
    <row r="83" spans="2:10" ht="15.75">
      <c r="B83" s="41"/>
      <c r="C83" s="352" t="s">
        <v>538</v>
      </c>
      <c r="D83" s="630">
        <f>inputOth!$E$42</f>
        <v>0</v>
      </c>
      <c r="E83" s="21">
        <f>ROUND(IF(D83&gt;0,(E82*D83),0),0)</f>
        <v>0</v>
      </c>
      <c r="G83" s="800" t="str">
        <f>CONCATENATE("Computed ",E1," tax levy limit amount")</f>
        <v>Computed 0 tax levy limit amount</v>
      </c>
      <c r="H83" s="781"/>
      <c r="I83" s="781"/>
      <c r="J83" s="782">
        <f>computation!J41</f>
        <v>0</v>
      </c>
    </row>
    <row r="84" spans="2:10" ht="15.75">
      <c r="B84" s="3"/>
      <c r="C84" s="891" t="str">
        <f>CONCATENATE("Amount of  ",$E$1-1," Ad Valorem Tax")</f>
        <v>Amount of  -1 Ad Valorem Tax</v>
      </c>
      <c r="D84" s="892"/>
      <c r="E84" s="35">
        <f>E82+E83</f>
        <v>0</v>
      </c>
      <c r="G84" s="799" t="str">
        <f>CONCATENATE("Total ",E1," tax levy amount")</f>
        <v>Total 0 tax levy amount</v>
      </c>
      <c r="H84" s="784"/>
      <c r="I84" s="784"/>
      <c r="J84" s="785">
        <f>summ!H32</f>
        <v>0</v>
      </c>
    </row>
    <row r="85" spans="2:5" ht="15.75">
      <c r="B85" s="41" t="s">
        <v>5</v>
      </c>
      <c r="C85" s="751"/>
      <c r="D85" s="3"/>
      <c r="E85" s="3"/>
    </row>
    <row r="86" ht="15.75">
      <c r="B86" s="68"/>
    </row>
    <row r="96" spans="3:4" ht="15.75" hidden="1">
      <c r="C96" s="5">
        <f>IF(C35&gt;C37,"See Tab A","")</f>
      </c>
      <c r="D96" s="5">
        <f>IF(D35&gt;D37,"See Tab C","")</f>
      </c>
    </row>
    <row r="97" spans="3:4" ht="15.75" hidden="1">
      <c r="C97" s="5">
        <f>IF(C36&lt;0,"See Tab B","")</f>
      </c>
      <c r="D97" s="5">
        <f>IF(D36&lt;0,"See Tab D","")</f>
      </c>
    </row>
    <row r="98" spans="3:4" ht="15.75" hidden="1">
      <c r="C98" s="5">
        <f>IF(C77&gt;C79,"See Tab A","")</f>
      </c>
      <c r="D98" s="5">
        <f>IF(D77&gt;D79,"See Tab C","")</f>
      </c>
    </row>
    <row r="99" spans="3:4" ht="15.75" hidden="1">
      <c r="C99" s="5">
        <f>IF(C78&lt;0,"See Tab B","")</f>
      </c>
      <c r="D99" s="5">
        <f>IF(D78&lt;0,"See Tab D","")</f>
      </c>
    </row>
  </sheetData>
  <sheetProtection sheet="1"/>
  <mergeCells count="12">
    <mergeCell ref="C84:D84"/>
    <mergeCell ref="C42:D42"/>
    <mergeCell ref="C38:D38"/>
    <mergeCell ref="C39:D39"/>
    <mergeCell ref="C80:D80"/>
    <mergeCell ref="C81:D81"/>
    <mergeCell ref="G16:J16"/>
    <mergeCell ref="G23:J23"/>
    <mergeCell ref="G33:J33"/>
    <mergeCell ref="G58:J58"/>
    <mergeCell ref="G65:J65"/>
    <mergeCell ref="G75:J75"/>
  </mergeCells>
  <conditionalFormatting sqref="C75">
    <cfRule type="cellIs" priority="5" dxfId="130" operator="greaterThan" stopIfTrue="1">
      <formula>$C$77*0.1</formula>
    </cfRule>
  </conditionalFormatting>
  <conditionalFormatting sqref="D75">
    <cfRule type="cellIs" priority="6" dxfId="130" operator="greaterThan" stopIfTrue="1">
      <formula>$D$77*0.1</formula>
    </cfRule>
  </conditionalFormatting>
  <conditionalFormatting sqref="E75">
    <cfRule type="cellIs" priority="7" dxfId="130" operator="greaterThan" stopIfTrue="1">
      <formula>$E$77*0.1</formula>
    </cfRule>
  </conditionalFormatting>
  <conditionalFormatting sqref="C63">
    <cfRule type="cellIs" priority="8" dxfId="130" operator="greaterThan" stopIfTrue="1">
      <formula>$C$65*0.1</formula>
    </cfRule>
  </conditionalFormatting>
  <conditionalFormatting sqref="D63">
    <cfRule type="cellIs" priority="9" dxfId="130" operator="greaterThan" stopIfTrue="1">
      <formula>$D$65*0.1</formula>
    </cfRule>
  </conditionalFormatting>
  <conditionalFormatting sqref="E38">
    <cfRule type="cellIs" priority="10" dxfId="130" operator="greaterThan" stopIfTrue="1">
      <formula>$E$35/0.95-$E$35</formula>
    </cfRule>
  </conditionalFormatting>
  <conditionalFormatting sqref="C33">
    <cfRule type="cellIs" priority="11" dxfId="130" operator="greaterThan" stopIfTrue="1">
      <formula>$C$35*0.1</formula>
    </cfRule>
  </conditionalFormatting>
  <conditionalFormatting sqref="D33">
    <cfRule type="cellIs" priority="12" dxfId="130" operator="greaterThan" stopIfTrue="1">
      <formula>$D$35*0.1</formula>
    </cfRule>
  </conditionalFormatting>
  <conditionalFormatting sqref="E33">
    <cfRule type="cellIs" priority="13" dxfId="130" operator="greaterThan" stopIfTrue="1">
      <formula>$E$35*0.1</formula>
    </cfRule>
  </conditionalFormatting>
  <conditionalFormatting sqref="C21">
    <cfRule type="cellIs" priority="14" dxfId="130" operator="greaterThan" stopIfTrue="1">
      <formula>$C$23*0.1</formula>
    </cfRule>
  </conditionalFormatting>
  <conditionalFormatting sqref="D21">
    <cfRule type="cellIs" priority="15" dxfId="130" operator="greaterThan" stopIfTrue="1">
      <formula>$D$23*0.1</formula>
    </cfRule>
  </conditionalFormatting>
  <conditionalFormatting sqref="C78 C36">
    <cfRule type="cellIs" priority="18" dxfId="130" operator="lessThan" stopIfTrue="1">
      <formula>0</formula>
    </cfRule>
  </conditionalFormatting>
  <conditionalFormatting sqref="C77">
    <cfRule type="cellIs" priority="19" dxfId="2" operator="greaterThan" stopIfTrue="1">
      <formula>$C$79</formula>
    </cfRule>
  </conditionalFormatting>
  <conditionalFormatting sqref="D77">
    <cfRule type="cellIs" priority="20" dxfId="2" operator="greaterThan" stopIfTrue="1">
      <formula>$D$79</formula>
    </cfRule>
  </conditionalFormatting>
  <conditionalFormatting sqref="C35">
    <cfRule type="cellIs" priority="21" dxfId="2" operator="greaterThan" stopIfTrue="1">
      <formula>$C$37</formula>
    </cfRule>
  </conditionalFormatting>
  <conditionalFormatting sqref="D35">
    <cfRule type="cellIs" priority="22" dxfId="2" operator="greaterThan" stopIfTrue="1">
      <formula>$D$37</formula>
    </cfRule>
  </conditionalFormatting>
  <conditionalFormatting sqref="D36 D78">
    <cfRule type="cellIs" priority="3" dxfId="0" operator="lessThan" stopIfTrue="1">
      <formula>0</formula>
    </cfRule>
  </conditionalFormatting>
  <conditionalFormatting sqref="E80">
    <cfRule type="cellIs" priority="1" dxfId="0" operator="greaterThan" stopIfTrue="1">
      <formula>$E$77/0.95-$E$77</formula>
    </cfRule>
  </conditionalFormatting>
  <conditionalFormatting sqref="E21">
    <cfRule type="cellIs" priority="36" dxfId="130" operator="greaterThan" stopIfTrue="1">
      <formula>$E$23*0.1+$E$42</formula>
    </cfRule>
  </conditionalFormatting>
  <conditionalFormatting sqref="E63">
    <cfRule type="cellIs" priority="37" dxfId="130"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9"/>
  <sheetViews>
    <sheetView zoomScalePageLayoutView="0" workbookViewId="0" topLeftCell="A1">
      <selection activeCell="O173" sqref="O17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f>inputPrYr!D3</f>
        <v>0</v>
      </c>
      <c r="C1" s="3"/>
      <c r="D1" s="3"/>
      <c r="E1" s="4">
        <f>inputPrYr!D6</f>
        <v>0</v>
      </c>
    </row>
    <row r="2" spans="2:5" ht="15.75">
      <c r="B2" s="6"/>
      <c r="C2" s="3"/>
      <c r="D2" s="50"/>
      <c r="E2" s="51"/>
    </row>
    <row r="3" spans="2:5" ht="15.75">
      <c r="B3" s="480" t="s">
        <v>632</v>
      </c>
      <c r="C3" s="54"/>
      <c r="D3" s="54"/>
      <c r="E3" s="54"/>
    </row>
    <row r="4" spans="2:5" ht="15.75">
      <c r="B4" s="11" t="s">
        <v>6</v>
      </c>
      <c r="C4" s="340" t="s">
        <v>7</v>
      </c>
      <c r="D4" s="343" t="s">
        <v>8</v>
      </c>
      <c r="E4" s="12" t="s">
        <v>9</v>
      </c>
    </row>
    <row r="5" spans="2:5" ht="15.75">
      <c r="B5" s="349">
        <f>inputPrYr!B27</f>
        <v>0</v>
      </c>
      <c r="C5" s="341" t="str">
        <f>gen!C5</f>
        <v>Actual for -2</v>
      </c>
      <c r="D5" s="341" t="str">
        <f>gen!D5</f>
        <v>Estimate for -1</v>
      </c>
      <c r="E5" s="15" t="str">
        <f>gen!E5</f>
        <v>Year for 0</v>
      </c>
    </row>
    <row r="6" spans="2:5" ht="15.75">
      <c r="B6" s="16" t="s">
        <v>103</v>
      </c>
      <c r="C6" s="18"/>
      <c r="D6" s="342">
        <f>C36</f>
        <v>0</v>
      </c>
      <c r="E6" s="21">
        <f>D36</f>
        <v>0</v>
      </c>
    </row>
    <row r="7" spans="2:5" ht="15.75">
      <c r="B7" s="16" t="s">
        <v>105</v>
      </c>
      <c r="C7" s="342"/>
      <c r="D7" s="342"/>
      <c r="E7" s="22"/>
    </row>
    <row r="8" spans="2:5" ht="15.75">
      <c r="B8" s="16" t="s">
        <v>12</v>
      </c>
      <c r="C8" s="18"/>
      <c r="D8" s="342">
        <f>IF(inputPrYr!H18&gt;0,inputPrYr!G27,inputPrYr!E27)</f>
        <v>0</v>
      </c>
      <c r="E8" s="22" t="s">
        <v>251</v>
      </c>
    </row>
    <row r="9" spans="2:5" ht="15.75">
      <c r="B9" s="16" t="s">
        <v>13</v>
      </c>
      <c r="C9" s="18"/>
      <c r="D9" s="18"/>
      <c r="E9" s="23"/>
    </row>
    <row r="10" spans="2:5" ht="15.75">
      <c r="B10" s="16" t="s">
        <v>14</v>
      </c>
      <c r="C10" s="18"/>
      <c r="D10" s="18"/>
      <c r="E10" s="21">
        <f>mvalloc!D19</f>
        <v>0</v>
      </c>
    </row>
    <row r="11" spans="2:5" ht="15.75">
      <c r="B11" s="16" t="s">
        <v>15</v>
      </c>
      <c r="C11" s="18"/>
      <c r="D11" s="18"/>
      <c r="E11" s="21">
        <f>mvalloc!E19</f>
        <v>0</v>
      </c>
    </row>
    <row r="12" spans="2:5" ht="15.75">
      <c r="B12" s="16" t="s">
        <v>93</v>
      </c>
      <c r="C12" s="18"/>
      <c r="D12" s="18"/>
      <c r="E12" s="21">
        <f>mvalloc!F19</f>
        <v>0</v>
      </c>
    </row>
    <row r="13" spans="2:5" ht="15.75">
      <c r="B13" s="771" t="s">
        <v>825</v>
      </c>
      <c r="C13" s="18"/>
      <c r="D13" s="18"/>
      <c r="E13" s="21">
        <f>mvalloc!G19</f>
        <v>0</v>
      </c>
    </row>
    <row r="14" spans="2:5" ht="15.75">
      <c r="B14" s="771" t="s">
        <v>826</v>
      </c>
      <c r="C14" s="18"/>
      <c r="D14" s="18"/>
      <c r="E14" s="21">
        <f>mvalloc!H19</f>
        <v>0</v>
      </c>
    </row>
    <row r="15" spans="2:5" ht="15.75">
      <c r="B15" s="27"/>
      <c r="C15" s="18"/>
      <c r="D15" s="18"/>
      <c r="E15" s="23"/>
    </row>
    <row r="16" spans="2:11" ht="15.75">
      <c r="B16" s="27"/>
      <c r="C16" s="18"/>
      <c r="D16" s="18"/>
      <c r="E16" s="23"/>
      <c r="G16" s="903" t="str">
        <f>CONCATENATE("Desired Carryover Into ",E1+1,"")</f>
        <v>Desired Carryover Into 1</v>
      </c>
      <c r="H16" s="904"/>
      <c r="I16" s="904"/>
      <c r="J16" s="905"/>
      <c r="K16" s="526"/>
    </row>
    <row r="17" spans="2:11" ht="15.75">
      <c r="B17" s="27"/>
      <c r="C17" s="18"/>
      <c r="D17" s="18"/>
      <c r="E17" s="23"/>
      <c r="G17" s="557"/>
      <c r="H17" s="558"/>
      <c r="I17" s="559"/>
      <c r="J17" s="560"/>
      <c r="K17" s="526"/>
    </row>
    <row r="18" spans="2:11" ht="15.75">
      <c r="B18" s="27"/>
      <c r="C18" s="18"/>
      <c r="D18" s="18"/>
      <c r="E18" s="23"/>
      <c r="G18" s="561" t="s">
        <v>626</v>
      </c>
      <c r="H18" s="559"/>
      <c r="I18" s="559"/>
      <c r="J18" s="562">
        <v>0</v>
      </c>
      <c r="K18" s="526"/>
    </row>
    <row r="19" spans="2:11" ht="15.75">
      <c r="B19" s="27" t="s">
        <v>18</v>
      </c>
      <c r="C19" s="18"/>
      <c r="D19" s="18"/>
      <c r="E19" s="23"/>
      <c r="G19" s="557" t="s">
        <v>627</v>
      </c>
      <c r="H19" s="558"/>
      <c r="I19" s="558"/>
      <c r="J19" s="563">
        <f>IF(J18=0,"",ROUND((J18+E42-G31)/inputOth!E7*1000,3)-G36)</f>
      </c>
      <c r="K19" s="526"/>
    </row>
    <row r="20" spans="2:11" ht="15.75">
      <c r="B20" s="24" t="s">
        <v>180</v>
      </c>
      <c r="C20" s="18"/>
      <c r="D20" s="18"/>
      <c r="E20" s="35">
        <f>nhood!E14*-1</f>
        <v>0</v>
      </c>
      <c r="G20" s="564" t="str">
        <f>CONCATENATE("",E1," Tot Exp/Non-Appr Must Be:")</f>
        <v>0 Tot Exp/Non-Appr Must Be:</v>
      </c>
      <c r="H20" s="565"/>
      <c r="I20" s="566"/>
      <c r="J20" s="567">
        <f>IF(J18&gt;0,IF(E39&lt;E24,IF(J18=G31,E39,((J18-G31)*(1-D41))+E24),E39+(J18-G31)),0)</f>
        <v>0</v>
      </c>
      <c r="K20" s="526"/>
    </row>
    <row r="21" spans="2:11" ht="15.75">
      <c r="B21" s="28" t="s">
        <v>178</v>
      </c>
      <c r="C21" s="18"/>
      <c r="D21" s="18"/>
      <c r="E21" s="23"/>
      <c r="G21" s="568" t="s">
        <v>700</v>
      </c>
      <c r="H21" s="569"/>
      <c r="I21" s="569"/>
      <c r="J21" s="570">
        <f>IF(J18&gt;0,J20-E39,0)</f>
        <v>0</v>
      </c>
      <c r="K21" s="526"/>
    </row>
    <row r="22" spans="2:11" ht="15.75">
      <c r="B22" s="28" t="s">
        <v>179</v>
      </c>
      <c r="C22" s="339">
        <f>IF(C23*0.1&lt;C21,"Exceed 10% Rule","")</f>
      </c>
      <c r="D22" s="339">
        <f>IF(D23*0.1&lt;D21,"Exceed 10% Rule","")</f>
      </c>
      <c r="E22" s="34">
        <f>IF(E23*0.1+E42&lt;E21,"Exceed 10% Rule","")</f>
      </c>
      <c r="G22" s="526"/>
      <c r="H22" s="526"/>
      <c r="I22" s="526"/>
      <c r="J22" s="526"/>
      <c r="K22" s="526"/>
    </row>
    <row r="23" spans="2:11" ht="15.75">
      <c r="B23" s="30" t="s">
        <v>19</v>
      </c>
      <c r="C23" s="344">
        <f>SUM(C8:C21)</f>
        <v>0</v>
      </c>
      <c r="D23" s="344">
        <f>SUM(D8:D21)</f>
        <v>0</v>
      </c>
      <c r="E23" s="31">
        <f>SUM(E8:E21)</f>
        <v>0</v>
      </c>
      <c r="G23" s="903" t="str">
        <f>CONCATENATE("Projected Carryover Into ",E1+1,"")</f>
        <v>Projected Carryover Into 1</v>
      </c>
      <c r="H23" s="906"/>
      <c r="I23" s="906"/>
      <c r="J23" s="907"/>
      <c r="K23" s="526"/>
    </row>
    <row r="24" spans="2:11" ht="15.75">
      <c r="B24" s="32" t="s">
        <v>20</v>
      </c>
      <c r="C24" s="344">
        <f>C23+C6</f>
        <v>0</v>
      </c>
      <c r="D24" s="344">
        <f>D23+D6</f>
        <v>0</v>
      </c>
      <c r="E24" s="31">
        <f>E23+E6</f>
        <v>0</v>
      </c>
      <c r="G24" s="557"/>
      <c r="H24" s="559"/>
      <c r="I24" s="559"/>
      <c r="J24" s="572"/>
      <c r="K24" s="526"/>
    </row>
    <row r="25" spans="2:11" ht="15.75">
      <c r="B25" s="16" t="s">
        <v>21</v>
      </c>
      <c r="C25" s="342"/>
      <c r="D25" s="342"/>
      <c r="E25" s="21"/>
      <c r="G25" s="575">
        <f>D36</f>
        <v>0</v>
      </c>
      <c r="H25" s="576" t="str">
        <f>CONCATENATE("",E1-1," Ending Cash Balance (est.)")</f>
        <v>-1 Ending Cash Balance (est.)</v>
      </c>
      <c r="I25" s="577"/>
      <c r="J25" s="572"/>
      <c r="K25" s="526"/>
    </row>
    <row r="26" spans="2:11" ht="15.75">
      <c r="B26" s="27"/>
      <c r="C26" s="18"/>
      <c r="D26" s="18"/>
      <c r="E26" s="23"/>
      <c r="G26" s="575">
        <f>E23</f>
        <v>0</v>
      </c>
      <c r="H26" s="559" t="str">
        <f>CONCATENATE("",E1," Non-AV Receipts (est.)")</f>
        <v>0 Non-AV Receipts (est.)</v>
      </c>
      <c r="I26" s="559"/>
      <c r="J26" s="672"/>
      <c r="K26" s="828"/>
    </row>
    <row r="27" spans="2:11" ht="15.75">
      <c r="B27" s="27"/>
      <c r="C27" s="18"/>
      <c r="D27" s="18"/>
      <c r="E27" s="23"/>
      <c r="G27" s="582">
        <f>IF(E41&gt;0,E40,E42)</f>
        <v>0</v>
      </c>
      <c r="H27" s="559" t="str">
        <f>CONCATENATE("",E1," Ad Valorem Tax (est.)")</f>
        <v>0 Ad Valorem Tax (est.)</v>
      </c>
      <c r="I27" s="559"/>
      <c r="J27" s="672"/>
      <c r="K27" s="673">
        <f>IF(G27=E42,"","Note: Does not include Delinquent Taxes")</f>
      </c>
    </row>
    <row r="28" spans="2:11" ht="15.75">
      <c r="B28" s="27"/>
      <c r="C28" s="18"/>
      <c r="D28" s="18"/>
      <c r="E28" s="23"/>
      <c r="G28" s="575">
        <f>SUM(G25:G27)</f>
        <v>0</v>
      </c>
      <c r="H28" s="559" t="str">
        <f>CONCATENATE("Total ",E1," Resources Available")</f>
        <v>Total 0 Resources Available</v>
      </c>
      <c r="I28" s="577"/>
      <c r="J28" s="572"/>
      <c r="K28" s="526"/>
    </row>
    <row r="29" spans="2:11" ht="15.75">
      <c r="B29" s="18"/>
      <c r="C29" s="18"/>
      <c r="D29" s="18"/>
      <c r="E29" s="23"/>
      <c r="G29" s="586"/>
      <c r="H29" s="559"/>
      <c r="I29" s="559"/>
      <c r="J29" s="572"/>
      <c r="K29" s="526"/>
    </row>
    <row r="30" spans="2:11" ht="15.75">
      <c r="B30" s="18"/>
      <c r="C30" s="18"/>
      <c r="D30" s="18"/>
      <c r="E30" s="23"/>
      <c r="G30" s="582">
        <f>ROUND(C35*0.05+C35,)</f>
        <v>0</v>
      </c>
      <c r="H30" s="559" t="str">
        <f>CONCATENATE("Less ",E1-2," Expenditures + 5%")</f>
        <v>Less -2 Expenditures + 5%</v>
      </c>
      <c r="I30" s="559"/>
      <c r="J30" s="572"/>
      <c r="K30" s="526"/>
    </row>
    <row r="31" spans="2:11" ht="15.75">
      <c r="B31" s="27"/>
      <c r="C31" s="18"/>
      <c r="D31" s="18"/>
      <c r="E31" s="23"/>
      <c r="G31" s="590">
        <f>G28-G30</f>
        <v>0</v>
      </c>
      <c r="H31" s="591" t="str">
        <f>CONCATENATE("Projected ",E1+1," carryover (est.)")</f>
        <v>Projected 1 carryover (est.)</v>
      </c>
      <c r="I31" s="592"/>
      <c r="J31" s="593"/>
      <c r="K31" s="526"/>
    </row>
    <row r="32" spans="2:11" ht="15.75">
      <c r="B32" s="24" t="str">
        <f>CONCATENATE("Cash Forward (",E1," column)")</f>
        <v>Cash Forward (0 column)</v>
      </c>
      <c r="C32" s="18"/>
      <c r="D32" s="18"/>
      <c r="E32" s="23"/>
      <c r="G32" s="526"/>
      <c r="H32" s="526"/>
      <c r="I32" s="526"/>
      <c r="J32" s="526"/>
      <c r="K32" s="526"/>
    </row>
    <row r="33" spans="2:11" ht="15.75">
      <c r="B33" s="24" t="s">
        <v>178</v>
      </c>
      <c r="C33" s="18"/>
      <c r="D33" s="18"/>
      <c r="E33" s="23"/>
      <c r="G33" s="910" t="s">
        <v>701</v>
      </c>
      <c r="H33" s="911"/>
      <c r="I33" s="911"/>
      <c r="J33" s="912"/>
      <c r="K33" s="526"/>
    </row>
    <row r="34" spans="2:11" ht="15.75">
      <c r="B34" s="24" t="s">
        <v>535</v>
      </c>
      <c r="C34" s="339">
        <f>IF(C35*0.1&lt;C33,"Exceed 10% Rule","")</f>
      </c>
      <c r="D34" s="339">
        <f>IF(D35*0.1&lt;D33,"Exceed 10% Rule","")</f>
      </c>
      <c r="E34" s="34">
        <f>IF(E35*0.1&lt;E33,"Exceed 10% Rule","")</f>
      </c>
      <c r="G34" s="597"/>
      <c r="H34" s="576"/>
      <c r="I34" s="598"/>
      <c r="J34" s="599"/>
      <c r="K34" s="526"/>
    </row>
    <row r="35" spans="2:11" ht="15.75">
      <c r="B35" s="32" t="s">
        <v>22</v>
      </c>
      <c r="C35" s="344">
        <f>SUM(C26:C33)</f>
        <v>0</v>
      </c>
      <c r="D35" s="344">
        <f>SUM(D26:D33)</f>
        <v>0</v>
      </c>
      <c r="E35" s="31">
        <f>SUM(E26:E33)</f>
        <v>0</v>
      </c>
      <c r="G35" s="600" t="str">
        <f>summ!I26</f>
        <v> </v>
      </c>
      <c r="H35" s="576" t="str">
        <f>CONCATENATE("",E1," Fund Mill Rate")</f>
        <v>0 Fund Mill Rate</v>
      </c>
      <c r="I35" s="598"/>
      <c r="J35" s="599"/>
      <c r="K35" s="526"/>
    </row>
    <row r="36" spans="2:11" ht="15.75">
      <c r="B36" s="16" t="s">
        <v>104</v>
      </c>
      <c r="C36" s="337">
        <f>C24-C35</f>
        <v>0</v>
      </c>
      <c r="D36" s="337">
        <f>D24-D35</f>
        <v>0</v>
      </c>
      <c r="E36" s="22" t="s">
        <v>251</v>
      </c>
      <c r="G36" s="601" t="str">
        <f>summ!F26</f>
        <v>  </v>
      </c>
      <c r="H36" s="576" t="str">
        <f>CONCATENATE("",E1-1," Fund Mill Rate")</f>
        <v>-1 Fund Mill Rate</v>
      </c>
      <c r="I36" s="598"/>
      <c r="J36" s="599"/>
      <c r="K36" s="526"/>
    </row>
    <row r="37" spans="2:11" ht="15.75">
      <c r="B37" s="255" t="str">
        <f>CONCATENATE("",E1-2,"/",E1-1,"/",E1," Budget Authority Amount:")</f>
        <v>-2/-1/0 Budget Authority Amount:</v>
      </c>
      <c r="C37" s="52">
        <f>inputOth!B56</f>
        <v>0</v>
      </c>
      <c r="D37" s="52">
        <f>inputPrYr!D27</f>
        <v>0</v>
      </c>
      <c r="E37" s="21">
        <f>E35</f>
        <v>0</v>
      </c>
      <c r="F37" s="39"/>
      <c r="G37" s="603">
        <f>summ!I32</f>
        <v>0</v>
      </c>
      <c r="H37" s="576" t="str">
        <f>CONCATENATE("Total ",E1," Mill Rate")</f>
        <v>Total 0 Mill Rate</v>
      </c>
      <c r="I37" s="598"/>
      <c r="J37" s="599"/>
      <c r="K37" s="526"/>
    </row>
    <row r="38" spans="2:11" ht="15.75">
      <c r="B38" s="37"/>
      <c r="C38" s="893" t="s">
        <v>536</v>
      </c>
      <c r="D38" s="894"/>
      <c r="E38" s="23"/>
      <c r="F38" s="430">
        <f>IF(E35/0.95-E35&lt;E38,"Exceeds 5%","")</f>
      </c>
      <c r="G38" s="601">
        <f>summ!F32</f>
        <v>0</v>
      </c>
      <c r="H38" s="604" t="str">
        <f>CONCATENATE("Total ",E1-1," Mill Rate")</f>
        <v>Total -1 Mill Rate</v>
      </c>
      <c r="I38" s="605"/>
      <c r="J38" s="606"/>
      <c r="K38" s="526"/>
    </row>
    <row r="39" spans="2:11" ht="15.75">
      <c r="B39" s="348" t="str">
        <f>CONCATENATE(C96,"     ",D96)</f>
        <v>     </v>
      </c>
      <c r="C39" s="895" t="s">
        <v>537</v>
      </c>
      <c r="D39" s="896"/>
      <c r="E39" s="21">
        <f>E35+E38</f>
        <v>0</v>
      </c>
      <c r="G39" s="526"/>
      <c r="H39" s="526"/>
      <c r="I39" s="526"/>
      <c r="J39" s="526"/>
      <c r="K39" s="526"/>
    </row>
    <row r="40" spans="2:11" ht="15.75">
      <c r="B40" s="348" t="str">
        <f>CONCATENATE(C97,"     ",D97)</f>
        <v>     </v>
      </c>
      <c r="C40" s="49"/>
      <c r="D40" s="41" t="s">
        <v>24</v>
      </c>
      <c r="E40" s="35">
        <f>IF(E39-E24&gt;0,E39-E24,0)</f>
        <v>0</v>
      </c>
      <c r="G40" s="818" t="s">
        <v>833</v>
      </c>
      <c r="H40" s="777"/>
      <c r="I40" s="778"/>
      <c r="J40" s="779" t="str">
        <f>cert!G37</f>
        <v>No</v>
      </c>
      <c r="K40" s="526"/>
    </row>
    <row r="41" spans="2:11" ht="15.75">
      <c r="B41" s="41"/>
      <c r="C41" s="352" t="s">
        <v>538</v>
      </c>
      <c r="D41" s="630">
        <f>inputOth!$E$42</f>
        <v>0</v>
      </c>
      <c r="E41" s="21">
        <f>ROUND(IF(D41&gt;0,(E40*D41),0),0)</f>
        <v>0</v>
      </c>
      <c r="G41" s="787" t="str">
        <f>CONCATENATE("Computed ",E1," tax levy limit amount")</f>
        <v>Computed 0 tax levy limit amount</v>
      </c>
      <c r="H41" s="788"/>
      <c r="I41" s="788"/>
      <c r="J41" s="789">
        <f>computation!J41</f>
        <v>0</v>
      </c>
      <c r="K41" s="526"/>
    </row>
    <row r="42" spans="2:11" ht="15.75">
      <c r="B42" s="3"/>
      <c r="C42" s="891" t="str">
        <f>CONCATENATE("Amount of  ",$E$1-1," Ad Valorem Tax")</f>
        <v>Amount of  -1 Ad Valorem Tax</v>
      </c>
      <c r="D42" s="892"/>
      <c r="E42" s="35">
        <f>E40+E41</f>
        <v>0</v>
      </c>
      <c r="G42" s="790" t="str">
        <f>CONCATENATE("Total ",E1," tax levy amount")</f>
        <v>Total 0 tax levy amount</v>
      </c>
      <c r="H42" s="791"/>
      <c r="I42" s="791"/>
      <c r="J42" s="792">
        <f>summ!H32</f>
        <v>0</v>
      </c>
      <c r="K42" s="526"/>
    </row>
    <row r="43" spans="2:11" ht="15.75">
      <c r="B43" s="3"/>
      <c r="C43" s="487"/>
      <c r="D43" s="3"/>
      <c r="E43" s="3"/>
      <c r="G43" s="526"/>
      <c r="H43" s="526"/>
      <c r="I43" s="526"/>
      <c r="J43" s="526"/>
      <c r="K43" s="526"/>
    </row>
    <row r="44" spans="2:11" ht="15.75">
      <c r="B44" s="3"/>
      <c r="C44" s="487"/>
      <c r="D44" s="3"/>
      <c r="E44" s="3"/>
      <c r="G44" s="526"/>
      <c r="H44" s="526"/>
      <c r="I44" s="526"/>
      <c r="J44" s="526"/>
      <c r="K44" s="526"/>
    </row>
    <row r="45" spans="2:11" ht="15.75">
      <c r="B45" s="11" t="s">
        <v>6</v>
      </c>
      <c r="C45" s="54"/>
      <c r="D45" s="54"/>
      <c r="E45" s="54"/>
      <c r="G45" s="526"/>
      <c r="H45" s="526"/>
      <c r="I45" s="526"/>
      <c r="J45" s="526"/>
      <c r="K45" s="526"/>
    </row>
    <row r="46" spans="2:11" ht="15.75">
      <c r="B46" s="3"/>
      <c r="C46" s="340" t="s">
        <v>7</v>
      </c>
      <c r="D46" s="343" t="s">
        <v>8</v>
      </c>
      <c r="E46" s="12" t="s">
        <v>9</v>
      </c>
      <c r="G46" s="526"/>
      <c r="H46" s="526"/>
      <c r="I46" s="526"/>
      <c r="J46" s="526"/>
      <c r="K46" s="526"/>
    </row>
    <row r="47" spans="2:11" ht="15.75">
      <c r="B47" s="425">
        <f>inputPrYr!B28</f>
        <v>0</v>
      </c>
      <c r="C47" s="341" t="str">
        <f>C5</f>
        <v>Actual for -2</v>
      </c>
      <c r="D47" s="341" t="str">
        <f>D5</f>
        <v>Estimate for -1</v>
      </c>
      <c r="E47" s="15" t="str">
        <f>E5</f>
        <v>Year for 0</v>
      </c>
      <c r="G47" s="526"/>
      <c r="H47" s="526"/>
      <c r="I47" s="526"/>
      <c r="J47" s="526"/>
      <c r="K47" s="526"/>
    </row>
    <row r="48" spans="2:11" ht="15.75">
      <c r="B48" s="16" t="s">
        <v>103</v>
      </c>
      <c r="C48" s="18"/>
      <c r="D48" s="342">
        <f>C78</f>
        <v>0</v>
      </c>
      <c r="E48" s="21">
        <f>D78</f>
        <v>0</v>
      </c>
      <c r="G48" s="526"/>
      <c r="H48" s="526"/>
      <c r="I48" s="526"/>
      <c r="J48" s="526"/>
      <c r="K48" s="526"/>
    </row>
    <row r="49" spans="2:11" ht="15.75">
      <c r="B49" s="16" t="s">
        <v>105</v>
      </c>
      <c r="C49" s="342"/>
      <c r="D49" s="342"/>
      <c r="E49" s="22"/>
      <c r="G49" s="526"/>
      <c r="H49" s="526"/>
      <c r="I49" s="526"/>
      <c r="J49" s="526"/>
      <c r="K49" s="526"/>
    </row>
    <row r="50" spans="2:11" ht="15.75">
      <c r="B50" s="16" t="s">
        <v>12</v>
      </c>
      <c r="C50" s="18"/>
      <c r="D50" s="342">
        <f>IF(inputPrYr!H18&gt;0,inputPrYr!G28,inputPrYr!E28)</f>
        <v>0</v>
      </c>
      <c r="E50" s="22" t="s">
        <v>251</v>
      </c>
      <c r="G50" s="526"/>
      <c r="H50" s="526"/>
      <c r="I50" s="526"/>
      <c r="J50" s="526"/>
      <c r="K50" s="526"/>
    </row>
    <row r="51" spans="2:11" ht="15.75">
      <c r="B51" s="16" t="s">
        <v>13</v>
      </c>
      <c r="C51" s="18"/>
      <c r="D51" s="18"/>
      <c r="E51" s="23"/>
      <c r="G51" s="526"/>
      <c r="H51" s="526"/>
      <c r="I51" s="526"/>
      <c r="J51" s="526"/>
      <c r="K51" s="526"/>
    </row>
    <row r="52" spans="2:11" ht="15.75">
      <c r="B52" s="16" t="s">
        <v>14</v>
      </c>
      <c r="C52" s="18"/>
      <c r="D52" s="18"/>
      <c r="E52" s="21">
        <f>mvalloc!D20</f>
        <v>0</v>
      </c>
      <c r="G52" s="526"/>
      <c r="H52" s="526"/>
      <c r="I52" s="526"/>
      <c r="J52" s="526"/>
      <c r="K52" s="526"/>
    </row>
    <row r="53" spans="2:11" ht="15.75">
      <c r="B53" s="16" t="s">
        <v>15</v>
      </c>
      <c r="C53" s="18"/>
      <c r="D53" s="18"/>
      <c r="E53" s="21">
        <f>mvalloc!E20</f>
        <v>0</v>
      </c>
      <c r="G53" s="526"/>
      <c r="H53" s="526"/>
      <c r="I53" s="526"/>
      <c r="J53" s="526"/>
      <c r="K53" s="526"/>
    </row>
    <row r="54" spans="2:11" ht="15.75">
      <c r="B54" s="16" t="s">
        <v>93</v>
      </c>
      <c r="C54" s="18"/>
      <c r="D54" s="18"/>
      <c r="E54" s="21">
        <f>mvalloc!F20</f>
        <v>0</v>
      </c>
      <c r="G54" s="526"/>
      <c r="H54" s="526"/>
      <c r="I54" s="526"/>
      <c r="J54" s="526"/>
      <c r="K54" s="526"/>
    </row>
    <row r="55" spans="2:11" ht="15.75">
      <c r="B55" s="771" t="s">
        <v>825</v>
      </c>
      <c r="C55" s="18"/>
      <c r="D55" s="18"/>
      <c r="E55" s="21">
        <f>mvalloc!G20</f>
        <v>0</v>
      </c>
      <c r="G55" s="526"/>
      <c r="H55" s="526"/>
      <c r="I55" s="526"/>
      <c r="J55" s="526"/>
      <c r="K55" s="526"/>
    </row>
    <row r="56" spans="2:11" ht="15.75">
      <c r="B56" s="771" t="s">
        <v>826</v>
      </c>
      <c r="C56" s="18"/>
      <c r="D56" s="18"/>
      <c r="E56" s="21">
        <f>mvalloc!H20</f>
        <v>0</v>
      </c>
      <c r="G56" s="526"/>
      <c r="H56" s="526"/>
      <c r="I56" s="526"/>
      <c r="J56" s="526"/>
      <c r="K56" s="526"/>
    </row>
    <row r="57" spans="2:11" ht="15.75">
      <c r="B57" s="26"/>
      <c r="C57" s="18"/>
      <c r="D57" s="18"/>
      <c r="E57" s="23"/>
      <c r="G57" s="526"/>
      <c r="H57" s="526"/>
      <c r="I57" s="526"/>
      <c r="J57" s="526"/>
      <c r="K57" s="526"/>
    </row>
    <row r="58" spans="2:11" ht="15.75">
      <c r="B58" s="26"/>
      <c r="C58" s="18"/>
      <c r="D58" s="18"/>
      <c r="E58" s="23"/>
      <c r="G58" s="903" t="str">
        <f>CONCATENATE("Desired Carryover Into ",E1+1,"")</f>
        <v>Desired Carryover Into 1</v>
      </c>
      <c r="H58" s="904"/>
      <c r="I58" s="904"/>
      <c r="J58" s="905"/>
      <c r="K58" s="526"/>
    </row>
    <row r="59" spans="2:11" ht="15.75">
      <c r="B59" s="26"/>
      <c r="C59" s="18"/>
      <c r="D59" s="18"/>
      <c r="E59" s="23"/>
      <c r="G59" s="557"/>
      <c r="H59" s="558"/>
      <c r="I59" s="559"/>
      <c r="J59" s="560"/>
      <c r="K59" s="526"/>
    </row>
    <row r="60" spans="2:11" ht="15.75">
      <c r="B60" s="27"/>
      <c r="C60" s="18"/>
      <c r="D60" s="18"/>
      <c r="E60" s="23"/>
      <c r="G60" s="561" t="s">
        <v>626</v>
      </c>
      <c r="H60" s="559"/>
      <c r="I60" s="559"/>
      <c r="J60" s="562">
        <v>0</v>
      </c>
      <c r="K60" s="526"/>
    </row>
    <row r="61" spans="2:11" ht="15.75">
      <c r="B61" s="27" t="s">
        <v>18</v>
      </c>
      <c r="C61" s="18"/>
      <c r="D61" s="18"/>
      <c r="E61" s="23"/>
      <c r="G61" s="557" t="s">
        <v>627</v>
      </c>
      <c r="H61" s="558"/>
      <c r="I61" s="558"/>
      <c r="J61" s="563">
        <f>IF(J60=0,"",ROUND((J60+E84-G73)/inputOth!E7*1000,3)-G78)</f>
      </c>
      <c r="K61" s="526"/>
    </row>
    <row r="62" spans="2:11" ht="15.75">
      <c r="B62" s="24" t="s">
        <v>180</v>
      </c>
      <c r="C62" s="18"/>
      <c r="D62" s="18"/>
      <c r="E62" s="35">
        <f>nhood!E15*-1</f>
        <v>0</v>
      </c>
      <c r="G62" s="564" t="str">
        <f>CONCATENATE("",E1," Tot Exp/Non-Appr Must Be:")</f>
        <v>0 Tot Exp/Non-Appr Must Be:</v>
      </c>
      <c r="H62" s="565"/>
      <c r="I62" s="566"/>
      <c r="J62" s="567">
        <f>IF(J60&gt;0,IF(E81&lt;E66,IF(J60=G73,E81,((J60-G73)*(1-D83))+E66),E81+(J60-G73)),0)</f>
        <v>0</v>
      </c>
      <c r="K62" s="526"/>
    </row>
    <row r="63" spans="2:11" ht="15.75">
      <c r="B63" s="28" t="s">
        <v>178</v>
      </c>
      <c r="C63" s="18"/>
      <c r="D63" s="18"/>
      <c r="E63" s="23"/>
      <c r="G63" s="568" t="s">
        <v>700</v>
      </c>
      <c r="H63" s="569"/>
      <c r="I63" s="569"/>
      <c r="J63" s="570">
        <f>IF(J60&gt;0,J62-E81,0)</f>
        <v>0</v>
      </c>
      <c r="K63" s="526"/>
    </row>
    <row r="64" spans="2:11" ht="15.75">
      <c r="B64" s="28" t="s">
        <v>179</v>
      </c>
      <c r="C64" s="339">
        <f>IF(C65*0.1&lt;C63,"Exceed 10% Rule","")</f>
      </c>
      <c r="D64" s="339">
        <f>IF(D65*0.1&lt;D63,"Exceed 10% Rule","")</f>
      </c>
      <c r="E64" s="34">
        <f>IF(E65*0.1+E84&lt;E63,"Exceed 10% Rule","")</f>
      </c>
      <c r="G64" s="526"/>
      <c r="H64" s="526"/>
      <c r="I64" s="526"/>
      <c r="J64" s="526"/>
      <c r="K64" s="526"/>
    </row>
    <row r="65" spans="2:11" ht="15.75">
      <c r="B65" s="30" t="s">
        <v>19</v>
      </c>
      <c r="C65" s="344">
        <f>SUM(C50:C63)</f>
        <v>0</v>
      </c>
      <c r="D65" s="344">
        <f>SUM(D50:D63)</f>
        <v>0</v>
      </c>
      <c r="E65" s="31">
        <f>SUM(E50:E63)</f>
        <v>0</v>
      </c>
      <c r="G65" s="903" t="str">
        <f>CONCATENATE("Projected Carryover Into ",E1+1,"")</f>
        <v>Projected Carryover Into 1</v>
      </c>
      <c r="H65" s="913"/>
      <c r="I65" s="913"/>
      <c r="J65" s="907"/>
      <c r="K65" s="526"/>
    </row>
    <row r="66" spans="2:11" ht="15.75">
      <c r="B66" s="32" t="s">
        <v>20</v>
      </c>
      <c r="C66" s="344">
        <f>C65+C48</f>
        <v>0</v>
      </c>
      <c r="D66" s="344">
        <f>D65+D48</f>
        <v>0</v>
      </c>
      <c r="E66" s="31">
        <f>E65+E48</f>
        <v>0</v>
      </c>
      <c r="G66" s="609"/>
      <c r="H66" s="558"/>
      <c r="I66" s="558"/>
      <c r="J66" s="610"/>
      <c r="K66" s="526"/>
    </row>
    <row r="67" spans="2:11" ht="15.75">
      <c r="B67" s="16" t="s">
        <v>21</v>
      </c>
      <c r="C67" s="342"/>
      <c r="D67" s="342"/>
      <c r="E67" s="21"/>
      <c r="G67" s="575">
        <f>D78</f>
        <v>0</v>
      </c>
      <c r="H67" s="576" t="str">
        <f>CONCATENATE("",E1-1," Ending Cash Balance (est.)")</f>
        <v>-1 Ending Cash Balance (est.)</v>
      </c>
      <c r="I67" s="577"/>
      <c r="J67" s="610"/>
      <c r="K67" s="526"/>
    </row>
    <row r="68" spans="2:11" ht="15.75">
      <c r="B68" s="27"/>
      <c r="C68" s="18"/>
      <c r="D68" s="18"/>
      <c r="E68" s="23"/>
      <c r="G68" s="575">
        <f>E65</f>
        <v>0</v>
      </c>
      <c r="H68" s="559" t="str">
        <f>CONCATENATE("",E1," Non-AV Receipts (est.)")</f>
        <v>0 Non-AV Receipts (est.)</v>
      </c>
      <c r="I68" s="577"/>
      <c r="J68" s="610"/>
      <c r="K68" s="526"/>
    </row>
    <row r="69" spans="2:11" ht="15.75">
      <c r="B69" s="27"/>
      <c r="C69" s="18"/>
      <c r="D69" s="18"/>
      <c r="E69" s="23"/>
      <c r="G69" s="582">
        <f>IF(E83&gt;0,E82,E84)</f>
        <v>0</v>
      </c>
      <c r="H69" s="559" t="str">
        <f>CONCATENATE("",E1," Ad Valorem Tax (est.)")</f>
        <v>0 Ad Valorem Tax (est.)</v>
      </c>
      <c r="I69" s="577"/>
      <c r="J69" s="610"/>
      <c r="K69" s="583">
        <f>IF(G69=E84,"","Note: Does not include Delinquent Taxes")</f>
      </c>
    </row>
    <row r="70" spans="2:11" ht="15.75">
      <c r="B70" s="27"/>
      <c r="C70" s="18"/>
      <c r="D70" s="18"/>
      <c r="E70" s="23"/>
      <c r="G70" s="612">
        <f>SUM(G67:G69)</f>
        <v>0</v>
      </c>
      <c r="H70" s="559" t="str">
        <f>CONCATENATE("Total ",E1," Resources Available")</f>
        <v>Total 0 Resources Available</v>
      </c>
      <c r="I70" s="613"/>
      <c r="J70" s="610"/>
      <c r="K70" s="526"/>
    </row>
    <row r="71" spans="2:11" ht="15.75">
      <c r="B71" s="27"/>
      <c r="C71" s="18"/>
      <c r="D71" s="18"/>
      <c r="E71" s="23"/>
      <c r="G71" s="614"/>
      <c r="H71" s="615"/>
      <c r="I71" s="558"/>
      <c r="J71" s="610"/>
      <c r="K71" s="526"/>
    </row>
    <row r="72" spans="2:11" ht="15.75">
      <c r="B72" s="27"/>
      <c r="C72" s="18"/>
      <c r="D72" s="18"/>
      <c r="E72" s="23"/>
      <c r="G72" s="582">
        <f>ROUND(C77*0.05+C77,0)</f>
        <v>0</v>
      </c>
      <c r="H72" s="559" t="str">
        <f>CONCATENATE("Less ",E1-2," Expenditures + 5%")</f>
        <v>Less -2 Expenditures + 5%</v>
      </c>
      <c r="I72" s="613"/>
      <c r="J72" s="610"/>
      <c r="K72" s="526"/>
    </row>
    <row r="73" spans="2:11" ht="15.75">
      <c r="B73" s="27"/>
      <c r="C73" s="18"/>
      <c r="D73" s="18"/>
      <c r="E73" s="23"/>
      <c r="G73" s="590">
        <f>G70-G72</f>
        <v>0</v>
      </c>
      <c r="H73" s="591" t="str">
        <f>CONCATENATE("Projected ",E1+1," carryover (est.)")</f>
        <v>Projected 1 carryover (est.)</v>
      </c>
      <c r="I73" s="616"/>
      <c r="J73" s="617"/>
      <c r="K73" s="526"/>
    </row>
    <row r="74" spans="2:11" ht="15.75">
      <c r="B74" s="24" t="str">
        <f>CONCATENATE("Cash Forward (",E1," column)")</f>
        <v>Cash Forward (0 column)</v>
      </c>
      <c r="C74" s="18"/>
      <c r="D74" s="18"/>
      <c r="E74" s="23"/>
      <c r="G74" s="526"/>
      <c r="H74" s="526"/>
      <c r="I74" s="526"/>
      <c r="J74" s="526"/>
      <c r="K74" s="526"/>
    </row>
    <row r="75" spans="2:11" ht="15.75">
      <c r="B75" s="24" t="s">
        <v>178</v>
      </c>
      <c r="C75" s="18"/>
      <c r="D75" s="18"/>
      <c r="E75" s="23"/>
      <c r="G75" s="910" t="s">
        <v>701</v>
      </c>
      <c r="H75" s="911"/>
      <c r="I75" s="911"/>
      <c r="J75" s="912"/>
      <c r="K75" s="526"/>
    </row>
    <row r="76" spans="2:11" ht="15.75">
      <c r="B76" s="24" t="s">
        <v>535</v>
      </c>
      <c r="C76" s="339">
        <f>IF(C77*0.1&lt;C75,"Exceed 10% Rule","")</f>
      </c>
      <c r="D76" s="339">
        <f>IF(D77*0.1&lt;D75,"Exceed 10% Rule","")</f>
      </c>
      <c r="E76" s="34">
        <f>IF(E77*0.1&lt;E75,"Exceed 10% Rule","")</f>
      </c>
      <c r="G76" s="597"/>
      <c r="H76" s="576"/>
      <c r="I76" s="598"/>
      <c r="J76" s="599"/>
      <c r="K76" s="526"/>
    </row>
    <row r="77" spans="2:11" ht="15.75">
      <c r="B77" s="32" t="s">
        <v>22</v>
      </c>
      <c r="C77" s="344">
        <f>SUM(C68:C75)</f>
        <v>0</v>
      </c>
      <c r="D77" s="344">
        <f>SUM(D68:D75)</f>
        <v>0</v>
      </c>
      <c r="E77" s="31">
        <f>SUM(E68:E75)</f>
        <v>0</v>
      </c>
      <c r="G77" s="600" t="str">
        <f>summ!I27</f>
        <v> </v>
      </c>
      <c r="H77" s="576" t="str">
        <f>CONCATENATE("",E1," Fund Mill Rate")</f>
        <v>0 Fund Mill Rate</v>
      </c>
      <c r="I77" s="598"/>
      <c r="J77" s="599"/>
      <c r="K77" s="526"/>
    </row>
    <row r="78" spans="2:11" ht="15.75">
      <c r="B78" s="16" t="s">
        <v>104</v>
      </c>
      <c r="C78" s="337">
        <f>C66-C77</f>
        <v>0</v>
      </c>
      <c r="D78" s="337">
        <f>D66-D77</f>
        <v>0</v>
      </c>
      <c r="E78" s="22" t="s">
        <v>251</v>
      </c>
      <c r="G78" s="601" t="str">
        <f>summ!F27</f>
        <v>  </v>
      </c>
      <c r="H78" s="576" t="str">
        <f>CONCATENATE("",E1-1," Fund Mill Rate")</f>
        <v>-1 Fund Mill Rate</v>
      </c>
      <c r="I78" s="598"/>
      <c r="J78" s="599"/>
      <c r="K78" s="526"/>
    </row>
    <row r="79" spans="2:11" ht="15.75">
      <c r="B79" s="255" t="str">
        <f>CONCATENATE("",E1-2,"/",E1-1,"/",E1," Budget Authority Amount:")</f>
        <v>-2/-1/0 Budget Authority Amount:</v>
      </c>
      <c r="C79" s="52">
        <f>inputOth!B57</f>
        <v>0</v>
      </c>
      <c r="D79" s="52">
        <f>inputPrYr!D28</f>
        <v>0</v>
      </c>
      <c r="E79" s="21">
        <f>E77</f>
        <v>0</v>
      </c>
      <c r="F79" s="39"/>
      <c r="G79" s="603">
        <f>summ!I32</f>
        <v>0</v>
      </c>
      <c r="H79" s="576" t="str">
        <f>CONCATENATE("Total ",E1," Mill Rate")</f>
        <v>Total 0 Mill Rate</v>
      </c>
      <c r="I79" s="598"/>
      <c r="J79" s="599"/>
      <c r="K79" s="526"/>
    </row>
    <row r="80" spans="2:11" ht="15.75">
      <c r="B80" s="37"/>
      <c r="C80" s="893" t="s">
        <v>536</v>
      </c>
      <c r="D80" s="894"/>
      <c r="E80" s="23"/>
      <c r="F80" s="430">
        <f>IF(E77/0.95-E77&lt;E80,"Exceeds 5%","")</f>
      </c>
      <c r="G80" s="601">
        <f>summ!F32</f>
        <v>0</v>
      </c>
      <c r="H80" s="604" t="str">
        <f>CONCATENATE("Total ",E1-1," Mill Rate")</f>
        <v>Total -1 Mill Rate</v>
      </c>
      <c r="I80" s="605"/>
      <c r="J80" s="606"/>
      <c r="K80" s="526"/>
    </row>
    <row r="81" spans="2:5" ht="15.75">
      <c r="B81" s="37"/>
      <c r="C81" s="895" t="s">
        <v>537</v>
      </c>
      <c r="D81" s="896"/>
      <c r="E81" s="21">
        <f>E77+E80</f>
        <v>0</v>
      </c>
    </row>
    <row r="82" spans="2:10" ht="15.75">
      <c r="B82" s="37"/>
      <c r="C82" s="49"/>
      <c r="D82" s="41" t="s">
        <v>24</v>
      </c>
      <c r="E82" s="35">
        <f>IF(E81-E66&gt;0,E81-E66,0)</f>
        <v>0</v>
      </c>
      <c r="G82" s="818" t="s">
        <v>833</v>
      </c>
      <c r="H82" s="777"/>
      <c r="I82" s="778"/>
      <c r="J82" s="779" t="str">
        <f>cert!G37</f>
        <v>No</v>
      </c>
    </row>
    <row r="83" spans="2:10" ht="15.75">
      <c r="B83" s="41"/>
      <c r="C83" s="352" t="s">
        <v>538</v>
      </c>
      <c r="D83" s="630">
        <f>inputOth!$E$42</f>
        <v>0</v>
      </c>
      <c r="E83" s="21">
        <f>ROUND(IF(D83&gt;0,(E82*D83),0),0)</f>
        <v>0</v>
      </c>
      <c r="G83" s="780" t="str">
        <f>CONCATENATE("Computed ",E1," tax levy limit amount")</f>
        <v>Computed 0 tax levy limit amount</v>
      </c>
      <c r="H83" s="781"/>
      <c r="I83" s="781"/>
      <c r="J83" s="782">
        <f>computation!J41</f>
        <v>0</v>
      </c>
    </row>
    <row r="84" spans="2:10" ht="15.75">
      <c r="B84" s="3"/>
      <c r="C84" s="891" t="str">
        <f>CONCATENATE("Amount of  ",$E$1-1," Ad Valorem Tax")</f>
        <v>Amount of  -1 Ad Valorem Tax</v>
      </c>
      <c r="D84" s="892"/>
      <c r="E84" s="35">
        <f>E82+E83</f>
        <v>0</v>
      </c>
      <c r="G84" s="783" t="str">
        <f>CONCATENATE("Total ",E1," tax levy amount")</f>
        <v>Total 0 tax levy amount</v>
      </c>
      <c r="H84" s="784"/>
      <c r="I84" s="784"/>
      <c r="J84" s="785">
        <f>summ!H32</f>
        <v>0</v>
      </c>
    </row>
    <row r="85" spans="2:5" ht="15.75">
      <c r="B85" s="41" t="s">
        <v>5</v>
      </c>
      <c r="C85" s="751"/>
      <c r="D85" s="3"/>
      <c r="E85" s="3"/>
    </row>
    <row r="86" ht="15.75">
      <c r="B86" s="68"/>
    </row>
    <row r="96" spans="3:4" ht="15.75" hidden="1">
      <c r="C96" s="5">
        <f>IF(C35&gt;C37,"See Tab A","")</f>
      </c>
      <c r="D96" s="5">
        <f>IF(D35&gt;D37,"See Tab C","")</f>
      </c>
    </row>
    <row r="97" spans="3:4" ht="15.75" hidden="1">
      <c r="C97" s="5">
        <f>IF(C36&lt;0,"See Tab B","")</f>
      </c>
      <c r="D97" s="5">
        <f>IF(D36&lt;0,"See Tab D","")</f>
      </c>
    </row>
    <row r="98" spans="3:4" ht="15.75" hidden="1">
      <c r="C98" s="5">
        <f>IF(C77&gt;C79,"See Tab A","")</f>
      </c>
      <c r="D98" s="5">
        <f>IF(D77&gt;D79,"See Tab C","")</f>
      </c>
    </row>
    <row r="99" spans="3:4" ht="15.75" hidden="1">
      <c r="C99" s="5">
        <f>IF(C78&lt;0,"See Tab B","")</f>
      </c>
      <c r="D99" s="5">
        <f>IF(D78&lt;0,"See Tab D","")</f>
      </c>
    </row>
  </sheetData>
  <sheetProtection sheet="1"/>
  <mergeCells count="12">
    <mergeCell ref="C84:D84"/>
    <mergeCell ref="C42:D42"/>
    <mergeCell ref="C80:D80"/>
    <mergeCell ref="C81:D81"/>
    <mergeCell ref="C38:D38"/>
    <mergeCell ref="C39:D39"/>
    <mergeCell ref="G16:J16"/>
    <mergeCell ref="G23:J23"/>
    <mergeCell ref="G33:J33"/>
    <mergeCell ref="G58:J58"/>
    <mergeCell ref="G65:J65"/>
    <mergeCell ref="G75:J75"/>
  </mergeCells>
  <conditionalFormatting sqref="E80">
    <cfRule type="cellIs" priority="3" dxfId="130" operator="greaterThan" stopIfTrue="1">
      <formula>$E$77/0.95-$E$77</formula>
    </cfRule>
  </conditionalFormatting>
  <conditionalFormatting sqref="C75">
    <cfRule type="cellIs" priority="4" dxfId="130" operator="greaterThan" stopIfTrue="1">
      <formula>$C$77*0.1</formula>
    </cfRule>
  </conditionalFormatting>
  <conditionalFormatting sqref="D75">
    <cfRule type="cellIs" priority="5" dxfId="130" operator="greaterThan" stopIfTrue="1">
      <formula>$D$77*0.1</formula>
    </cfRule>
  </conditionalFormatting>
  <conditionalFormatting sqref="E75">
    <cfRule type="cellIs" priority="6" dxfId="130" operator="greaterThan" stopIfTrue="1">
      <formula>$E$77*0.1</formula>
    </cfRule>
  </conditionalFormatting>
  <conditionalFormatting sqref="C63">
    <cfRule type="cellIs" priority="7" dxfId="130" operator="greaterThan" stopIfTrue="1">
      <formula>$C$65*0.1</formula>
    </cfRule>
  </conditionalFormatting>
  <conditionalFormatting sqref="D63">
    <cfRule type="cellIs" priority="8" dxfId="130" operator="greaterThan" stopIfTrue="1">
      <formula>$D$65*0.1</formula>
    </cfRule>
  </conditionalFormatting>
  <conditionalFormatting sqref="E38">
    <cfRule type="cellIs" priority="9" dxfId="130" operator="greaterThan" stopIfTrue="1">
      <formula>$E$35/0.95-$E$35</formula>
    </cfRule>
  </conditionalFormatting>
  <conditionalFormatting sqref="C33">
    <cfRule type="cellIs" priority="10" dxfId="130" operator="greaterThan" stopIfTrue="1">
      <formula>$C$35*0.1</formula>
    </cfRule>
  </conditionalFormatting>
  <conditionalFormatting sqref="D33">
    <cfRule type="cellIs" priority="11" dxfId="130" operator="greaterThan" stopIfTrue="1">
      <formula>$D$35*0.1</formula>
    </cfRule>
  </conditionalFormatting>
  <conditionalFormatting sqref="E33">
    <cfRule type="cellIs" priority="12" dxfId="130" operator="greaterThan" stopIfTrue="1">
      <formula>$E$35*0.1</formula>
    </cfRule>
  </conditionalFormatting>
  <conditionalFormatting sqref="C21">
    <cfRule type="cellIs" priority="13" dxfId="130" operator="greaterThan" stopIfTrue="1">
      <formula>$C$23*0.1</formula>
    </cfRule>
  </conditionalFormatting>
  <conditionalFormatting sqref="D21">
    <cfRule type="cellIs" priority="14" dxfId="130" operator="greaterThan" stopIfTrue="1">
      <formula>$D$23*0.1</formula>
    </cfRule>
  </conditionalFormatting>
  <conditionalFormatting sqref="C78 C36">
    <cfRule type="cellIs" priority="17" dxfId="130" operator="lessThan" stopIfTrue="1">
      <formula>0</formula>
    </cfRule>
  </conditionalFormatting>
  <conditionalFormatting sqref="C77">
    <cfRule type="cellIs" priority="18" dxfId="2" operator="greaterThan" stopIfTrue="1">
      <formula>$C$79</formula>
    </cfRule>
  </conditionalFormatting>
  <conditionalFormatting sqref="D77">
    <cfRule type="cellIs" priority="19" dxfId="2" operator="greaterThan" stopIfTrue="1">
      <formula>$D$79</formula>
    </cfRule>
  </conditionalFormatting>
  <conditionalFormatting sqref="C35">
    <cfRule type="cellIs" priority="20" dxfId="2" operator="greaterThan" stopIfTrue="1">
      <formula>$C$37</formula>
    </cfRule>
  </conditionalFormatting>
  <conditionalFormatting sqref="D35">
    <cfRule type="cellIs" priority="21" dxfId="2" operator="greaterThan" stopIfTrue="1">
      <formula>$D$37</formula>
    </cfRule>
  </conditionalFormatting>
  <conditionalFormatting sqref="D36 D78">
    <cfRule type="cellIs" priority="2" dxfId="0" operator="lessThan" stopIfTrue="1">
      <formula>0</formula>
    </cfRule>
  </conditionalFormatting>
  <conditionalFormatting sqref="E21">
    <cfRule type="cellIs" priority="38" dxfId="130" operator="greaterThan" stopIfTrue="1">
      <formula>$E$23*0.1+$E$42</formula>
    </cfRule>
  </conditionalFormatting>
  <conditionalFormatting sqref="E63">
    <cfRule type="cellIs" priority="39" dxfId="130" operator="greaterThan" stopIfTrue="1">
      <formula>$E$65*0.1+$E$84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20" sqref="O120"/>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75">
      <c r="B1" s="2">
        <f>inputPrYr!D3</f>
        <v>0</v>
      </c>
      <c r="C1" s="3"/>
      <c r="D1" s="3"/>
      <c r="E1" s="4">
        <f>inputPrYr!D6</f>
        <v>0</v>
      </c>
    </row>
    <row r="2" spans="2:5" ht="15.75">
      <c r="B2" s="3"/>
      <c r="C2" s="3"/>
      <c r="D2" s="3"/>
      <c r="E2" s="41"/>
    </row>
    <row r="3" spans="2:5" ht="15.75">
      <c r="B3" s="6" t="s">
        <v>116</v>
      </c>
      <c r="C3" s="54"/>
      <c r="D3" s="54"/>
      <c r="E3" s="54"/>
    </row>
    <row r="4" spans="2:5" ht="15.75">
      <c r="B4" s="11" t="s">
        <v>6</v>
      </c>
      <c r="C4" s="57" t="s">
        <v>7</v>
      </c>
      <c r="D4" s="12" t="s">
        <v>8</v>
      </c>
      <c r="E4" s="12" t="s">
        <v>9</v>
      </c>
    </row>
    <row r="5" spans="2:5" ht="15.75">
      <c r="B5" s="349">
        <f>inputPrYr!B32</f>
        <v>0</v>
      </c>
      <c r="C5" s="15" t="str">
        <f>gen!C5</f>
        <v>Actual for -2</v>
      </c>
      <c r="D5" s="15" t="str">
        <f>gen!D5</f>
        <v>Estimate for -1</v>
      </c>
      <c r="E5" s="15" t="str">
        <f>gen!E5</f>
        <v>Year for 0</v>
      </c>
    </row>
    <row r="6" spans="2:5" ht="15.75">
      <c r="B6" s="70" t="s">
        <v>117</v>
      </c>
      <c r="C6" s="23"/>
      <c r="D6" s="21">
        <f>C29</f>
        <v>0</v>
      </c>
      <c r="E6" s="21">
        <f>D29</f>
        <v>0</v>
      </c>
    </row>
    <row r="7" spans="2:5" s="5" customFormat="1" ht="15.75">
      <c r="B7" s="71" t="s">
        <v>105</v>
      </c>
      <c r="C7" s="72"/>
      <c r="D7" s="72"/>
      <c r="E7" s="72"/>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3" t="s">
        <v>18</v>
      </c>
      <c r="C12" s="23"/>
      <c r="D12" s="23"/>
      <c r="E12" s="23"/>
    </row>
    <row r="13" spans="2:5" ht="15.75">
      <c r="B13" s="28" t="s">
        <v>178</v>
      </c>
      <c r="C13" s="23"/>
      <c r="D13" s="19"/>
      <c r="E13" s="19"/>
    </row>
    <row r="14" spans="2:5" ht="15.75">
      <c r="B14" s="28" t="s">
        <v>179</v>
      </c>
      <c r="C14" s="34">
        <f>IF(C15*0.1&lt;C13,"Exceed 10% Rule","")</f>
      </c>
      <c r="D14" s="29">
        <f>IF(D15*0.1&lt;D13,"Exceed 10% Rule","")</f>
      </c>
      <c r="E14" s="29">
        <f>IF(E15*0.1&lt;E13,"Exceed 10% Rule","")</f>
      </c>
    </row>
    <row r="15" spans="2:5" ht="15.75">
      <c r="B15" s="32" t="s">
        <v>19</v>
      </c>
      <c r="C15" s="31">
        <f>SUM(C8:C13)</f>
        <v>0</v>
      </c>
      <c r="D15" s="31">
        <f>SUM(D8:D13)</f>
        <v>0</v>
      </c>
      <c r="E15" s="31">
        <f>SUM(E8:E13)</f>
        <v>0</v>
      </c>
    </row>
    <row r="16" spans="2:5" ht="15.75">
      <c r="B16" s="32" t="s">
        <v>20</v>
      </c>
      <c r="C16" s="31">
        <f>C6+C15</f>
        <v>0</v>
      </c>
      <c r="D16" s="31">
        <f>D6+D15</f>
        <v>0</v>
      </c>
      <c r="E16" s="31">
        <f>E6+E15</f>
        <v>0</v>
      </c>
    </row>
    <row r="17" spans="2:5" ht="15.75">
      <c r="B17" s="16" t="s">
        <v>21</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4" t="str">
        <f>CONCATENATE("Cash Forward (",E1," column)")</f>
        <v>Cash Forward (0 column)</v>
      </c>
      <c r="C25" s="23"/>
      <c r="D25" s="23"/>
      <c r="E25" s="23"/>
    </row>
    <row r="26" spans="2:5" ht="15.75">
      <c r="B26" s="24" t="s">
        <v>178</v>
      </c>
      <c r="C26" s="23"/>
      <c r="D26" s="19"/>
      <c r="E26" s="19"/>
    </row>
    <row r="27" spans="2:5" ht="15.75">
      <c r="B27" s="24" t="s">
        <v>535</v>
      </c>
      <c r="C27" s="34">
        <f>IF(C28*0.1&lt;C26,"Exceed 10% Rule","")</f>
      </c>
      <c r="D27" s="29">
        <f>IF(D28*0.1&lt;D26,"Exceed 10% Rule","")</f>
      </c>
      <c r="E27" s="29">
        <f>IF(E28*0.1&lt;E26,"Exceed 10% Rule","")</f>
      </c>
    </row>
    <row r="28" spans="2:5" ht="15.75">
      <c r="B28" s="32" t="s">
        <v>22</v>
      </c>
      <c r="C28" s="31">
        <f>SUM(C18:C26)</f>
        <v>0</v>
      </c>
      <c r="D28" s="31">
        <f>SUM(D18:D26)</f>
        <v>0</v>
      </c>
      <c r="E28" s="31">
        <f>SUM(E18:E26)</f>
        <v>0</v>
      </c>
    </row>
    <row r="29" spans="2:5" ht="15.75">
      <c r="B29" s="16" t="s">
        <v>104</v>
      </c>
      <c r="C29" s="35">
        <f>C16-C28</f>
        <v>0</v>
      </c>
      <c r="D29" s="35">
        <f>D16-D28</f>
        <v>0</v>
      </c>
      <c r="E29" s="35">
        <f>E16-E28</f>
        <v>0</v>
      </c>
    </row>
    <row r="30" spans="2:5" ht="15.75">
      <c r="B30" s="255" t="str">
        <f>CONCATENATE("",E1-2,"/",E1-1,"/",E1," Budget Authority Amount:")</f>
        <v>-2/-1/0 Budget Authority Amount:</v>
      </c>
      <c r="C30" s="52">
        <f>inputOth!B58</f>
        <v>0</v>
      </c>
      <c r="D30" s="52">
        <f>inputPrYr!D32</f>
        <v>0</v>
      </c>
      <c r="E30" s="690">
        <f>E28</f>
        <v>0</v>
      </c>
    </row>
    <row r="31" spans="2:5" ht="15.75">
      <c r="B31" s="37"/>
      <c r="C31" s="40">
        <f>IF(C28&gt;C30,"See Tab A","")</f>
      </c>
      <c r="D31" s="40">
        <f>IF(D28&gt;D30,"See Tab C","")</f>
      </c>
      <c r="E31" s="691">
        <f>IF(E29&lt;0,"See Tab E","")</f>
      </c>
    </row>
    <row r="32" spans="2:5" ht="15.75">
      <c r="B32" s="37"/>
      <c r="C32" s="40">
        <f>IF(C29&lt;0,"See Tab B","")</f>
      </c>
      <c r="D32" s="74">
        <f>IF(D29&lt;0,"See Tab D","")</f>
      </c>
      <c r="E32" s="44"/>
    </row>
    <row r="33" spans="2:5" ht="15.75">
      <c r="B33" s="3"/>
      <c r="C33" s="44"/>
      <c r="D33" s="44"/>
      <c r="E33" s="44"/>
    </row>
    <row r="34" spans="2:5" ht="15.75">
      <c r="B34" s="11" t="s">
        <v>6</v>
      </c>
      <c r="C34" s="54"/>
      <c r="D34" s="54"/>
      <c r="E34" s="54"/>
    </row>
    <row r="35" spans="2:5" ht="15.75">
      <c r="B35" s="3"/>
      <c r="C35" s="57" t="s">
        <v>7</v>
      </c>
      <c r="D35" s="12" t="s">
        <v>8</v>
      </c>
      <c r="E35" s="12" t="s">
        <v>9</v>
      </c>
    </row>
    <row r="36" spans="2:5" ht="15.75">
      <c r="B36" s="425">
        <f>inputPrYr!B33</f>
        <v>0</v>
      </c>
      <c r="C36" s="15" t="str">
        <f>C5</f>
        <v>Actual for -2</v>
      </c>
      <c r="D36" s="15" t="str">
        <f>D5</f>
        <v>Estimate for -1</v>
      </c>
      <c r="E36" s="15" t="str">
        <f>E5</f>
        <v>Year for 0</v>
      </c>
    </row>
    <row r="37" spans="2:5" ht="15.75">
      <c r="B37" s="70" t="s">
        <v>117</v>
      </c>
      <c r="C37" s="23"/>
      <c r="D37" s="21">
        <f>C60</f>
        <v>0</v>
      </c>
      <c r="E37" s="21">
        <f>D60</f>
        <v>0</v>
      </c>
    </row>
    <row r="38" spans="2:5" s="5" customFormat="1" ht="15.75">
      <c r="B38" s="70" t="s">
        <v>105</v>
      </c>
      <c r="C38" s="72"/>
      <c r="D38" s="72"/>
      <c r="E38" s="72"/>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3" t="s">
        <v>18</v>
      </c>
      <c r="C43" s="23"/>
      <c r="D43" s="23"/>
      <c r="E43" s="23"/>
    </row>
    <row r="44" spans="2:5" ht="15.75">
      <c r="B44" s="28" t="s">
        <v>178</v>
      </c>
      <c r="C44" s="23"/>
      <c r="D44" s="19"/>
      <c r="E44" s="19"/>
    </row>
    <row r="45" spans="2:5" ht="15.75">
      <c r="B45" s="28" t="s">
        <v>179</v>
      </c>
      <c r="C45" s="34">
        <f>IF(C46*0.1&lt;C44,"Exceed 10% Rule","")</f>
      </c>
      <c r="D45" s="29">
        <f>IF(D46*0.1&lt;D44,"Exceed 10% Rule","")</f>
      </c>
      <c r="E45" s="29">
        <f>IF(E46*0.1&lt;E44,"Exceed 10% Rule","")</f>
      </c>
    </row>
    <row r="46" spans="2:5" ht="15.75">
      <c r="B46" s="32" t="s">
        <v>19</v>
      </c>
      <c r="C46" s="31">
        <f>SUM(C39:C44)</f>
        <v>0</v>
      </c>
      <c r="D46" s="31">
        <f>SUM(D39:D44)</f>
        <v>0</v>
      </c>
      <c r="E46" s="31">
        <f>SUM(E39:E44)</f>
        <v>0</v>
      </c>
    </row>
    <row r="47" spans="2:5" ht="15.75">
      <c r="B47" s="32" t="s">
        <v>20</v>
      </c>
      <c r="C47" s="31">
        <f>C37+C46</f>
        <v>0</v>
      </c>
      <c r="D47" s="31">
        <f>D37+D46</f>
        <v>0</v>
      </c>
      <c r="E47" s="31">
        <f>E37+E46</f>
        <v>0</v>
      </c>
    </row>
    <row r="48" spans="2:5" ht="15.75">
      <c r="B48" s="16" t="s">
        <v>21</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4" t="str">
        <f>CONCATENATE("Cash Forward (",E1," column)")</f>
        <v>Cash Forward (0 column)</v>
      </c>
      <c r="C56" s="23"/>
      <c r="D56" s="23"/>
      <c r="E56" s="23"/>
    </row>
    <row r="57" spans="2:5" ht="15.75">
      <c r="B57" s="24" t="s">
        <v>178</v>
      </c>
      <c r="C57" s="23"/>
      <c r="D57" s="19"/>
      <c r="E57" s="19"/>
    </row>
    <row r="58" spans="2:5" ht="15.75">
      <c r="B58" s="24" t="s">
        <v>535</v>
      </c>
      <c r="C58" s="34">
        <f>IF(C59*0.1&lt;C57,"Exceed 10% Rule","")</f>
      </c>
      <c r="D58" s="29">
        <f>IF(D59*0.1&lt;D57,"Exceed 10% Rule","")</f>
      </c>
      <c r="E58" s="29">
        <f>IF(E59*0.1&lt;E57,"Exceed 10% Rule","")</f>
      </c>
    </row>
    <row r="59" spans="2:5" ht="15.75">
      <c r="B59" s="32" t="s">
        <v>22</v>
      </c>
      <c r="C59" s="31">
        <f>SUM(C49:C57)</f>
        <v>0</v>
      </c>
      <c r="D59" s="31">
        <f>SUM(D49:D57)</f>
        <v>0</v>
      </c>
      <c r="E59" s="31">
        <f>SUM(E49:E57)</f>
        <v>0</v>
      </c>
    </row>
    <row r="60" spans="2:5" ht="15.75">
      <c r="B60" s="16" t="s">
        <v>104</v>
      </c>
      <c r="C60" s="35">
        <f>C47-C59</f>
        <v>0</v>
      </c>
      <c r="D60" s="35">
        <f>D47-D59</f>
        <v>0</v>
      </c>
      <c r="E60" s="35">
        <f>E47-E59</f>
        <v>0</v>
      </c>
    </row>
    <row r="61" spans="2:5" ht="15.75">
      <c r="B61" s="255" t="str">
        <f>CONCATENATE("",E1-2,"/",E1-1,"/",E1," Budget Authority Amount:")</f>
        <v>-2/-1/0 Budget Authority Amount:</v>
      </c>
      <c r="C61" s="52">
        <f>inputOth!B59</f>
        <v>0</v>
      </c>
      <c r="D61" s="52">
        <f>inputPrYr!D33</f>
        <v>0</v>
      </c>
      <c r="E61" s="690">
        <f>E59</f>
        <v>0</v>
      </c>
    </row>
    <row r="62" spans="2:5" ht="15.75">
      <c r="B62" s="37"/>
      <c r="C62" s="40">
        <f>IF(C59&gt;C61,"See Tab A","")</f>
      </c>
      <c r="D62" s="40">
        <f>IF(D59&gt;D61,"See Tab C","")</f>
      </c>
      <c r="E62" s="692">
        <f>IF(E60&lt;0,"See Tab E","")</f>
      </c>
    </row>
    <row r="63" spans="2:5" ht="15.75">
      <c r="B63" s="37"/>
      <c r="C63" s="40">
        <f>IF(C60&lt;0,"See Tab B","")</f>
      </c>
      <c r="D63" s="74">
        <f>IF(D60&lt;0,"See Tab D","")</f>
      </c>
      <c r="E63" s="3"/>
    </row>
    <row r="64" spans="2:5" ht="15.75">
      <c r="B64" s="3"/>
      <c r="C64" s="3"/>
      <c r="D64" s="3"/>
      <c r="E64" s="3"/>
    </row>
    <row r="65" spans="2:5" ht="15.75">
      <c r="B65" s="41" t="s">
        <v>5</v>
      </c>
      <c r="C65" s="751"/>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S81" sqref="S81"/>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75">
      <c r="A1" s="75">
        <f>inputPrYr!$D$3</f>
        <v>0</v>
      </c>
      <c r="B1" s="76"/>
      <c r="C1" s="77"/>
      <c r="D1" s="77"/>
      <c r="E1" s="77"/>
      <c r="F1" s="78" t="s">
        <v>265</v>
      </c>
      <c r="G1" s="77"/>
      <c r="H1" s="77"/>
      <c r="I1" s="77"/>
      <c r="J1" s="77"/>
      <c r="K1" s="77">
        <f>inputPrYr!$D$6</f>
        <v>0</v>
      </c>
    </row>
    <row r="2" spans="1:11" ht="15.75">
      <c r="A2" s="77"/>
      <c r="B2" s="77"/>
      <c r="C2" s="77"/>
      <c r="D2" s="77"/>
      <c r="E2" s="77"/>
      <c r="F2" s="79" t="str">
        <f>CONCATENATE("(Only the actual budget year for ",K1-2," is to be shown)")</f>
        <v>(Only the actual budget year for -2 is to be shown)</v>
      </c>
      <c r="G2" s="77"/>
      <c r="H2" s="77"/>
      <c r="I2" s="77"/>
      <c r="J2" s="77"/>
      <c r="K2" s="77"/>
    </row>
    <row r="3" spans="1:11" ht="15.75">
      <c r="A3" s="77" t="s">
        <v>266</v>
      </c>
      <c r="B3" s="77"/>
      <c r="C3" s="77"/>
      <c r="D3" s="77"/>
      <c r="E3" s="77"/>
      <c r="F3" s="76"/>
      <c r="G3" s="77"/>
      <c r="H3" s="77"/>
      <c r="I3" s="77"/>
      <c r="J3" s="77"/>
      <c r="K3" s="77"/>
    </row>
    <row r="4" spans="1:11" ht="15.75">
      <c r="A4" s="77" t="s">
        <v>267</v>
      </c>
      <c r="B4" s="77"/>
      <c r="C4" s="77" t="s">
        <v>268</v>
      </c>
      <c r="D4" s="77"/>
      <c r="E4" s="77" t="s">
        <v>269</v>
      </c>
      <c r="F4" s="76"/>
      <c r="G4" s="77" t="s">
        <v>270</v>
      </c>
      <c r="H4" s="77"/>
      <c r="I4" s="77" t="s">
        <v>271</v>
      </c>
      <c r="J4" s="77"/>
      <c r="K4" s="77"/>
    </row>
    <row r="5" spans="1:11" ht="15.75">
      <c r="A5" s="917">
        <f>inputPrYr!B37</f>
        <v>0</v>
      </c>
      <c r="B5" s="918"/>
      <c r="C5" s="917">
        <f>inputPrYr!B38</f>
        <v>0</v>
      </c>
      <c r="D5" s="918"/>
      <c r="E5" s="917">
        <f>inputPrYr!B39</f>
        <v>0</v>
      </c>
      <c r="F5" s="918"/>
      <c r="G5" s="919">
        <f>inputPrYr!B40</f>
        <v>0</v>
      </c>
      <c r="H5" s="918"/>
      <c r="I5" s="919">
        <f>inputPrYr!B41</f>
        <v>0</v>
      </c>
      <c r="J5" s="918"/>
      <c r="K5" s="81"/>
    </row>
    <row r="6" spans="1:11" ht="15.75">
      <c r="A6" s="82" t="s">
        <v>272</v>
      </c>
      <c r="B6" s="83"/>
      <c r="C6" s="84" t="s">
        <v>272</v>
      </c>
      <c r="D6" s="85"/>
      <c r="E6" s="84" t="s">
        <v>272</v>
      </c>
      <c r="F6" s="86"/>
      <c r="G6" s="84" t="s">
        <v>272</v>
      </c>
      <c r="H6" s="80"/>
      <c r="I6" s="84" t="s">
        <v>272</v>
      </c>
      <c r="J6" s="77"/>
      <c r="K6" s="87" t="s">
        <v>237</v>
      </c>
    </row>
    <row r="7" spans="1:11" ht="15.75">
      <c r="A7" s="88" t="s">
        <v>273</v>
      </c>
      <c r="B7" s="89"/>
      <c r="C7" s="90" t="s">
        <v>273</v>
      </c>
      <c r="D7" s="89"/>
      <c r="E7" s="90" t="s">
        <v>273</v>
      </c>
      <c r="F7" s="89"/>
      <c r="G7" s="90" t="s">
        <v>273</v>
      </c>
      <c r="H7" s="89"/>
      <c r="I7" s="90" t="s">
        <v>273</v>
      </c>
      <c r="J7" s="89"/>
      <c r="K7" s="91">
        <f>SUM(B7+D7+F7+H7+J7)</f>
        <v>0</v>
      </c>
    </row>
    <row r="8" spans="1:11" ht="15.75">
      <c r="A8" s="92" t="s">
        <v>105</v>
      </c>
      <c r="B8" s="93"/>
      <c r="C8" s="92" t="s">
        <v>105</v>
      </c>
      <c r="D8" s="94"/>
      <c r="E8" s="92" t="s">
        <v>105</v>
      </c>
      <c r="F8" s="76"/>
      <c r="G8" s="92" t="s">
        <v>105</v>
      </c>
      <c r="H8" s="77"/>
      <c r="I8" s="92" t="s">
        <v>105</v>
      </c>
      <c r="J8" s="77"/>
      <c r="K8" s="76"/>
    </row>
    <row r="9" spans="1:11" ht="15.75">
      <c r="A9" s="95"/>
      <c r="B9" s="89"/>
      <c r="C9" s="95"/>
      <c r="D9" s="89"/>
      <c r="E9" s="95"/>
      <c r="F9" s="89"/>
      <c r="G9" s="95"/>
      <c r="H9" s="89"/>
      <c r="I9" s="95"/>
      <c r="J9" s="89"/>
      <c r="K9" s="76"/>
    </row>
    <row r="10" spans="1:11" ht="15.75">
      <c r="A10" s="95"/>
      <c r="B10" s="89"/>
      <c r="C10" s="95"/>
      <c r="D10" s="89"/>
      <c r="E10" s="95"/>
      <c r="F10" s="89"/>
      <c r="G10" s="95"/>
      <c r="H10" s="89"/>
      <c r="I10" s="95"/>
      <c r="J10" s="89"/>
      <c r="K10" s="76"/>
    </row>
    <row r="11" spans="1:11" ht="15.75">
      <c r="A11" s="95"/>
      <c r="B11" s="89"/>
      <c r="C11" s="96"/>
      <c r="D11" s="97"/>
      <c r="E11" s="96"/>
      <c r="F11" s="89"/>
      <c r="G11" s="96"/>
      <c r="H11" s="89"/>
      <c r="I11" s="98"/>
      <c r="J11" s="89"/>
      <c r="K11" s="76"/>
    </row>
    <row r="12" spans="1:11" ht="15.75">
      <c r="A12" s="95"/>
      <c r="B12" s="99"/>
      <c r="C12" s="95"/>
      <c r="D12" s="100"/>
      <c r="E12" s="101"/>
      <c r="F12" s="89"/>
      <c r="G12" s="101"/>
      <c r="H12" s="89"/>
      <c r="I12" s="101"/>
      <c r="J12" s="89"/>
      <c r="K12" s="76"/>
    </row>
    <row r="13" spans="1:11" ht="15.75">
      <c r="A13" s="102"/>
      <c r="B13" s="103"/>
      <c r="C13" s="104"/>
      <c r="D13" s="100"/>
      <c r="E13" s="104"/>
      <c r="F13" s="89"/>
      <c r="G13" s="104"/>
      <c r="H13" s="89"/>
      <c r="I13" s="98"/>
      <c r="J13" s="89"/>
      <c r="K13" s="76"/>
    </row>
    <row r="14" spans="1:11" ht="15.75">
      <c r="A14" s="95"/>
      <c r="B14" s="89"/>
      <c r="C14" s="101"/>
      <c r="D14" s="100"/>
      <c r="E14" s="101"/>
      <c r="F14" s="89"/>
      <c r="G14" s="101"/>
      <c r="H14" s="89"/>
      <c r="I14" s="101"/>
      <c r="J14" s="89"/>
      <c r="K14" s="76"/>
    </row>
    <row r="15" spans="1:11" ht="15.75">
      <c r="A15" s="95"/>
      <c r="B15" s="89"/>
      <c r="C15" s="101"/>
      <c r="D15" s="100"/>
      <c r="E15" s="101"/>
      <c r="F15" s="89"/>
      <c r="G15" s="101"/>
      <c r="H15" s="89"/>
      <c r="I15" s="101"/>
      <c r="J15" s="89"/>
      <c r="K15" s="76"/>
    </row>
    <row r="16" spans="1:11" ht="15.75">
      <c r="A16" s="95"/>
      <c r="B16" s="103"/>
      <c r="C16" s="95"/>
      <c r="D16" s="100"/>
      <c r="E16" s="95"/>
      <c r="F16" s="89"/>
      <c r="G16" s="101"/>
      <c r="H16" s="89"/>
      <c r="I16" s="95"/>
      <c r="J16" s="89"/>
      <c r="K16" s="76"/>
    </row>
    <row r="17" spans="1:11" ht="15.75">
      <c r="A17" s="92" t="s">
        <v>19</v>
      </c>
      <c r="B17" s="91">
        <f>SUM(B9:B16)</f>
        <v>0</v>
      </c>
      <c r="C17" s="92" t="s">
        <v>19</v>
      </c>
      <c r="D17" s="91">
        <f>SUM(D9:D16)</f>
        <v>0</v>
      </c>
      <c r="E17" s="92" t="s">
        <v>19</v>
      </c>
      <c r="F17" s="105">
        <f>SUM(F9:F16)</f>
        <v>0</v>
      </c>
      <c r="G17" s="92" t="s">
        <v>19</v>
      </c>
      <c r="H17" s="91">
        <f>SUM(H9:H16)</f>
        <v>0</v>
      </c>
      <c r="I17" s="92" t="s">
        <v>19</v>
      </c>
      <c r="J17" s="91">
        <f>SUM(J9:J16)</f>
        <v>0</v>
      </c>
      <c r="K17" s="91">
        <f>SUM(B17+D17+F17+H17+J17)</f>
        <v>0</v>
      </c>
    </row>
    <row r="18" spans="1:11" ht="15.75">
      <c r="A18" s="92" t="s">
        <v>20</v>
      </c>
      <c r="B18" s="91">
        <f>SUM(B7+B17)</f>
        <v>0</v>
      </c>
      <c r="C18" s="92" t="s">
        <v>20</v>
      </c>
      <c r="D18" s="91">
        <f>SUM(D7+D17)</f>
        <v>0</v>
      </c>
      <c r="E18" s="92" t="s">
        <v>20</v>
      </c>
      <c r="F18" s="91">
        <f>SUM(F7+F17)</f>
        <v>0</v>
      </c>
      <c r="G18" s="92" t="s">
        <v>20</v>
      </c>
      <c r="H18" s="91">
        <f>SUM(H7+H17)</f>
        <v>0</v>
      </c>
      <c r="I18" s="92" t="s">
        <v>20</v>
      </c>
      <c r="J18" s="91">
        <f>SUM(J7+J17)</f>
        <v>0</v>
      </c>
      <c r="K18" s="91">
        <f>SUM(B18+D18+F18+H18+J18)</f>
        <v>0</v>
      </c>
    </row>
    <row r="19" spans="1:11" ht="15.75">
      <c r="A19" s="92" t="s">
        <v>21</v>
      </c>
      <c r="B19" s="93"/>
      <c r="C19" s="92" t="s">
        <v>21</v>
      </c>
      <c r="D19" s="94"/>
      <c r="E19" s="92" t="s">
        <v>21</v>
      </c>
      <c r="F19" s="76"/>
      <c r="G19" s="92" t="s">
        <v>21</v>
      </c>
      <c r="H19" s="77"/>
      <c r="I19" s="92" t="s">
        <v>21</v>
      </c>
      <c r="J19" s="77"/>
      <c r="K19" s="76"/>
    </row>
    <row r="20" spans="1:11" ht="15.75">
      <c r="A20" s="95"/>
      <c r="B20" s="89"/>
      <c r="C20" s="101"/>
      <c r="D20" s="89"/>
      <c r="E20" s="101"/>
      <c r="F20" s="89"/>
      <c r="G20" s="101"/>
      <c r="H20" s="89"/>
      <c r="I20" s="101"/>
      <c r="J20" s="89"/>
      <c r="K20" s="76"/>
    </row>
    <row r="21" spans="1:11" ht="15.75">
      <c r="A21" s="95"/>
      <c r="B21" s="89"/>
      <c r="C21" s="101"/>
      <c r="D21" s="89"/>
      <c r="E21" s="101"/>
      <c r="F21" s="89"/>
      <c r="G21" s="101"/>
      <c r="H21" s="89"/>
      <c r="I21" s="101"/>
      <c r="J21" s="89"/>
      <c r="K21" s="76"/>
    </row>
    <row r="22" spans="1:11" ht="15.75">
      <c r="A22" s="95"/>
      <c r="B22" s="89"/>
      <c r="C22" s="104"/>
      <c r="D22" s="89"/>
      <c r="E22" s="104"/>
      <c r="F22" s="89"/>
      <c r="G22" s="104"/>
      <c r="H22" s="89"/>
      <c r="I22" s="98"/>
      <c r="J22" s="89"/>
      <c r="K22" s="76"/>
    </row>
    <row r="23" spans="1:11" ht="15.75">
      <c r="A23" s="95"/>
      <c r="B23" s="89"/>
      <c r="C23" s="101"/>
      <c r="D23" s="89"/>
      <c r="E23" s="101"/>
      <c r="F23" s="89"/>
      <c r="G23" s="101"/>
      <c r="H23" s="89"/>
      <c r="I23" s="101"/>
      <c r="J23" s="89"/>
      <c r="K23" s="76"/>
    </row>
    <row r="24" spans="1:11" ht="15.75">
      <c r="A24" s="95"/>
      <c r="B24" s="89"/>
      <c r="C24" s="104"/>
      <c r="D24" s="89"/>
      <c r="E24" s="104"/>
      <c r="F24" s="89"/>
      <c r="G24" s="104"/>
      <c r="H24" s="89"/>
      <c r="I24" s="98"/>
      <c r="J24" s="89"/>
      <c r="K24" s="76"/>
    </row>
    <row r="25" spans="1:11" ht="15.75">
      <c r="A25" s="95"/>
      <c r="B25" s="89"/>
      <c r="C25" s="101"/>
      <c r="D25" s="89"/>
      <c r="E25" s="101"/>
      <c r="F25" s="89"/>
      <c r="G25" s="101"/>
      <c r="H25" s="89"/>
      <c r="I25" s="101"/>
      <c r="J25" s="89"/>
      <c r="K25" s="76"/>
    </row>
    <row r="26" spans="1:11" ht="15.75">
      <c r="A26" s="95"/>
      <c r="B26" s="89"/>
      <c r="C26" s="101"/>
      <c r="D26" s="89"/>
      <c r="E26" s="101"/>
      <c r="F26" s="89"/>
      <c r="G26" s="101"/>
      <c r="H26" s="89"/>
      <c r="I26" s="101"/>
      <c r="J26" s="89"/>
      <c r="K26" s="76"/>
    </row>
    <row r="27" spans="1:11" ht="15.75">
      <c r="A27" s="95"/>
      <c r="B27" s="89"/>
      <c r="C27" s="95"/>
      <c r="D27" s="89"/>
      <c r="E27" s="95"/>
      <c r="F27" s="89"/>
      <c r="G27" s="101"/>
      <c r="H27" s="89"/>
      <c r="I27" s="101"/>
      <c r="J27" s="89"/>
      <c r="K27" s="76"/>
    </row>
    <row r="28" spans="1:11" ht="15.75">
      <c r="A28" s="92" t="s">
        <v>22</v>
      </c>
      <c r="B28" s="91">
        <f>SUM(B20:B27)</f>
        <v>0</v>
      </c>
      <c r="C28" s="92" t="s">
        <v>22</v>
      </c>
      <c r="D28" s="91">
        <f>SUM(D20:D27)</f>
        <v>0</v>
      </c>
      <c r="E28" s="92" t="s">
        <v>22</v>
      </c>
      <c r="F28" s="105">
        <f>SUM(F20:F27)</f>
        <v>0</v>
      </c>
      <c r="G28" s="92" t="s">
        <v>22</v>
      </c>
      <c r="H28" s="105">
        <f>SUM(H20:H27)</f>
        <v>0</v>
      </c>
      <c r="I28" s="92" t="s">
        <v>22</v>
      </c>
      <c r="J28" s="91">
        <f>SUM(J20:J27)</f>
        <v>0</v>
      </c>
      <c r="K28" s="91">
        <f>SUM(B28+D28+F28+H28+J28)</f>
        <v>0</v>
      </c>
    </row>
    <row r="29" spans="1:12" ht="15.75">
      <c r="A29" s="92" t="s">
        <v>274</v>
      </c>
      <c r="B29" s="91">
        <f>SUM(B18-B28)</f>
        <v>0</v>
      </c>
      <c r="C29" s="92" t="s">
        <v>274</v>
      </c>
      <c r="D29" s="91">
        <f>SUM(D18-D28)</f>
        <v>0</v>
      </c>
      <c r="E29" s="92" t="s">
        <v>274</v>
      </c>
      <c r="F29" s="91">
        <f>SUM(F18-F28)</f>
        <v>0</v>
      </c>
      <c r="G29" s="92" t="s">
        <v>274</v>
      </c>
      <c r="H29" s="91">
        <f>SUM(H18-H28)</f>
        <v>0</v>
      </c>
      <c r="I29" s="92" t="s">
        <v>274</v>
      </c>
      <c r="J29" s="91">
        <f>SUM(J18-J28)</f>
        <v>0</v>
      </c>
      <c r="K29" s="106">
        <f>SUM(B29+D29+F29+H29+J29)</f>
        <v>0</v>
      </c>
      <c r="L29" s="68" t="s">
        <v>275</v>
      </c>
    </row>
    <row r="30" spans="1:12" ht="15.75">
      <c r="A30" s="92"/>
      <c r="B30" s="111">
        <f>IF(B29&lt;0,"See Tab B","")</f>
      </c>
      <c r="C30" s="92"/>
      <c r="D30" s="111">
        <f>IF(D29&lt;0,"See Tab B","")</f>
      </c>
      <c r="E30" s="92"/>
      <c r="F30" s="111">
        <f>IF(F29&lt;0,"See Tab B","")</f>
      </c>
      <c r="G30" s="77"/>
      <c r="H30" s="111">
        <f>IF(H29&lt;0,"See Tab B","")</f>
      </c>
      <c r="I30" s="77"/>
      <c r="J30" s="111">
        <f>IF(J29&lt;0,"See Tab B","")</f>
      </c>
      <c r="K30" s="106">
        <f>SUM(K7+K17-K28)</f>
        <v>0</v>
      </c>
      <c r="L30" s="68" t="s">
        <v>275</v>
      </c>
    </row>
    <row r="31" spans="1:11" ht="15.75">
      <c r="A31" s="77"/>
      <c r="B31" s="107"/>
      <c r="C31" s="77"/>
      <c r="D31" s="76"/>
      <c r="E31" s="77"/>
      <c r="F31" s="77"/>
      <c r="G31" s="108" t="s">
        <v>276</v>
      </c>
      <c r="H31" s="108"/>
      <c r="I31" s="108"/>
      <c r="J31" s="108"/>
      <c r="K31" s="77"/>
    </row>
    <row r="32" spans="1:11" ht="15.75">
      <c r="A32" s="77"/>
      <c r="B32" s="107"/>
      <c r="C32" s="77"/>
      <c r="D32" s="77"/>
      <c r="E32" s="77"/>
      <c r="F32" s="77"/>
      <c r="G32" s="77"/>
      <c r="H32" s="77"/>
      <c r="I32" s="77"/>
      <c r="J32" s="77"/>
      <c r="K32" s="77"/>
    </row>
    <row r="33" spans="1:11" ht="15.75">
      <c r="A33" s="77"/>
      <c r="B33" s="107"/>
      <c r="C33" s="77"/>
      <c r="D33" s="77"/>
      <c r="E33" s="109" t="s">
        <v>5</v>
      </c>
      <c r="F33" s="751"/>
      <c r="G33" s="77"/>
      <c r="H33" s="77"/>
      <c r="I33" s="77"/>
      <c r="J33" s="77"/>
      <c r="K33" s="77"/>
    </row>
    <row r="34" ht="15.75">
      <c r="B34" s="110"/>
    </row>
    <row r="35" ht="15.75">
      <c r="B35" s="110"/>
    </row>
    <row r="36" ht="15.75">
      <c r="B36" s="110"/>
    </row>
    <row r="37" ht="15.75">
      <c r="B37" s="110"/>
    </row>
    <row r="38" ht="15.75">
      <c r="B38" s="110"/>
    </row>
    <row r="39" ht="15.75">
      <c r="B39" s="110"/>
    </row>
    <row r="40" ht="15.75">
      <c r="B40" s="110"/>
    </row>
    <row r="41" ht="15.75">
      <c r="B41" s="110"/>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8"/>
  <sheetViews>
    <sheetView zoomScalePageLayoutView="0" workbookViewId="0" topLeftCell="A10">
      <selection activeCell="B37" sqref="B37"/>
    </sheetView>
  </sheetViews>
  <sheetFormatPr defaultColWidth="8.796875" defaultRowHeight="15.75"/>
  <cols>
    <col min="1" max="1" width="10.69921875" style="5" customWidth="1"/>
    <col min="2" max="2" width="21"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838" t="s">
        <v>799</v>
      </c>
      <c r="B1" s="839"/>
      <c r="C1" s="839"/>
      <c r="D1" s="839"/>
      <c r="E1" s="839"/>
    </row>
    <row r="2" spans="1:5" ht="15.75">
      <c r="A2" s="271"/>
      <c r="B2" s="3"/>
      <c r="C2" s="3"/>
      <c r="D2" s="3"/>
      <c r="E2" s="3"/>
    </row>
    <row r="3" spans="1:5" ht="15.75">
      <c r="A3" s="56" t="s">
        <v>807</v>
      </c>
      <c r="B3" s="3"/>
      <c r="C3" s="3"/>
      <c r="D3" s="679"/>
      <c r="E3" s="8"/>
    </row>
    <row r="4" spans="1:5" ht="15.75">
      <c r="A4" s="56" t="s">
        <v>808</v>
      </c>
      <c r="B4" s="3"/>
      <c r="C4" s="3"/>
      <c r="D4" s="679"/>
      <c r="E4" s="8"/>
    </row>
    <row r="5" spans="1:5" ht="15.75">
      <c r="A5" s="3"/>
      <c r="B5" s="3"/>
      <c r="C5" s="3"/>
      <c r="D5" s="3"/>
      <c r="E5" s="3"/>
    </row>
    <row r="6" spans="1:5" ht="15.75">
      <c r="A6" s="6" t="s">
        <v>800</v>
      </c>
      <c r="B6" s="3"/>
      <c r="C6" s="3"/>
      <c r="D6" s="272"/>
      <c r="E6" s="3"/>
    </row>
    <row r="7" spans="1:5" ht="15.75">
      <c r="A7" s="6"/>
      <c r="B7" s="3"/>
      <c r="C7" s="3"/>
      <c r="D7" s="3"/>
      <c r="E7" s="3"/>
    </row>
    <row r="8" spans="1:5" ht="15.75">
      <c r="A8" s="6" t="s">
        <v>973</v>
      </c>
      <c r="B8" s="3"/>
      <c r="C8" s="3"/>
      <c r="D8" s="832"/>
      <c r="E8" s="3"/>
    </row>
    <row r="9" spans="1:5" ht="15.75">
      <c r="A9" s="3"/>
      <c r="B9" s="3"/>
      <c r="C9" s="3"/>
      <c r="D9" s="3"/>
      <c r="E9" s="3"/>
    </row>
    <row r="10" spans="1:8" ht="15.75" customHeight="1">
      <c r="A10" s="840" t="s">
        <v>801</v>
      </c>
      <c r="B10" s="840"/>
      <c r="C10" s="840"/>
      <c r="D10" s="840"/>
      <c r="E10" s="840"/>
      <c r="F10" s="3"/>
      <c r="G10" s="841" t="s">
        <v>803</v>
      </c>
      <c r="H10" s="842"/>
    </row>
    <row r="11" spans="1:8" ht="15.75">
      <c r="A11" s="840"/>
      <c r="B11" s="840"/>
      <c r="C11" s="840"/>
      <c r="D11" s="840"/>
      <c r="E11" s="840"/>
      <c r="F11" s="3"/>
      <c r="G11" s="843"/>
      <c r="H11" s="844"/>
    </row>
    <row r="12" spans="1:8" ht="15.75">
      <c r="A12" s="840"/>
      <c r="B12" s="840"/>
      <c r="C12" s="840"/>
      <c r="D12" s="840"/>
      <c r="E12" s="840"/>
      <c r="F12" s="3"/>
      <c r="G12" s="843"/>
      <c r="H12" s="844"/>
    </row>
    <row r="13" spans="1:8" ht="15.75">
      <c r="A13" s="836" t="s">
        <v>802</v>
      </c>
      <c r="B13" s="837"/>
      <c r="C13" s="837"/>
      <c r="D13" s="837"/>
      <c r="E13" s="837"/>
      <c r="F13" s="3"/>
      <c r="G13" s="843"/>
      <c r="H13" s="844"/>
    </row>
    <row r="14" spans="1:8" ht="15.75">
      <c r="A14" s="56"/>
      <c r="B14" s="3"/>
      <c r="C14" s="3"/>
      <c r="D14" s="3"/>
      <c r="E14" s="3"/>
      <c r="F14" s="3"/>
      <c r="G14" s="843"/>
      <c r="H14" s="844"/>
    </row>
    <row r="15" spans="1:8" ht="15.75">
      <c r="A15" s="746" t="s">
        <v>119</v>
      </c>
      <c r="B15" s="745"/>
      <c r="C15" s="3"/>
      <c r="D15" s="38"/>
      <c r="E15" s="273"/>
      <c r="F15" s="3"/>
      <c r="G15" s="843"/>
      <c r="H15" s="844"/>
    </row>
    <row r="16" spans="1:8" ht="15.75">
      <c r="A16" s="744" t="str">
        <f>CONCATENATE("the ",D6-1," Budget, Certificate Page:")</f>
        <v>the -1 Budget, Certificate Page:</v>
      </c>
      <c r="B16" s="743"/>
      <c r="C16" s="38"/>
      <c r="D16" s="3"/>
      <c r="E16" s="3"/>
      <c r="F16" s="3"/>
      <c r="G16" s="845"/>
      <c r="H16" s="846"/>
    </row>
    <row r="17" spans="1:8" ht="15.75">
      <c r="A17" s="742" t="s">
        <v>261</v>
      </c>
      <c r="B17" s="741"/>
      <c r="C17" s="38"/>
      <c r="D17" s="274">
        <f>$D$6-1</f>
        <v>-1</v>
      </c>
      <c r="E17" s="275">
        <f>$D$6-2</f>
        <v>-2</v>
      </c>
      <c r="F17" s="524"/>
      <c r="G17" s="158" t="s">
        <v>636</v>
      </c>
      <c r="H17" s="166" t="s">
        <v>25</v>
      </c>
    </row>
    <row r="18" spans="1:8" ht="15.75">
      <c r="A18" s="11" t="s">
        <v>233</v>
      </c>
      <c r="B18" s="3"/>
      <c r="C18" s="276" t="s">
        <v>232</v>
      </c>
      <c r="D18" s="277" t="s">
        <v>278</v>
      </c>
      <c r="E18" s="278" t="s">
        <v>12</v>
      </c>
      <c r="F18" s="524"/>
      <c r="G18" s="164" t="str">
        <f>CONCATENATE("",E17," Ad Valorem Tax")</f>
        <v>-2 Ad Valorem Tax</v>
      </c>
      <c r="H18" s="666">
        <v>0</v>
      </c>
    </row>
    <row r="19" spans="1:7" ht="15.75">
      <c r="A19" s="3"/>
      <c r="B19" s="60" t="s">
        <v>234</v>
      </c>
      <c r="C19" s="148" t="s">
        <v>235</v>
      </c>
      <c r="D19" s="174"/>
      <c r="E19" s="174"/>
      <c r="F19" s="524"/>
      <c r="G19" s="21">
        <f>IF(H18&gt;0,ROUND(E19-(E19*H18),0),0)</f>
        <v>0</v>
      </c>
    </row>
    <row r="20" spans="1:7" ht="15.75">
      <c r="A20" s="3"/>
      <c r="B20" s="60" t="s">
        <v>259</v>
      </c>
      <c r="C20" s="148" t="s">
        <v>124</v>
      </c>
      <c r="D20" s="174"/>
      <c r="E20" s="174"/>
      <c r="F20" s="524"/>
      <c r="G20" s="21">
        <f>IF(H18&gt;0,ROUND(E20-(E20*H18),0),0)</f>
        <v>0</v>
      </c>
    </row>
    <row r="21" spans="1:7" ht="15.75">
      <c r="A21" s="3"/>
      <c r="B21" s="60" t="s">
        <v>704</v>
      </c>
      <c r="C21" s="623" t="s">
        <v>705</v>
      </c>
      <c r="D21" s="174"/>
      <c r="E21" s="174"/>
      <c r="F21" s="524"/>
      <c r="G21" s="21">
        <f>IF(H18&gt;0,ROUND(E21-(E21*H18),0),0)</f>
        <v>0</v>
      </c>
    </row>
    <row r="22" spans="1:7" ht="15.75">
      <c r="A22" s="3"/>
      <c r="B22" s="60" t="s">
        <v>236</v>
      </c>
      <c r="C22" s="166" t="s">
        <v>260</v>
      </c>
      <c r="D22" s="174"/>
      <c r="E22" s="174"/>
      <c r="F22" s="524"/>
      <c r="G22" s="21">
        <f>IF(H18&gt;0,ROUND(E22-(E22*H18),0),0)</f>
        <v>0</v>
      </c>
    </row>
    <row r="23" spans="1:7" ht="15.75">
      <c r="A23" s="3"/>
      <c r="B23" s="334"/>
      <c r="C23" s="335"/>
      <c r="D23" s="174"/>
      <c r="E23" s="174"/>
      <c r="F23" s="524"/>
      <c r="G23" s="21">
        <f>IF(H18&gt;0,ROUND(E23-(E23*H18),0),0)</f>
        <v>0</v>
      </c>
    </row>
    <row r="24" spans="1:7" ht="15.75">
      <c r="A24" s="3"/>
      <c r="B24" s="174"/>
      <c r="C24" s="346"/>
      <c r="D24" s="174"/>
      <c r="E24" s="174"/>
      <c r="F24" s="524"/>
      <c r="G24" s="21">
        <f>IF(H18&gt;0,ROUND(E24-(E24*H18),0),0)</f>
        <v>0</v>
      </c>
    </row>
    <row r="25" spans="1:7" ht="15.75">
      <c r="A25" s="3"/>
      <c r="B25" s="64"/>
      <c r="C25" s="346"/>
      <c r="D25" s="174"/>
      <c r="E25" s="174"/>
      <c r="F25" s="524"/>
      <c r="G25" s="21">
        <f>IF(H18&gt;0,ROUND(E25-(E25*H18),0),0)</f>
        <v>0</v>
      </c>
    </row>
    <row r="26" spans="1:7" ht="15.75">
      <c r="A26" s="3"/>
      <c r="B26" s="64"/>
      <c r="C26" s="346"/>
      <c r="D26" s="174"/>
      <c r="E26" s="174"/>
      <c r="F26" s="524"/>
      <c r="G26" s="21">
        <f>IF(H18&gt;0,ROUND(E26-(E26*H18),0),0)</f>
        <v>0</v>
      </c>
    </row>
    <row r="27" spans="1:7" ht="15.75">
      <c r="A27" s="3"/>
      <c r="B27" s="64"/>
      <c r="C27" s="346"/>
      <c r="D27" s="174"/>
      <c r="E27" s="174"/>
      <c r="F27" s="524"/>
      <c r="G27" s="21">
        <f>IF(H18&gt;0,ROUND(E27-(E27*H18),0),0)</f>
        <v>0</v>
      </c>
    </row>
    <row r="28" spans="1:7" ht="15.75">
      <c r="A28" s="3"/>
      <c r="B28" s="64"/>
      <c r="C28" s="346"/>
      <c r="D28" s="174"/>
      <c r="E28" s="174"/>
      <c r="F28" s="524"/>
      <c r="G28" s="21">
        <f>IF(H18&gt;0,ROUND(E28-(E28*H18),0),0)</f>
        <v>0</v>
      </c>
    </row>
    <row r="29" spans="1:6" ht="15.75">
      <c r="A29" s="279" t="str">
        <f>CONCATENATE("Total Ad Valorem Tax for ",D6-1," Budgeted Year")</f>
        <v>Total Ad Valorem Tax for -1 Budgeted Year</v>
      </c>
      <c r="B29" s="9"/>
      <c r="C29" s="245"/>
      <c r="D29" s="280"/>
      <c r="E29" s="281">
        <f>SUM(E19:E28)</f>
        <v>0</v>
      </c>
      <c r="F29" s="747"/>
    </row>
    <row r="30" spans="1:5" ht="15.75">
      <c r="A30" s="8"/>
      <c r="B30" s="8"/>
      <c r="C30" s="8"/>
      <c r="D30" s="13"/>
      <c r="E30" s="127"/>
    </row>
    <row r="31" spans="1:5" ht="15.75">
      <c r="A31" s="3" t="s">
        <v>115</v>
      </c>
      <c r="B31" s="3"/>
      <c r="C31" s="3"/>
      <c r="D31" s="3"/>
      <c r="E31" s="3"/>
    </row>
    <row r="32" spans="1:5" ht="15.75">
      <c r="A32" s="3"/>
      <c r="B32" s="211"/>
      <c r="C32" s="3"/>
      <c r="D32" s="25"/>
      <c r="E32" s="8"/>
    </row>
    <row r="33" spans="1:5" ht="15.75">
      <c r="A33" s="3"/>
      <c r="B33" s="211"/>
      <c r="C33" s="3"/>
      <c r="D33" s="25"/>
      <c r="E33" s="8"/>
    </row>
    <row r="34" spans="1:5" ht="15.75">
      <c r="A34" s="279" t="str">
        <f>CONCATENATE("Total Expenditures for ",D6-1,"")</f>
        <v>Total Expenditures for -1</v>
      </c>
      <c r="B34" s="282"/>
      <c r="C34" s="237"/>
      <c r="D34" s="145">
        <f>SUM(D19:D28,D32:D33)</f>
        <v>0</v>
      </c>
      <c r="E34" s="3"/>
    </row>
    <row r="35" spans="1:5" ht="15.75">
      <c r="A35" s="3"/>
      <c r="B35" s="3"/>
      <c r="C35" s="3"/>
      <c r="D35" s="3"/>
      <c r="E35" s="3"/>
    </row>
    <row r="36" spans="1:5" ht="15.75">
      <c r="A36" s="250" t="s">
        <v>277</v>
      </c>
      <c r="B36" s="8"/>
      <c r="C36" s="3"/>
      <c r="D36" s="3"/>
      <c r="E36" s="3"/>
    </row>
    <row r="37" spans="1:5" ht="15.75">
      <c r="A37" s="283">
        <v>1</v>
      </c>
      <c r="B37" s="211"/>
      <c r="C37" s="3"/>
      <c r="D37" s="3"/>
      <c r="E37" s="3"/>
    </row>
    <row r="38" spans="1:5" ht="15.75">
      <c r="A38" s="283">
        <v>2</v>
      </c>
      <c r="B38" s="211"/>
      <c r="C38" s="3"/>
      <c r="D38" s="3"/>
      <c r="E38" s="3"/>
    </row>
    <row r="39" spans="1:5" ht="15.75">
      <c r="A39" s="283">
        <v>3</v>
      </c>
      <c r="B39" s="211"/>
      <c r="C39" s="3"/>
      <c r="D39" s="3"/>
      <c r="E39" s="3"/>
    </row>
    <row r="40" spans="1:5" ht="15.75">
      <c r="A40" s="283">
        <v>4</v>
      </c>
      <c r="B40" s="211"/>
      <c r="C40" s="3"/>
      <c r="D40" s="3"/>
      <c r="E40" s="3"/>
    </row>
    <row r="41" spans="1:5" ht="15.75">
      <c r="A41" s="283">
        <v>5</v>
      </c>
      <c r="B41" s="211"/>
      <c r="C41" s="3"/>
      <c r="D41" s="3"/>
      <c r="E41" s="3"/>
    </row>
    <row r="42" spans="1:5" ht="15.75">
      <c r="A42" s="3"/>
      <c r="B42" s="3"/>
      <c r="C42" s="3"/>
      <c r="D42" s="3"/>
      <c r="E42" s="3"/>
    </row>
    <row r="43" spans="1:5" ht="15.75" customHeight="1">
      <c r="A43" s="746" t="s">
        <v>119</v>
      </c>
      <c r="B43" s="745"/>
      <c r="C43" s="3"/>
      <c r="D43" s="834" t="str">
        <f>CONCATENATE("",D6-3," Tax Rate                    (",D6-2," Column)")</f>
        <v>-3 Tax Rate                    (-2 Column)</v>
      </c>
      <c r="E43" s="3"/>
    </row>
    <row r="44" spans="1:5" ht="15.75">
      <c r="A44" s="742" t="str">
        <f>CONCATENATE("the ",D6-1," Budget, Budget Summary Page:")</f>
        <v>the -1 Budget, Budget Summary Page:</v>
      </c>
      <c r="B44" s="739"/>
      <c r="C44" s="3"/>
      <c r="D44" s="835"/>
      <c r="E44" s="3"/>
    </row>
    <row r="45" spans="1:5" ht="15.75">
      <c r="A45" s="3"/>
      <c r="B45" s="740" t="str">
        <f>B19</f>
        <v>General</v>
      </c>
      <c r="C45" s="3"/>
      <c r="D45" s="284"/>
      <c r="E45" s="3"/>
    </row>
    <row r="46" spans="1:5" ht="15.75">
      <c r="A46" s="3"/>
      <c r="B46" s="72" t="str">
        <f>B20</f>
        <v>Debt Service</v>
      </c>
      <c r="C46" s="3"/>
      <c r="D46" s="285"/>
      <c r="E46" s="3"/>
    </row>
    <row r="47" spans="1:5" ht="15.75">
      <c r="A47" s="3"/>
      <c r="B47" s="72" t="str">
        <f>B21</f>
        <v>Library</v>
      </c>
      <c r="C47" s="3"/>
      <c r="D47" s="285"/>
      <c r="E47" s="3"/>
    </row>
    <row r="48" spans="1:5" ht="15.75">
      <c r="A48" s="3"/>
      <c r="B48" s="72" t="str">
        <f aca="true" t="shared" si="0" ref="B48:B54">B22</f>
        <v>Road</v>
      </c>
      <c r="C48" s="3"/>
      <c r="D48" s="285"/>
      <c r="E48" s="3"/>
    </row>
    <row r="49" spans="1:5" ht="15.75">
      <c r="A49" s="3"/>
      <c r="B49" s="60">
        <f t="shared" si="0"/>
        <v>0</v>
      </c>
      <c r="C49" s="3"/>
      <c r="D49" s="285"/>
      <c r="E49" s="3"/>
    </row>
    <row r="50" spans="1:5" ht="15.75">
      <c r="A50" s="3"/>
      <c r="B50" s="60">
        <f t="shared" si="0"/>
        <v>0</v>
      </c>
      <c r="C50" s="3"/>
      <c r="D50" s="285"/>
      <c r="E50" s="3"/>
    </row>
    <row r="51" spans="1:5" ht="15.75">
      <c r="A51" s="3"/>
      <c r="B51" s="60">
        <f t="shared" si="0"/>
        <v>0</v>
      </c>
      <c r="C51" s="3"/>
      <c r="D51" s="285"/>
      <c r="E51" s="3"/>
    </row>
    <row r="52" spans="1:5" ht="15.75">
      <c r="A52" s="3"/>
      <c r="B52" s="60">
        <f t="shared" si="0"/>
        <v>0</v>
      </c>
      <c r="C52" s="3"/>
      <c r="D52" s="285"/>
      <c r="E52" s="3"/>
    </row>
    <row r="53" spans="1:5" ht="15.75">
      <c r="A53" s="3"/>
      <c r="B53" s="60">
        <f t="shared" si="0"/>
        <v>0</v>
      </c>
      <c r="C53" s="3"/>
      <c r="D53" s="285"/>
      <c r="E53" s="3"/>
    </row>
    <row r="54" spans="1:5" ht="15.75">
      <c r="A54" s="3"/>
      <c r="B54" s="60">
        <f t="shared" si="0"/>
        <v>0</v>
      </c>
      <c r="C54" s="3"/>
      <c r="D54" s="285"/>
      <c r="E54" s="3"/>
    </row>
    <row r="55" spans="1:5" ht="16.5" thickBot="1">
      <c r="A55" s="59" t="str">
        <f>CONCATENATE("Total ",D6-3," Tax Levy Rate")</f>
        <v>Total -3 Tax Levy Rate</v>
      </c>
      <c r="B55" s="286"/>
      <c r="C55" s="237"/>
      <c r="D55" s="287">
        <f>SUM(D45:D54)</f>
        <v>0</v>
      </c>
      <c r="E55" s="3"/>
    </row>
    <row r="56" spans="1:5" ht="16.5" thickTop="1">
      <c r="A56" s="3"/>
      <c r="B56" s="3"/>
      <c r="C56" s="3"/>
      <c r="D56" s="3"/>
      <c r="E56" s="3"/>
    </row>
    <row r="57" spans="1:5" ht="15.75">
      <c r="A57" s="738" t="str">
        <f>CONCATENATE("Total Tax Levied (",D6-2," budget column)")</f>
        <v>Total Tax Levied (-2 budget column)</v>
      </c>
      <c r="B57" s="737"/>
      <c r="C57" s="9"/>
      <c r="D57" s="237"/>
      <c r="E57" s="174"/>
    </row>
    <row r="58" spans="1:5" ht="15.75">
      <c r="A58" s="738" t="str">
        <f>CONCATENATE("Assessed Valuation (",D6-2," budget column)")</f>
        <v>Assessed Valuation (-2 budget column)</v>
      </c>
      <c r="B58" s="737"/>
      <c r="C58" s="245"/>
      <c r="D58" s="17"/>
      <c r="E58" s="174"/>
    </row>
    <row r="59" spans="1:5" ht="15.75">
      <c r="A59" s="250"/>
      <c r="B59" s="8"/>
      <c r="C59" s="8"/>
      <c r="D59" s="8"/>
      <c r="E59" s="256"/>
    </row>
    <row r="60" spans="1:5" ht="15.75">
      <c r="A60" s="3"/>
      <c r="B60" s="3"/>
      <c r="C60" s="3"/>
      <c r="D60" s="3"/>
      <c r="E60" s="44"/>
    </row>
    <row r="61" spans="1:5" ht="15.75">
      <c r="A61" s="736" t="s">
        <v>167</v>
      </c>
      <c r="B61" s="745"/>
      <c r="C61" s="116"/>
      <c r="D61" s="289">
        <f>D6-3</f>
        <v>-3</v>
      </c>
      <c r="E61" s="289">
        <f>D6-2</f>
        <v>-2</v>
      </c>
    </row>
    <row r="62" spans="1:5" ht="15.75">
      <c r="A62" s="735" t="s">
        <v>133</v>
      </c>
      <c r="B62" s="734"/>
      <c r="C62" s="290"/>
      <c r="D62" s="25"/>
      <c r="E62" s="25"/>
    </row>
    <row r="63" spans="1:5" ht="15.75">
      <c r="A63" s="733" t="s">
        <v>134</v>
      </c>
      <c r="B63" s="737"/>
      <c r="C63" s="291"/>
      <c r="D63" s="25"/>
      <c r="E63" s="25"/>
    </row>
    <row r="64" spans="1:5" ht="15.75">
      <c r="A64" s="733" t="s">
        <v>135</v>
      </c>
      <c r="B64" s="737"/>
      <c r="C64" s="291"/>
      <c r="D64" s="25"/>
      <c r="E64" s="25"/>
    </row>
    <row r="65" spans="1:5" ht="15.75">
      <c r="A65" s="733"/>
      <c r="B65" s="737"/>
      <c r="C65" s="292"/>
      <c r="D65" s="25"/>
      <c r="E65" s="25"/>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ht="15.75">
      <c r="A73" s="1"/>
      <c r="B73" s="1"/>
      <c r="C73" s="1"/>
      <c r="D73" s="1"/>
      <c r="E73" s="1"/>
    </row>
    <row r="74" spans="1:5" ht="15.75">
      <c r="A74" s="1"/>
      <c r="B74" s="1"/>
      <c r="C74" s="1"/>
      <c r="D74" s="1"/>
      <c r="E74" s="1"/>
    </row>
    <row r="75" spans="1:5" ht="15.75">
      <c r="A75" s="1"/>
      <c r="B75" s="1"/>
      <c r="C75" s="1"/>
      <c r="D75" s="1"/>
      <c r="E75" s="1"/>
    </row>
    <row r="76" spans="1:5" s="293" customFormat="1"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5" ht="15.75">
      <c r="A83" s="1"/>
      <c r="B83" s="1"/>
      <c r="C83" s="1"/>
      <c r="D83" s="1"/>
      <c r="E83" s="1"/>
    </row>
    <row r="84" spans="1:5" ht="15.75">
      <c r="A84" s="1"/>
      <c r="B84" s="1"/>
      <c r="C84" s="1"/>
      <c r="D84" s="1"/>
      <c r="E84" s="1"/>
    </row>
    <row r="85" spans="1:5" ht="15.75">
      <c r="A85" s="1"/>
      <c r="B85" s="1"/>
      <c r="C85" s="1"/>
      <c r="D85" s="1"/>
      <c r="E85" s="1"/>
    </row>
    <row r="86" spans="1:7" s="68" customFormat="1" ht="15.75">
      <c r="A86" s="1"/>
      <c r="B86" s="1"/>
      <c r="C86" s="1"/>
      <c r="D86" s="1"/>
      <c r="E86" s="1"/>
      <c r="G86" s="5"/>
    </row>
    <row r="87" spans="1:7" s="68" customFormat="1" ht="15.75">
      <c r="A87" s="1"/>
      <c r="B87" s="1"/>
      <c r="C87" s="1"/>
      <c r="D87" s="1"/>
      <c r="E87" s="1"/>
      <c r="G87" s="5"/>
    </row>
    <row r="88" spans="1:5" ht="15.75">
      <c r="A88" s="1"/>
      <c r="B88" s="1"/>
      <c r="C88" s="1"/>
      <c r="D88" s="1"/>
      <c r="E88" s="1"/>
    </row>
  </sheetData>
  <sheetProtection/>
  <mergeCells count="5">
    <mergeCell ref="D43:D44"/>
    <mergeCell ref="A13:E13"/>
    <mergeCell ref="A1:E1"/>
    <mergeCell ref="A10:E12"/>
    <mergeCell ref="G10: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M66" sqref="M66"/>
    </sheetView>
  </sheetViews>
  <sheetFormatPr defaultColWidth="8.796875" defaultRowHeight="15.75"/>
  <cols>
    <col min="1" max="1" width="62.3984375" style="1" customWidth="1"/>
    <col min="2" max="16384" width="8.796875" style="1" customWidth="1"/>
  </cols>
  <sheetData>
    <row r="1" ht="20.25">
      <c r="A1" s="150" t="s">
        <v>279</v>
      </c>
    </row>
    <row r="2" ht="54.75" customHeight="1">
      <c r="A2" s="151" t="s">
        <v>280</v>
      </c>
    </row>
    <row r="3" ht="15.75">
      <c r="A3" s="152"/>
    </row>
    <row r="4" ht="56.25" customHeight="1">
      <c r="A4" s="151" t="s">
        <v>281</v>
      </c>
    </row>
    <row r="5" ht="15.75">
      <c r="A5" s="68"/>
    </row>
    <row r="6" ht="50.25" customHeight="1">
      <c r="A6" s="151" t="s">
        <v>282</v>
      </c>
    </row>
    <row r="7" ht="16.5" customHeight="1">
      <c r="A7" s="151"/>
    </row>
    <row r="8" ht="50.25" customHeight="1">
      <c r="A8" s="429" t="s">
        <v>625</v>
      </c>
    </row>
    <row r="9" ht="15.75">
      <c r="A9" s="152"/>
    </row>
    <row r="10" ht="40.5" customHeight="1">
      <c r="A10" s="151" t="s">
        <v>283</v>
      </c>
    </row>
    <row r="11" ht="15.75">
      <c r="A11" s="68"/>
    </row>
    <row r="12" ht="40.5" customHeight="1">
      <c r="A12" s="151" t="s">
        <v>284</v>
      </c>
    </row>
    <row r="13" ht="15.75">
      <c r="A13" s="152"/>
    </row>
    <row r="14" ht="71.25" customHeight="1">
      <c r="A14" s="151" t="s">
        <v>285</v>
      </c>
    </row>
    <row r="15" ht="15.75">
      <c r="A15" s="152"/>
    </row>
    <row r="16" ht="40.5" customHeight="1">
      <c r="A16" s="151" t="s">
        <v>286</v>
      </c>
    </row>
    <row r="17" ht="15.75">
      <c r="A17" s="68"/>
    </row>
    <row r="18" ht="49.5" customHeight="1">
      <c r="A18" s="151" t="s">
        <v>287</v>
      </c>
    </row>
    <row r="19" ht="15.75">
      <c r="A19" s="152"/>
    </row>
    <row r="20" ht="52.5" customHeight="1">
      <c r="A20" s="151" t="s">
        <v>288</v>
      </c>
    </row>
    <row r="21" ht="15.75">
      <c r="A21" s="152"/>
    </row>
    <row r="22" ht="48.75" customHeight="1">
      <c r="A22" s="151" t="s">
        <v>289</v>
      </c>
    </row>
    <row r="23" ht="15.75">
      <c r="A23" s="152"/>
    </row>
    <row r="24" ht="15.75">
      <c r="A24" s="68"/>
    </row>
    <row r="25" ht="51.75" customHeight="1">
      <c r="A25" s="151" t="s">
        <v>290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P93" sqref="P9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2">
        <f>inputPrYr!D6</f>
        <v>0</v>
      </c>
    </row>
    <row r="2" spans="2:9" ht="15.75">
      <c r="B2" s="877" t="s">
        <v>67</v>
      </c>
      <c r="C2" s="860"/>
      <c r="D2" s="860"/>
      <c r="E2" s="860"/>
      <c r="F2" s="860"/>
      <c r="G2" s="860"/>
      <c r="H2" s="860"/>
      <c r="I2" s="860"/>
    </row>
    <row r="3" spans="2:9" ht="15.75">
      <c r="B3" s="3"/>
      <c r="C3" s="3"/>
      <c r="D3" s="3"/>
      <c r="E3" s="3"/>
      <c r="F3" s="3"/>
      <c r="G3" s="11" t="s">
        <v>33</v>
      </c>
      <c r="H3" s="11" t="s">
        <v>34</v>
      </c>
      <c r="I3" s="3"/>
    </row>
    <row r="4" spans="2:9" ht="15.75">
      <c r="B4" s="858" t="s">
        <v>35</v>
      </c>
      <c r="C4" s="858"/>
      <c r="D4" s="858"/>
      <c r="E4" s="858"/>
      <c r="F4" s="858"/>
      <c r="G4" s="858"/>
      <c r="H4" s="858"/>
      <c r="I4" s="858"/>
    </row>
    <row r="5" spans="2:9" ht="15.75">
      <c r="B5" s="838">
        <f>inputPrYr!D3</f>
        <v>0</v>
      </c>
      <c r="C5" s="838"/>
      <c r="D5" s="838"/>
      <c r="E5" s="838"/>
      <c r="F5" s="838"/>
      <c r="G5" s="838"/>
      <c r="H5" s="838"/>
      <c r="I5" s="838"/>
    </row>
    <row r="6" spans="2:9" ht="15.75">
      <c r="B6" s="838">
        <f>inputPrYr!D4</f>
        <v>0</v>
      </c>
      <c r="C6" s="838"/>
      <c r="D6" s="838"/>
      <c r="E6" s="838"/>
      <c r="F6" s="838"/>
      <c r="G6" s="838"/>
      <c r="H6" s="838"/>
      <c r="I6" s="838"/>
    </row>
    <row r="7" spans="2:9" ht="15.75">
      <c r="B7" s="858" t="str">
        <f>CONCATENATE("will meet on ",inputBudSum!B8," at ",inputBudSum!B10," at ",inputBudSum!B12," for the purpose of hearing and")</f>
        <v>will meet on  at  at  for the purpose of hearing and</v>
      </c>
      <c r="C7" s="858"/>
      <c r="D7" s="858"/>
      <c r="E7" s="858"/>
      <c r="F7" s="858"/>
      <c r="G7" s="858"/>
      <c r="H7" s="858"/>
      <c r="I7" s="858"/>
    </row>
    <row r="8" spans="2:9" ht="15.75">
      <c r="B8" s="134" t="s">
        <v>524</v>
      </c>
      <c r="C8" s="132"/>
      <c r="D8" s="132"/>
      <c r="E8" s="132"/>
      <c r="F8" s="132"/>
      <c r="G8" s="132"/>
      <c r="H8" s="132"/>
      <c r="I8" s="132"/>
    </row>
    <row r="9" spans="2:9" ht="15.75">
      <c r="B9" s="134" t="str">
        <f>CONCATENATE("Detailed budget information is available at ",inputBudSum!B15," and will be available at this hearing.")</f>
        <v>Detailed budget information is available at  and will be available at this hearing.</v>
      </c>
      <c r="C9" s="132"/>
      <c r="D9" s="132"/>
      <c r="E9" s="132"/>
      <c r="F9" s="132"/>
      <c r="G9" s="132"/>
      <c r="H9" s="132"/>
      <c r="I9" s="132"/>
    </row>
    <row r="10" spans="2:9" ht="15.75">
      <c r="B10" s="131" t="s">
        <v>68</v>
      </c>
      <c r="C10" s="135"/>
      <c r="D10" s="135"/>
      <c r="E10" s="135"/>
      <c r="F10" s="135"/>
      <c r="G10" s="135"/>
      <c r="H10" s="135"/>
      <c r="I10" s="135"/>
    </row>
    <row r="11" spans="2:9" ht="15.75">
      <c r="B11" s="134" t="str">
        <f>CONCATENATE("Proposed Budget ",I1," Expenditures and Amount of ",I1-1," Ad Valorem Tax establish the maximum limits")</f>
        <v>Proposed Budget 0 Expenditures and Amount of -1 Ad Valorem Tax establish the maximum limits</v>
      </c>
      <c r="C11" s="132"/>
      <c r="D11" s="132"/>
      <c r="E11" s="132"/>
      <c r="F11" s="132"/>
      <c r="G11" s="132"/>
      <c r="H11" s="132"/>
      <c r="I11" s="132"/>
    </row>
    <row r="12" spans="2:9" ht="15.75">
      <c r="B12" s="134" t="str">
        <f>CONCATENATE("of the ",I1," budget.  Estimated Tax Rate is subject to change depending on the final assessed valuation.")</f>
        <v>of the 0 budget.  Estimated Tax Rate is subject to change depending on the final assessed valuation.</v>
      </c>
      <c r="C12" s="132"/>
      <c r="D12" s="132"/>
      <c r="E12" s="132"/>
      <c r="F12" s="132"/>
      <c r="G12" s="132"/>
      <c r="H12" s="132"/>
      <c r="I12" s="132"/>
    </row>
    <row r="13" spans="2:10" ht="15.75">
      <c r="B13" s="11"/>
      <c r="C13" s="8"/>
      <c r="D13" s="8"/>
      <c r="E13" s="8"/>
      <c r="F13" s="8"/>
      <c r="G13" s="8"/>
      <c r="H13" s="8"/>
      <c r="I13" s="8"/>
      <c r="J13" s="136"/>
    </row>
    <row r="14" spans="2:10" ht="15.75">
      <c r="B14" s="3"/>
      <c r="C14" s="137" t="str">
        <f>CONCATENATE("Prior Year Actual ",I1-2,"")</f>
        <v>Prior Year Actual -2</v>
      </c>
      <c r="D14" s="138"/>
      <c r="E14" s="137" t="str">
        <f>CONCATENATE("Current Year Estimate ",I1-1,"")</f>
        <v>Current Year Estimate -1</v>
      </c>
      <c r="F14" s="139"/>
      <c r="G14" s="140" t="str">
        <f>CONCATENATE("Proposed Budget ",I1,"")</f>
        <v>Proposed Budget 0</v>
      </c>
      <c r="H14" s="141"/>
      <c r="I14" s="139"/>
      <c r="J14" s="136"/>
    </row>
    <row r="15" spans="2:10" ht="22.5" customHeight="1">
      <c r="B15" s="3"/>
      <c r="C15" s="57"/>
      <c r="D15" s="12" t="s">
        <v>28</v>
      </c>
      <c r="E15" s="12"/>
      <c r="F15" s="12" t="s">
        <v>28</v>
      </c>
      <c r="G15" s="142"/>
      <c r="H15" s="866" t="str">
        <f>CONCATENATE("Amount of ",I1-1," Ad Valorem Tax")</f>
        <v>Amount of -1 Ad Valorem Tax</v>
      </c>
      <c r="I15" s="12" t="s">
        <v>36</v>
      </c>
      <c r="J15" s="136"/>
    </row>
    <row r="16" spans="2:10" ht="15.75">
      <c r="B16" s="3"/>
      <c r="C16" s="143"/>
      <c r="D16" s="143" t="s">
        <v>37</v>
      </c>
      <c r="E16" s="143"/>
      <c r="F16" s="143" t="s">
        <v>37</v>
      </c>
      <c r="G16" s="143" t="s">
        <v>174</v>
      </c>
      <c r="H16" s="920"/>
      <c r="I16" s="143" t="s">
        <v>37</v>
      </c>
      <c r="J16" s="136"/>
    </row>
    <row r="17" spans="2:10" ht="15.75">
      <c r="B17" s="14" t="s">
        <v>247</v>
      </c>
      <c r="C17" s="15" t="s">
        <v>38</v>
      </c>
      <c r="D17" s="15" t="s">
        <v>39</v>
      </c>
      <c r="E17" s="15" t="s">
        <v>38</v>
      </c>
      <c r="F17" s="15" t="s">
        <v>39</v>
      </c>
      <c r="G17" s="15" t="s">
        <v>631</v>
      </c>
      <c r="H17" s="921"/>
      <c r="I17" s="15" t="s">
        <v>39</v>
      </c>
      <c r="J17" s="136"/>
    </row>
    <row r="18" spans="2:10" ht="15.75">
      <c r="B18" s="72" t="str">
        <f>inputPrYr!B19</f>
        <v>General</v>
      </c>
      <c r="C18" s="52" t="str">
        <f>IF(gen!$C$52&lt;&gt;0,gen!$C$52,"  ")</f>
        <v>  </v>
      </c>
      <c r="D18" s="472" t="str">
        <f>IF(inputPrYr!D45&gt;0,inputPrYr!D45,"  ")</f>
        <v>  </v>
      </c>
      <c r="E18" s="21" t="str">
        <f>IF(gen!$D$52&lt;&gt;0,gen!$D$52,"  ")</f>
        <v>  </v>
      </c>
      <c r="F18" s="220" t="str">
        <f>IF(inputOth!D17&gt;0,inputOth!D17,"  ")</f>
        <v>  </v>
      </c>
      <c r="G18" s="21" t="str">
        <f>IF(gen!$E$52&lt;&gt;0,gen!$E$52,"  ")</f>
        <v>  </v>
      </c>
      <c r="H18" s="21" t="str">
        <f>IF(gen!$E$59&lt;&gt;0,gen!$E$59," ")</f>
        <v> </v>
      </c>
      <c r="I18" s="474" t="str">
        <f>IF(gen!E59&gt;0,ROUND(H18/$G$37*1000,3)," ")</f>
        <v> </v>
      </c>
      <c r="J18" s="136"/>
    </row>
    <row r="19" spans="2:10" ht="15.75">
      <c r="B19" s="72" t="s">
        <v>259</v>
      </c>
      <c r="C19" s="21" t="str">
        <f>IF('DebtSvs-Library'!C35&lt;&gt;0,'DebtSvs-Library'!C35,"  ")</f>
        <v>  </v>
      </c>
      <c r="D19" s="472" t="str">
        <f>IF(inputPrYr!D46&gt;0,inputPrYr!D46,"  ")</f>
        <v>  </v>
      </c>
      <c r="E19" s="21" t="str">
        <f>IF('DebtSvs-Library'!D35&lt;&gt;0,'DebtSvs-Library'!D35,"  ")</f>
        <v>  </v>
      </c>
      <c r="F19" s="220" t="str">
        <f>IF(inputOth!D18&gt;0,inputOth!D18,"  ")</f>
        <v>  </v>
      </c>
      <c r="G19" s="21" t="str">
        <f>IF('DebtSvs-Library'!E35&lt;&gt;0,'DebtSvs-Library'!E35,"  ")</f>
        <v>  </v>
      </c>
      <c r="H19" s="21" t="str">
        <f>IF('DebtSvs-Library'!E42&lt;&gt;0,'DebtSvs-Library'!E42," ")</f>
        <v> </v>
      </c>
      <c r="I19" s="474" t="str">
        <f>IF('DebtSvs-Library'!E42&gt;0,ROUND(H19/$G$37*1000,3)," ")</f>
        <v> </v>
      </c>
      <c r="J19" s="136"/>
    </row>
    <row r="20" spans="2:10" ht="15.75">
      <c r="B20" s="72" t="str">
        <f>IF(inputPrYr!$B21&gt;"  ",inputPrYr!$B21,"  ")</f>
        <v>Library</v>
      </c>
      <c r="C20" s="21" t="str">
        <f>IF('DebtSvs-Library'!C77&lt;&gt;0,'DebtSvs-Library'!C77,"  ")</f>
        <v>  </v>
      </c>
      <c r="D20" s="472" t="str">
        <f>IF(inputPrYr!D47&gt;0,inputPrYr!D47,"  ")</f>
        <v>  </v>
      </c>
      <c r="E20" s="21" t="str">
        <f>IF('DebtSvs-Library'!D77&lt;&gt;0,'DebtSvs-Library'!D77,"  ")</f>
        <v>  </v>
      </c>
      <c r="F20" s="220" t="str">
        <f>IF(inputOth!D19&gt;0,inputOth!D19,"  ")</f>
        <v>  </v>
      </c>
      <c r="G20" s="21" t="str">
        <f>IF('DebtSvs-Library'!E77&lt;&gt;0,'DebtSvs-Library'!E77,"  ")</f>
        <v>  </v>
      </c>
      <c r="H20" s="21" t="str">
        <f>IF('DebtSvs-Library'!E84&lt;&gt;0,'DebtSvs-Library'!E84," ")</f>
        <v> </v>
      </c>
      <c r="I20" s="474" t="str">
        <f>IF('DebtSvs-Library'!E84&gt;0,ROUND(H20/$G$37*1000,3)," ")</f>
        <v> </v>
      </c>
      <c r="J20" s="136"/>
    </row>
    <row r="21" spans="2:14" ht="15.75">
      <c r="B21" s="72" t="str">
        <f>IF(inputPrYr!$B22&gt;"  ",inputPrYr!$B22,"  ")</f>
        <v>Road</v>
      </c>
      <c r="C21" s="21" t="str">
        <f>IF(road!$C$45&lt;&gt;0,road!$C$45,"  ")</f>
        <v>  </v>
      </c>
      <c r="D21" s="472" t="str">
        <f>IF(inputPrYr!D48&gt;0,inputPrYr!D48,"  ")</f>
        <v>  </v>
      </c>
      <c r="E21" s="21" t="str">
        <f>IF(road!$D$45&lt;&gt;0,road!$D$45,"  ")</f>
        <v>  </v>
      </c>
      <c r="F21" s="220" t="str">
        <f>IF(inputOth!D20&gt;0,inputOth!D20,"  ")</f>
        <v>  </v>
      </c>
      <c r="G21" s="21" t="str">
        <f>IF(road!$E$45&lt;&gt;0,road!$E$45,"  ")</f>
        <v>  </v>
      </c>
      <c r="H21" s="21" t="str">
        <f>IF(road!$E$52&lt;&gt;0,road!$E$52,"  ")</f>
        <v>  </v>
      </c>
      <c r="I21" s="474" t="str">
        <f>IF(road!E52&gt;0,ROUND(H21/$G$37*1000,3)," ")</f>
        <v> </v>
      </c>
      <c r="K21" s="925" t="str">
        <f>CONCATENATE("Estimated Value Of One Mill For ",I1,"")</f>
        <v>Estimated Value Of One Mill For 0</v>
      </c>
      <c r="L21" s="930"/>
      <c r="M21" s="930"/>
      <c r="N21" s="931"/>
    </row>
    <row r="22" spans="2:14" ht="15.75">
      <c r="B22" s="72" t="str">
        <f>IF(inputPrYr!$B23&gt;"  ",inputPrYr!$B23,"  ")</f>
        <v>  </v>
      </c>
      <c r="C22" s="21" t="str">
        <f>IF(levypage9!$C$35&lt;&gt;0,levypage9!$C$35,"  ")</f>
        <v>  </v>
      </c>
      <c r="D22" s="472" t="str">
        <f>IF(inputPrYr!D49&gt;0,inputPrYr!D49,"  ")</f>
        <v>  </v>
      </c>
      <c r="E22" s="21" t="str">
        <f>IF(levypage9!$D$35&lt;&gt;0,levypage9!$D$35,"  ")</f>
        <v>  </v>
      </c>
      <c r="F22" s="220" t="str">
        <f>IF(inputOth!D21&gt;0,inputOth!D21,"  ")</f>
        <v>  </v>
      </c>
      <c r="G22" s="21" t="str">
        <f>IF(levypage9!$E$35&lt;&gt;0,levypage9!$E$35,"  ")</f>
        <v>  </v>
      </c>
      <c r="H22" s="21" t="str">
        <f>IF(levypage9!$E$42&lt;&gt;0,levypage9!$E$42,"  ")</f>
        <v>  </v>
      </c>
      <c r="I22" s="474" t="str">
        <f>IF(levypage9!E42&gt;0,ROUND(H22/$G$37*1000,3)," ")</f>
        <v> </v>
      </c>
      <c r="K22" s="448"/>
      <c r="L22" s="449"/>
      <c r="M22" s="449"/>
      <c r="N22" s="450"/>
    </row>
    <row r="23" spans="2:14" ht="15.75">
      <c r="B23" s="72" t="str">
        <f>IF(inputPrYr!$B24&gt;"  ",inputPrYr!$B24,"  ")</f>
        <v>  </v>
      </c>
      <c r="C23" s="21" t="str">
        <f>IF(levypage9!$C$77&lt;&gt;0,levypage9!$C$77,"  ")</f>
        <v>  </v>
      </c>
      <c r="D23" s="472" t="str">
        <f>IF(inputPrYr!D50&gt;0,inputPrYr!D50,"  ")</f>
        <v>  </v>
      </c>
      <c r="E23" s="21" t="str">
        <f>IF(levypage9!$D$77&lt;&gt;0,levypage9!$D$77,"  ")</f>
        <v>  </v>
      </c>
      <c r="F23" s="220" t="str">
        <f>IF(inputOth!D22&gt;0,inputOth!D22,"  ")</f>
        <v>  </v>
      </c>
      <c r="G23" s="21" t="str">
        <f>IF(levypage9!$E$77&lt;&gt;0,levypage9!$E$77,"  ")</f>
        <v>  </v>
      </c>
      <c r="H23" s="21" t="str">
        <f>IF(levypage9!$E$84&lt;&gt;0,levypage9!$E$84,"  ")</f>
        <v>  </v>
      </c>
      <c r="I23" s="474" t="str">
        <f>IF(levypage9!E84&gt;0,ROUND(H23/$G$37*1000,3)," ")</f>
        <v> </v>
      </c>
      <c r="K23" s="451" t="s">
        <v>628</v>
      </c>
      <c r="L23" s="452"/>
      <c r="M23" s="452"/>
      <c r="N23" s="752">
        <f>ROUND(G37/1000,0)</f>
        <v>0</v>
      </c>
    </row>
    <row r="24" spans="2:9" ht="15.75">
      <c r="B24" s="72" t="str">
        <f>IF(inputPrYr!$B25&gt;"  ",inputPrYr!$B25,"  ")</f>
        <v>  </v>
      </c>
      <c r="C24" s="21" t="str">
        <f>IF(levypage10!$C$35&lt;&gt;0,levypage10!$C$35,"  ")</f>
        <v>  </v>
      </c>
      <c r="D24" s="472" t="str">
        <f>IF(inputPrYr!D51&gt;0,inputPrYr!D51,"  ")</f>
        <v>  </v>
      </c>
      <c r="E24" s="21" t="str">
        <f>IF(levypage10!$D$35&lt;&gt;0,levypage10!$D$35,"  ")</f>
        <v>  </v>
      </c>
      <c r="F24" s="220" t="str">
        <f>IF(inputOth!D23&gt;0,inputOth!D23,"  ")</f>
        <v>  </v>
      </c>
      <c r="G24" s="21" t="str">
        <f>IF(levypage10!$E$35&lt;&gt;0,levypage10!$E$35,"  ")</f>
        <v>  </v>
      </c>
      <c r="H24" s="21" t="str">
        <f>IF(levypage10!$E$42&lt;&gt;0,levypage10!$E$42,"  ")</f>
        <v>  </v>
      </c>
      <c r="I24" s="474" t="str">
        <f>IF(levypage10!E42&gt;0,ROUND(H24/$G$37*1000,3)," ")</f>
        <v> </v>
      </c>
    </row>
    <row r="25" spans="2:14" ht="15.75">
      <c r="B25" s="72" t="str">
        <f>IF(inputPrYr!$B26&gt;"  ",inputPrYr!$B26,"  ")</f>
        <v>  </v>
      </c>
      <c r="C25" s="21" t="str">
        <f>IF(levypage10!$C$77&lt;&gt;0,levypage10!$C$77,"  ")</f>
        <v>  </v>
      </c>
      <c r="D25" s="472" t="str">
        <f>IF(inputPrYr!D52&gt;0,inputPrYr!D52,"  ")</f>
        <v>  </v>
      </c>
      <c r="E25" s="21" t="str">
        <f>IF(levypage10!$D$77&lt;&gt;0,levypage10!$D$77,"  ")</f>
        <v>  </v>
      </c>
      <c r="F25" s="220" t="str">
        <f>IF(inputOth!D24&gt;0,inputOth!D24,"  ")</f>
        <v>  </v>
      </c>
      <c r="G25" s="21" t="str">
        <f>IF(levypage10!$E$77&lt;&gt;0,levypage10!$E$77,"  ")</f>
        <v>  </v>
      </c>
      <c r="H25" s="21" t="str">
        <f>IF(levypage10!$E$84&lt;&gt;0,levypage10!$E$84,"  ")</f>
        <v>  </v>
      </c>
      <c r="I25" s="474" t="str">
        <f>IF(levypage10!E84&gt;0,ROUND(H25/$G$37*1000,3)," ")</f>
        <v> </v>
      </c>
      <c r="K25" s="925" t="str">
        <f>CONCATENATE("Want The Mill Rate The Same As For ",I1-1,"?")</f>
        <v>Want The Mill Rate The Same As For -1?</v>
      </c>
      <c r="L25" s="928"/>
      <c r="M25" s="928"/>
      <c r="N25" s="929"/>
    </row>
    <row r="26" spans="2:14" ht="15.75">
      <c r="B26" s="72" t="str">
        <f>IF(inputPrYr!$B27&gt;"  ",inputPrYr!$B27,"  ")</f>
        <v>  </v>
      </c>
      <c r="C26" s="21" t="str">
        <f>IF(levypage11!$C$35&lt;&gt;0,levypage11!$C$35,"  ")</f>
        <v>  </v>
      </c>
      <c r="D26" s="472" t="str">
        <f>IF(inputPrYr!D53&gt;0,inputPrYr!D53,"  ")</f>
        <v>  </v>
      </c>
      <c r="E26" s="21" t="str">
        <f>IF(levypage11!$D$35&lt;&gt;0,levypage11!$D$35,"  ")</f>
        <v>  </v>
      </c>
      <c r="F26" s="220" t="str">
        <f>IF(inputOth!D25&gt;0,inputOth!D25,"  ")</f>
        <v>  </v>
      </c>
      <c r="G26" s="21" t="str">
        <f>IF(levypage11!$E$35&lt;&gt;0,levypage11!$E$35,"  ")</f>
        <v>  </v>
      </c>
      <c r="H26" s="21" t="str">
        <f>IF(levypage11!$E$42&lt;&gt;0,levypage11!$E$42,"  ")</f>
        <v>  </v>
      </c>
      <c r="I26" s="474" t="str">
        <f>IF(levypage11!E42&gt;0,ROUND(H26/$G$37*1000,3)," ")</f>
        <v> </v>
      </c>
      <c r="K26" s="455"/>
      <c r="L26" s="449"/>
      <c r="M26" s="449"/>
      <c r="N26" s="456"/>
    </row>
    <row r="27" spans="2:14" ht="15.75">
      <c r="B27" s="72" t="str">
        <f>IF(inputPrYr!$B28&gt;"  ",inputPrYr!$B28,"  ")</f>
        <v>  </v>
      </c>
      <c r="C27" s="21" t="str">
        <f>IF(levypage11!$C$77&lt;&gt;0,levypage11!$C$77,"  ")</f>
        <v>  </v>
      </c>
      <c r="D27" s="472" t="str">
        <f>IF(inputPrYr!D54&gt;0,inputPrYr!D54,"  ")</f>
        <v>  </v>
      </c>
      <c r="E27" s="21" t="str">
        <f>IF(levypage11!$D$77&lt;&gt;0,levypage11!$D$77,"  ")</f>
        <v>  </v>
      </c>
      <c r="F27" s="220" t="str">
        <f>IF(inputOth!D26&gt;0,inputOth!D26,"  ")</f>
        <v>  </v>
      </c>
      <c r="G27" s="21" t="str">
        <f>IF(levypage11!$E$77&lt;&gt;0,levypage11!$E$77,"  ")</f>
        <v>  </v>
      </c>
      <c r="H27" s="21" t="str">
        <f>IF(levypage11!$E$84&lt;&gt;0,levypage11!$E$84,"  ")</f>
        <v>  </v>
      </c>
      <c r="I27" s="474" t="str">
        <f>IF(levypage11!E84&gt;0,ROUND(H27/$G$37*1000,3)," ")</f>
        <v> </v>
      </c>
      <c r="K27" s="455" t="str">
        <f>CONCATENATE("",I1-1," Mill Rate Was:")</f>
        <v>-1 Mill Rate Was:</v>
      </c>
      <c r="L27" s="449"/>
      <c r="M27" s="449"/>
      <c r="N27" s="457">
        <f>F32</f>
        <v>0</v>
      </c>
    </row>
    <row r="28" spans="2:14" ht="15.75">
      <c r="B28" s="72" t="str">
        <f>IF(inputPrYr!$B32&gt;"  ",inputPrYr!$B32,"  ")</f>
        <v>  </v>
      </c>
      <c r="C28" s="21" t="str">
        <f>IF(nolevypage12!$C$28&lt;&gt;0,nolevypage12!$C$28,"  ")</f>
        <v>  </v>
      </c>
      <c r="D28" s="144"/>
      <c r="E28" s="21" t="str">
        <f>IF(nolevypage12!$D$28&lt;&gt;0,nolevypage12!$D$28,"  ")</f>
        <v>  </v>
      </c>
      <c r="F28" s="220"/>
      <c r="G28" s="21" t="str">
        <f>IF(nolevypage12!$E$28&lt;&gt;0,nolevypage12!$E$28,"  ")</f>
        <v>  </v>
      </c>
      <c r="H28" s="21"/>
      <c r="I28" s="220"/>
      <c r="K28" s="458" t="str">
        <f>CONCATENATE("",I1," Tax Levy Fund Expenditures Must Be")</f>
        <v>0 Tax Levy Fund Expenditures Must Be</v>
      </c>
      <c r="L28" s="459"/>
      <c r="M28" s="459"/>
      <c r="N28" s="456"/>
    </row>
    <row r="29" spans="2:14" ht="15.75">
      <c r="B29" s="72" t="str">
        <f>IF(inputPrYr!$B33&gt;"  ",inputPrYr!$B33,"  ")</f>
        <v>  </v>
      </c>
      <c r="C29" s="21" t="str">
        <f>IF(nolevypage12!$C$59&lt;&gt;0,nolevypage12!$C$59,"  ")</f>
        <v>  </v>
      </c>
      <c r="D29" s="144"/>
      <c r="E29" s="21" t="str">
        <f>IF(nolevypage12!$D$59&lt;&gt;0,nolevypage12!$D$59,"  ")</f>
        <v>  </v>
      </c>
      <c r="F29" s="220"/>
      <c r="G29" s="21" t="str">
        <f>IF(nolevypage12!$E$59&lt;&gt;0,nolevypage12!$E$59,"  ")</f>
        <v>  </v>
      </c>
      <c r="H29" s="21"/>
      <c r="I29" s="220"/>
      <c r="K29" s="458">
        <f>IF(N29&gt;0,"Increased By:","")</f>
      </c>
      <c r="L29" s="459"/>
      <c r="M29" s="459"/>
      <c r="N29" s="465">
        <f>IF(N36&lt;0,N36*-1,0)</f>
        <v>0</v>
      </c>
    </row>
    <row r="30" spans="2:14" ht="15.75">
      <c r="B30" s="72" t="str">
        <f>IF((inputPrYr!$B37&gt;"  "),(nonbud!$A3),"  ")</f>
        <v>  </v>
      </c>
      <c r="C30" s="52" t="str">
        <f>IF((nonbud!$K$28)&lt;&gt;0,(nonbud!$K$28),"  ")</f>
        <v>  </v>
      </c>
      <c r="D30" s="144"/>
      <c r="E30" s="21"/>
      <c r="F30" s="144"/>
      <c r="G30" s="21"/>
      <c r="H30" s="21"/>
      <c r="I30" s="144"/>
      <c r="K30" s="466">
        <f>IF($N$30&lt;0,"Reduced By:","")</f>
      </c>
      <c r="L30" s="447"/>
      <c r="M30" s="447"/>
      <c r="N30" s="467">
        <f>IF(N36&gt;0,N36*-1,0)</f>
        <v>0</v>
      </c>
    </row>
    <row r="31" spans="2:14" ht="16.5" thickBot="1">
      <c r="B31" s="60" t="s">
        <v>249</v>
      </c>
      <c r="C31" s="427" t="str">
        <f>IF(road!C66&lt;&gt;0,road!C66,"  ")</f>
        <v>  </v>
      </c>
      <c r="D31" s="428"/>
      <c r="E31" s="473"/>
      <c r="F31" s="428"/>
      <c r="G31" s="473"/>
      <c r="H31" s="473"/>
      <c r="I31" s="428"/>
      <c r="K31" s="462"/>
      <c r="L31" s="462"/>
      <c r="M31" s="462"/>
      <c r="N31" s="462"/>
    </row>
    <row r="32" spans="2:14" ht="15.75">
      <c r="B32" s="60" t="s">
        <v>250</v>
      </c>
      <c r="C32" s="475">
        <f aca="true" t="shared" si="0" ref="C32:I32">SUM(C18:C31)</f>
        <v>0</v>
      </c>
      <c r="D32" s="426">
        <f t="shared" si="0"/>
        <v>0</v>
      </c>
      <c r="E32" s="475">
        <f t="shared" si="0"/>
        <v>0</v>
      </c>
      <c r="F32" s="426">
        <f t="shared" si="0"/>
        <v>0</v>
      </c>
      <c r="G32" s="475">
        <f t="shared" si="0"/>
        <v>0</v>
      </c>
      <c r="H32" s="475">
        <f t="shared" si="0"/>
        <v>0</v>
      </c>
      <c r="I32" s="478">
        <f t="shared" si="0"/>
        <v>0</v>
      </c>
      <c r="K32" s="925" t="str">
        <f>CONCATENATE("Impact On Keeping The Same Mill Rate As For ",I1-1,"")</f>
        <v>Impact On Keeping The Same Mill Rate As For -1</v>
      </c>
      <c r="L32" s="926"/>
      <c r="M32" s="926"/>
      <c r="N32" s="927"/>
    </row>
    <row r="33" spans="2:14" ht="15.75">
      <c r="B33" s="250" t="s">
        <v>40</v>
      </c>
      <c r="C33" s="21">
        <f>transfer!C29</f>
        <v>0</v>
      </c>
      <c r="D33" s="3"/>
      <c r="E33" s="21">
        <f>transfer!D29</f>
        <v>0</v>
      </c>
      <c r="F33" s="50"/>
      <c r="G33" s="21">
        <f>transfer!E29</f>
        <v>0</v>
      </c>
      <c r="H33" s="3"/>
      <c r="I33" s="3"/>
      <c r="K33" s="455"/>
      <c r="L33" s="449"/>
      <c r="M33" s="449"/>
      <c r="N33" s="456"/>
    </row>
    <row r="34" spans="2:14" ht="16.5" thickBot="1">
      <c r="B34" s="250" t="s">
        <v>41</v>
      </c>
      <c r="C34" s="476">
        <f>C32-C33</f>
        <v>0</v>
      </c>
      <c r="D34" s="3"/>
      <c r="E34" s="476">
        <f>E32-E33</f>
        <v>0</v>
      </c>
      <c r="F34" s="3"/>
      <c r="G34" s="476">
        <f>G32-G33</f>
        <v>0</v>
      </c>
      <c r="H34" s="3"/>
      <c r="I34" s="3"/>
      <c r="K34" s="455" t="str">
        <f>CONCATENATE("",I1," Ad Valorem Tax Revenue:")</f>
        <v>0 Ad Valorem Tax Revenue:</v>
      </c>
      <c r="L34" s="449"/>
      <c r="M34" s="449"/>
      <c r="N34" s="450">
        <f>H32</f>
        <v>0</v>
      </c>
    </row>
    <row r="35" spans="2:14" ht="16.5" thickTop="1">
      <c r="B35" s="250" t="s">
        <v>42</v>
      </c>
      <c r="C35" s="477">
        <f>inputPrYr!E57</f>
        <v>0</v>
      </c>
      <c r="D35" s="50"/>
      <c r="E35" s="477">
        <f>inputPrYr!E29</f>
        <v>0</v>
      </c>
      <c r="F35" s="3"/>
      <c r="G35" s="468" t="s">
        <v>251</v>
      </c>
      <c r="H35" s="3"/>
      <c r="I35" s="3"/>
      <c r="K35" s="455" t="str">
        <f>CONCATENATE("",I1-1," Ad Valorem Tax Revenue:")</f>
        <v>-1 Ad Valorem Tax Revenue:</v>
      </c>
      <c r="L35" s="449"/>
      <c r="M35" s="449"/>
      <c r="N35" s="463">
        <f>ROUND(G37*N27/1000,0)</f>
        <v>0</v>
      </c>
    </row>
    <row r="36" spans="2:14" ht="15.75">
      <c r="B36" s="250" t="s">
        <v>43</v>
      </c>
      <c r="C36" s="44"/>
      <c r="D36" s="50"/>
      <c r="E36" s="44"/>
      <c r="F36" s="50"/>
      <c r="G36" s="3"/>
      <c r="H36" s="3"/>
      <c r="I36" s="3"/>
      <c r="K36" s="460" t="s">
        <v>629</v>
      </c>
      <c r="L36" s="461"/>
      <c r="M36" s="461"/>
      <c r="N36" s="453">
        <f>N34-N35</f>
        <v>0</v>
      </c>
    </row>
    <row r="37" spans="2:14" ht="15.75">
      <c r="B37" s="250" t="s">
        <v>44</v>
      </c>
      <c r="C37" s="21">
        <f>inputPrYr!E58</f>
        <v>0</v>
      </c>
      <c r="D37" s="3"/>
      <c r="E37" s="21">
        <f>inputOth!E29</f>
        <v>0</v>
      </c>
      <c r="F37" s="3"/>
      <c r="G37" s="21">
        <f>inputOth!E7</f>
        <v>0</v>
      </c>
      <c r="H37" s="3"/>
      <c r="I37" s="3"/>
      <c r="K37" s="454"/>
      <c r="L37" s="454"/>
      <c r="M37" s="454"/>
      <c r="N37" s="462"/>
    </row>
    <row r="38" spans="2:14" ht="15.75">
      <c r="B38" s="11" t="s">
        <v>45</v>
      </c>
      <c r="C38" s="3"/>
      <c r="D38" s="3"/>
      <c r="E38" s="3"/>
      <c r="F38" s="3"/>
      <c r="G38" s="3"/>
      <c r="H38" s="3"/>
      <c r="I38" s="3"/>
      <c r="K38" s="925" t="s">
        <v>630</v>
      </c>
      <c r="L38" s="928"/>
      <c r="M38" s="928"/>
      <c r="N38" s="929"/>
    </row>
    <row r="39" spans="2:14" ht="15.75">
      <c r="B39" s="11" t="s">
        <v>46</v>
      </c>
      <c r="C39" s="147">
        <f>I1-3</f>
        <v>-3</v>
      </c>
      <c r="D39" s="3"/>
      <c r="E39" s="147">
        <f>I1-2</f>
        <v>-2</v>
      </c>
      <c r="F39" s="3"/>
      <c r="G39" s="147">
        <f>I1-1</f>
        <v>-1</v>
      </c>
      <c r="H39" s="3"/>
      <c r="I39" s="3"/>
      <c r="K39" s="455"/>
      <c r="L39" s="449"/>
      <c r="M39" s="449"/>
      <c r="N39" s="456"/>
    </row>
    <row r="40" spans="2:14" ht="15.75">
      <c r="B40" s="11" t="s">
        <v>47</v>
      </c>
      <c r="C40" s="148">
        <f>inputPrYr!D62</f>
        <v>0</v>
      </c>
      <c r="D40" s="48"/>
      <c r="E40" s="148">
        <f>inputPrYr!E62</f>
        <v>0</v>
      </c>
      <c r="F40" s="48"/>
      <c r="G40" s="148">
        <f>'debt-lease'!F11</f>
        <v>0</v>
      </c>
      <c r="H40" s="3"/>
      <c r="I40" s="3"/>
      <c r="K40" s="455" t="str">
        <f>CONCATENATE("Current ",I1," Estimated Mill Rate:")</f>
        <v>Current 0 Estimated Mill Rate:</v>
      </c>
      <c r="L40" s="449"/>
      <c r="M40" s="449"/>
      <c r="N40" s="457">
        <f>I32</f>
        <v>0</v>
      </c>
    </row>
    <row r="41" spans="2:14" ht="15.75">
      <c r="B41" s="11" t="s">
        <v>17</v>
      </c>
      <c r="C41" s="148">
        <f>inputPrYr!D63</f>
        <v>0</v>
      </c>
      <c r="D41" s="48"/>
      <c r="E41" s="148">
        <f>inputPrYr!E63</f>
        <v>0</v>
      </c>
      <c r="F41" s="48"/>
      <c r="G41" s="148">
        <f>'debt-lease'!F15</f>
        <v>0</v>
      </c>
      <c r="H41" s="3"/>
      <c r="I41" s="3"/>
      <c r="K41" s="455" t="str">
        <f>CONCATENATE("Desired ",I1," Mill Rate:")</f>
        <v>Desired 0 Mill Rate:</v>
      </c>
      <c r="L41" s="449"/>
      <c r="M41" s="449"/>
      <c r="N41" s="464">
        <v>0</v>
      </c>
    </row>
    <row r="42" spans="2:14" ht="15.75">
      <c r="B42" s="11" t="s">
        <v>634</v>
      </c>
      <c r="C42" s="148">
        <f>inputPrYr!D64</f>
        <v>0</v>
      </c>
      <c r="D42" s="48"/>
      <c r="E42" s="148">
        <f>inputPrYr!E64</f>
        <v>0</v>
      </c>
      <c r="F42" s="48"/>
      <c r="G42" s="148">
        <f>'debt-lease'!G36</f>
        <v>0</v>
      </c>
      <c r="H42" s="3"/>
      <c r="I42" s="3"/>
      <c r="K42" s="455" t="str">
        <f>CONCATENATE("",I1," Ad Valorem Tax:")</f>
        <v>0 Ad Valorem Tax:</v>
      </c>
      <c r="L42" s="449"/>
      <c r="M42" s="449"/>
      <c r="N42" s="463">
        <f>ROUND(G37*N41/1000,0)</f>
        <v>0</v>
      </c>
    </row>
    <row r="43" spans="2:14" ht="16.5" thickBot="1">
      <c r="B43" s="11" t="s">
        <v>48</v>
      </c>
      <c r="C43" s="149">
        <f>SUM(C40:C42)</f>
        <v>0</v>
      </c>
      <c r="D43" s="48"/>
      <c r="E43" s="149">
        <f>SUM(E40:E42)</f>
        <v>0</v>
      </c>
      <c r="F43" s="48"/>
      <c r="G43" s="149">
        <f>SUM(G40:G42)</f>
        <v>0</v>
      </c>
      <c r="H43" s="3"/>
      <c r="I43" s="3"/>
      <c r="K43" s="460" t="str">
        <f>CONCATENATE("",I1," Tax Levy Fund Exp. Changed By:")</f>
        <v>0 Tax Levy Fund Exp. Changed By:</v>
      </c>
      <c r="L43" s="461"/>
      <c r="M43" s="461"/>
      <c r="N43" s="453">
        <f>IF(N41=0,0,(N42-H32))</f>
        <v>0</v>
      </c>
    </row>
    <row r="44" spans="2:9" ht="16.5" thickTop="1">
      <c r="B44" s="11" t="s">
        <v>49</v>
      </c>
      <c r="C44" s="3"/>
      <c r="D44" s="3"/>
      <c r="E44" s="3"/>
      <c r="F44" s="3"/>
      <c r="G44" s="3"/>
      <c r="H44" s="3"/>
      <c r="I44" s="3"/>
    </row>
    <row r="45" spans="2:9" ht="15.75">
      <c r="B45" s="3"/>
      <c r="C45" s="3"/>
      <c r="D45" s="3"/>
      <c r="E45" s="3"/>
      <c r="F45" s="3"/>
      <c r="G45" s="3"/>
      <c r="H45" s="3"/>
      <c r="I45" s="3"/>
    </row>
    <row r="46" spans="2:9" ht="15.75">
      <c r="B46" s="924">
        <f>inputBudSum!B4</f>
        <v>0</v>
      </c>
      <c r="C46" s="924"/>
      <c r="D46" s="3"/>
      <c r="E46" s="3"/>
      <c r="F46" s="3"/>
      <c r="G46" s="3"/>
      <c r="H46" s="3"/>
      <c r="I46" s="3"/>
    </row>
    <row r="47" spans="2:9" ht="15.75">
      <c r="B47" s="922">
        <f>inputBudSum!B6</f>
        <v>0</v>
      </c>
      <c r="C47" s="923"/>
      <c r="D47" s="3"/>
      <c r="E47" s="3"/>
      <c r="F47" s="3"/>
      <c r="G47" s="3"/>
      <c r="H47" s="3"/>
      <c r="I47" s="3"/>
    </row>
    <row r="48" spans="2:9" ht="15.75">
      <c r="B48" s="3"/>
      <c r="C48" s="3"/>
      <c r="D48" s="3"/>
      <c r="E48" s="3"/>
      <c r="F48" s="3"/>
      <c r="G48" s="3"/>
      <c r="H48" s="3"/>
      <c r="I48" s="3"/>
    </row>
    <row r="49" spans="2:9" ht="15.75">
      <c r="B49" s="3"/>
      <c r="C49" s="41" t="s">
        <v>5</v>
      </c>
      <c r="D49" s="753"/>
      <c r="E49" s="3"/>
      <c r="F49" s="3"/>
      <c r="G49" s="3"/>
      <c r="H49" s="3"/>
      <c r="I49" s="3"/>
    </row>
    <row r="50" spans="2:4" ht="15.75">
      <c r="B50" s="68"/>
      <c r="C50" s="68"/>
      <c r="D50" s="68"/>
    </row>
    <row r="52" spans="2:8" ht="15.75">
      <c r="B52" s="68"/>
      <c r="C52" s="68"/>
      <c r="D52" s="68"/>
      <c r="E52" s="68"/>
      <c r="F52" s="68"/>
      <c r="G52" s="68"/>
      <c r="H52" s="68"/>
    </row>
    <row r="53" ht="15.75">
      <c r="I53" s="68"/>
    </row>
    <row r="74" spans="2:7" ht="15.75">
      <c r="B74" s="68"/>
      <c r="C74" s="68"/>
      <c r="D74" s="68"/>
      <c r="E74" s="68"/>
      <c r="F74" s="68"/>
      <c r="G74" s="68"/>
    </row>
    <row r="81" spans="2:8" ht="15.75">
      <c r="B81" s="68"/>
      <c r="C81" s="68"/>
      <c r="D81" s="68"/>
      <c r="E81" s="68"/>
      <c r="F81" s="68"/>
      <c r="G81" s="68"/>
      <c r="H81" s="68"/>
    </row>
    <row r="82" ht="15.75">
      <c r="I82" s="68"/>
    </row>
    <row r="87" spans="2:8" ht="15.75">
      <c r="B87" s="68"/>
      <c r="C87" s="68"/>
      <c r="D87" s="68"/>
      <c r="E87" s="68"/>
      <c r="F87" s="68"/>
      <c r="G87" s="68"/>
      <c r="H87" s="68"/>
    </row>
    <row r="88" ht="15.75">
      <c r="I88" s="68"/>
    </row>
    <row r="108" spans="2:8" ht="15.75">
      <c r="B108" s="68"/>
      <c r="C108" s="68"/>
      <c r="D108" s="68"/>
      <c r="E108" s="68"/>
      <c r="F108" s="68"/>
      <c r="G108" s="68"/>
      <c r="H108" s="68"/>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Q125" sqref="Q125"/>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f>inputPrYr!D3</f>
        <v>0</v>
      </c>
      <c r="B1" s="3"/>
      <c r="C1" s="3"/>
      <c r="D1" s="3"/>
      <c r="E1" s="3"/>
      <c r="F1" s="3">
        <f>inputPrYr!D6</f>
        <v>0</v>
      </c>
    </row>
    <row r="2" spans="1:6" ht="15.75">
      <c r="A2" s="3"/>
      <c r="B2" s="3"/>
      <c r="C2" s="3"/>
      <c r="D2" s="3"/>
      <c r="E2" s="3"/>
      <c r="F2" s="3"/>
    </row>
    <row r="3" spans="1:6" ht="15.75">
      <c r="A3" s="3"/>
      <c r="B3" s="865" t="str">
        <f>CONCATENATE("",F1," Neighborhood Revitalization Rebate")</f>
        <v>0 Neighborhood Revitalization Rebate</v>
      </c>
      <c r="C3" s="873"/>
      <c r="D3" s="873"/>
      <c r="E3" s="873"/>
      <c r="F3" s="3"/>
    </row>
    <row r="4" spans="1:6" ht="15.75">
      <c r="A4" s="3"/>
      <c r="B4" s="3"/>
      <c r="C4" s="3"/>
      <c r="D4" s="3"/>
      <c r="E4" s="3"/>
      <c r="F4" s="3"/>
    </row>
    <row r="5" spans="1:6" ht="51" customHeight="1">
      <c r="A5" s="3"/>
      <c r="B5" s="113" t="str">
        <f>CONCATENATE("Budgeted Funds                            for ",F1,"")</f>
        <v>Budgeted Funds                            for 0</v>
      </c>
      <c r="C5" s="113" t="str">
        <f>CONCATENATE("",F1-1," Ad Valorem before Rebate**")</f>
        <v>-1 Ad Valorem before Rebate**</v>
      </c>
      <c r="D5" s="114" t="str">
        <f>CONCATENATE("",F1-1," Mil Rate before Rebate")</f>
        <v>-1 Mil Rate before Rebate</v>
      </c>
      <c r="E5" s="115" t="str">
        <f>CONCATENATE("Estimate ",F1," NR Rebate")</f>
        <v>Estimate 0 NR Rebate</v>
      </c>
      <c r="F5" s="116"/>
    </row>
    <row r="6" spans="1:6" ht="15.75">
      <c r="A6" s="3"/>
      <c r="B6" s="60" t="str">
        <f>inputPrYr!B19</f>
        <v>General</v>
      </c>
      <c r="C6" s="117"/>
      <c r="D6" s="118">
        <f aca="true" t="shared" si="0" ref="D6:D15">IF(C6&gt;0,C6/$D$21,"")</f>
      </c>
      <c r="E6" s="119">
        <f>IF(C6&gt;0,ROUND(D6*$D$25,0),0)</f>
        <v>0</v>
      </c>
      <c r="F6" s="116"/>
    </row>
    <row r="7" spans="1:6" ht="15.75">
      <c r="A7" s="3"/>
      <c r="B7" s="60" t="str">
        <f>inputPrYr!B20</f>
        <v>Debt Service</v>
      </c>
      <c r="C7" s="117"/>
      <c r="D7" s="118">
        <f t="shared" si="0"/>
      </c>
      <c r="E7" s="119">
        <f aca="true" t="shared" si="1" ref="E7:E15">IF(C7&gt;0,ROUND(D7*$D$25,0),0)</f>
        <v>0</v>
      </c>
      <c r="F7" s="116"/>
    </row>
    <row r="8" spans="1:6" ht="15.75">
      <c r="A8" s="3"/>
      <c r="B8" s="60" t="str">
        <f>inputPrYr!B21</f>
        <v>Library</v>
      </c>
      <c r="C8" s="117"/>
      <c r="D8" s="118">
        <f>IF(C8&gt;0,C8/$D$21,"")</f>
      </c>
      <c r="E8" s="119">
        <f t="shared" si="1"/>
        <v>0</v>
      </c>
      <c r="F8" s="116"/>
    </row>
    <row r="9" spans="1:6" ht="15.75">
      <c r="A9" s="3"/>
      <c r="B9" s="60" t="str">
        <f>inputPrYr!B22</f>
        <v>Road</v>
      </c>
      <c r="C9" s="117"/>
      <c r="D9" s="118">
        <f t="shared" si="0"/>
      </c>
      <c r="E9" s="119">
        <f t="shared" si="1"/>
        <v>0</v>
      </c>
      <c r="F9" s="116"/>
    </row>
    <row r="10" spans="1:6" ht="15.75">
      <c r="A10" s="3"/>
      <c r="B10" s="60">
        <f>inputPrYr!B23</f>
        <v>0</v>
      </c>
      <c r="C10" s="117"/>
      <c r="D10" s="118">
        <f t="shared" si="0"/>
      </c>
      <c r="E10" s="119">
        <f t="shared" si="1"/>
        <v>0</v>
      </c>
      <c r="F10" s="116"/>
    </row>
    <row r="11" spans="1:6" ht="15.75">
      <c r="A11" s="3"/>
      <c r="B11" s="60">
        <f>inputPrYr!B24</f>
        <v>0</v>
      </c>
      <c r="C11" s="117"/>
      <c r="D11" s="118">
        <f t="shared" si="0"/>
      </c>
      <c r="E11" s="119">
        <f t="shared" si="1"/>
        <v>0</v>
      </c>
      <c r="F11" s="116"/>
    </row>
    <row r="12" spans="1:6" ht="15.75">
      <c r="A12" s="3"/>
      <c r="B12" s="60">
        <f>inputPrYr!B25</f>
        <v>0</v>
      </c>
      <c r="C12" s="117"/>
      <c r="D12" s="118">
        <f t="shared" si="0"/>
      </c>
      <c r="E12" s="119">
        <f t="shared" si="1"/>
        <v>0</v>
      </c>
      <c r="F12" s="116"/>
    </row>
    <row r="13" spans="1:6" ht="15.75">
      <c r="A13" s="3"/>
      <c r="B13" s="60">
        <f>inputPrYr!B26</f>
        <v>0</v>
      </c>
      <c r="C13" s="120"/>
      <c r="D13" s="118">
        <f t="shared" si="0"/>
      </c>
      <c r="E13" s="119">
        <f t="shared" si="1"/>
        <v>0</v>
      </c>
      <c r="F13" s="116"/>
    </row>
    <row r="14" spans="1:6" ht="15.75">
      <c r="A14" s="3"/>
      <c r="B14" s="60">
        <f>inputPrYr!B27</f>
        <v>0</v>
      </c>
      <c r="C14" s="120"/>
      <c r="D14" s="118">
        <f t="shared" si="0"/>
      </c>
      <c r="E14" s="119">
        <f t="shared" si="1"/>
        <v>0</v>
      </c>
      <c r="F14" s="116"/>
    </row>
    <row r="15" spans="1:6" ht="15.75">
      <c r="A15" s="3"/>
      <c r="B15" s="60">
        <f>inputPrYr!B28</f>
        <v>0</v>
      </c>
      <c r="C15" s="120"/>
      <c r="D15" s="118">
        <f t="shared" si="0"/>
      </c>
      <c r="E15" s="119">
        <f t="shared" si="1"/>
        <v>0</v>
      </c>
      <c r="F15" s="116"/>
    </row>
    <row r="16" spans="1:6" ht="16.5" thickBot="1">
      <c r="A16" s="3"/>
      <c r="B16" s="61" t="s">
        <v>177</v>
      </c>
      <c r="C16" s="121">
        <f>SUM(C6:C15)</f>
        <v>0</v>
      </c>
      <c r="D16" s="122">
        <f>SUM(D6:D15)</f>
        <v>0</v>
      </c>
      <c r="E16" s="121">
        <f>SUM(E6:E15)</f>
        <v>0</v>
      </c>
      <c r="F16" s="116"/>
    </row>
    <row r="17" spans="1:6" ht="16.5" thickTop="1">
      <c r="A17" s="3"/>
      <c r="B17" s="3"/>
      <c r="C17" s="3"/>
      <c r="D17" s="3"/>
      <c r="E17" s="3"/>
      <c r="F17" s="116"/>
    </row>
    <row r="18" spans="1:6" ht="15.75">
      <c r="A18" s="3"/>
      <c r="B18" s="3"/>
      <c r="C18" s="3"/>
      <c r="D18" s="3"/>
      <c r="E18" s="3"/>
      <c r="F18" s="116"/>
    </row>
    <row r="19" spans="1:6" ht="15.75">
      <c r="A19" s="934" t="str">
        <f>CONCATENATE("",F1-1," July 1 Valuation:")</f>
        <v>-1 July 1 Valuation:</v>
      </c>
      <c r="B19" s="933"/>
      <c r="C19" s="934"/>
      <c r="D19" s="123">
        <f>inputOth!E7</f>
        <v>0</v>
      </c>
      <c r="E19" s="3"/>
      <c r="F19" s="116"/>
    </row>
    <row r="20" spans="1:6" ht="15.75">
      <c r="A20" s="3"/>
      <c r="B20" s="3"/>
      <c r="C20" s="3"/>
      <c r="D20" s="3"/>
      <c r="E20" s="3"/>
      <c r="F20" s="116"/>
    </row>
    <row r="21" spans="1:6" ht="15.75">
      <c r="A21" s="3"/>
      <c r="B21" s="934" t="s">
        <v>299</v>
      </c>
      <c r="C21" s="934"/>
      <c r="D21" s="124">
        <f>IF(D19&gt;0,(D19*0.001),"")</f>
      </c>
      <c r="E21" s="3"/>
      <c r="F21" s="116"/>
    </row>
    <row r="22" spans="1:6" ht="15.75">
      <c r="A22" s="3"/>
      <c r="B22" s="37"/>
      <c r="C22" s="37"/>
      <c r="D22" s="125"/>
      <c r="E22" s="3"/>
      <c r="F22" s="116"/>
    </row>
    <row r="23" spans="1:6" ht="15.75">
      <c r="A23" s="932" t="s">
        <v>300</v>
      </c>
      <c r="B23" s="860"/>
      <c r="C23" s="860"/>
      <c r="D23" s="126">
        <f>inputOth!E13</f>
        <v>0</v>
      </c>
      <c r="E23" s="127"/>
      <c r="F23" s="127"/>
    </row>
    <row r="24" spans="1:6" ht="15.75">
      <c r="A24" s="127"/>
      <c r="B24" s="127"/>
      <c r="C24" s="127"/>
      <c r="D24" s="128"/>
      <c r="E24" s="127"/>
      <c r="F24" s="127"/>
    </row>
    <row r="25" spans="1:6" ht="15.75">
      <c r="A25" s="127"/>
      <c r="B25" s="932" t="s">
        <v>301</v>
      </c>
      <c r="C25" s="933"/>
      <c r="D25" s="129">
        <f>IF(D23&gt;0,(D23*0.001),"")</f>
      </c>
      <c r="E25" s="127"/>
      <c r="F25" s="127"/>
    </row>
    <row r="26" spans="1:6" ht="15.75">
      <c r="A26" s="127"/>
      <c r="B26" s="127"/>
      <c r="C26" s="127"/>
      <c r="D26" s="127"/>
      <c r="E26" s="127"/>
      <c r="F26" s="127"/>
    </row>
    <row r="27" spans="1:6" ht="15.75">
      <c r="A27" s="127"/>
      <c r="B27" s="127"/>
      <c r="C27" s="127"/>
      <c r="D27" s="127"/>
      <c r="E27" s="127"/>
      <c r="F27" s="127"/>
    </row>
    <row r="28" spans="1:6" ht="15.75">
      <c r="A28" s="127"/>
      <c r="B28" s="127"/>
      <c r="C28" s="127"/>
      <c r="D28" s="127"/>
      <c r="E28" s="127"/>
      <c r="F28" s="127"/>
    </row>
    <row r="29" spans="1:6" ht="15.75">
      <c r="A29" s="329" t="str">
        <f>CONCATENATE("**This information comes from the ",F1," Budget Summary page.  See instructions tab #12 for completing")</f>
        <v>**This information comes from the 0 Budget Summary page.  See instructions tab #12 for completing</v>
      </c>
      <c r="B29" s="127"/>
      <c r="C29" s="127"/>
      <c r="D29" s="127"/>
      <c r="E29" s="127"/>
      <c r="F29" s="127"/>
    </row>
    <row r="30" spans="1:6" ht="15.75">
      <c r="A30" s="329" t="s">
        <v>525</v>
      </c>
      <c r="B30" s="127"/>
      <c r="C30" s="127"/>
      <c r="D30" s="127"/>
      <c r="E30" s="127"/>
      <c r="F30" s="127"/>
    </row>
    <row r="31" spans="1:6" ht="15.75">
      <c r="A31" s="329"/>
      <c r="B31" s="127"/>
      <c r="C31" s="127"/>
      <c r="D31" s="127"/>
      <c r="E31" s="127"/>
      <c r="F31" s="127"/>
    </row>
    <row r="32" spans="1:6" ht="15.75">
      <c r="A32" s="329"/>
      <c r="B32" s="127"/>
      <c r="C32" s="127"/>
      <c r="D32" s="127"/>
      <c r="E32" s="127"/>
      <c r="F32" s="127"/>
    </row>
    <row r="33" spans="1:6" ht="15.75">
      <c r="A33" s="329"/>
      <c r="B33" s="127"/>
      <c r="C33" s="127"/>
      <c r="D33" s="127"/>
      <c r="E33" s="127"/>
      <c r="F33" s="127"/>
    </row>
    <row r="34" spans="1:6" ht="15.75">
      <c r="A34" s="329"/>
      <c r="B34" s="127"/>
      <c r="C34" s="127"/>
      <c r="D34" s="127"/>
      <c r="E34" s="127"/>
      <c r="F34" s="127"/>
    </row>
    <row r="35" spans="1:6" ht="15.75">
      <c r="A35" s="329"/>
      <c r="B35" s="127"/>
      <c r="C35" s="127"/>
      <c r="D35" s="127"/>
      <c r="E35" s="127"/>
      <c r="F35" s="127"/>
    </row>
    <row r="36" spans="1:6" ht="15.75">
      <c r="A36" s="329"/>
      <c r="B36" s="127"/>
      <c r="C36" s="127"/>
      <c r="D36" s="127"/>
      <c r="E36" s="127"/>
      <c r="F36" s="127"/>
    </row>
    <row r="37" spans="1:6" ht="15.75">
      <c r="A37" s="127"/>
      <c r="B37" s="127"/>
      <c r="C37" s="127"/>
      <c r="D37" s="127"/>
      <c r="E37" s="127"/>
      <c r="F37" s="127"/>
    </row>
    <row r="38" spans="1:6" ht="15.75">
      <c r="A38" s="127"/>
      <c r="B38" s="109" t="s">
        <v>5</v>
      </c>
      <c r="C38" s="751"/>
      <c r="D38" s="127"/>
      <c r="E38" s="127"/>
      <c r="F38" s="127"/>
    </row>
    <row r="39" spans="1:6" ht="15.75">
      <c r="A39" s="116"/>
      <c r="B39" s="3"/>
      <c r="C39" s="3"/>
      <c r="D39" s="130"/>
      <c r="E39" s="116"/>
      <c r="F39" s="116"/>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S79" sqref="S79"/>
    </sheetView>
  </sheetViews>
  <sheetFormatPr defaultColWidth="8.796875" defaultRowHeight="15.75"/>
  <sheetData>
    <row r="2" spans="2:8" ht="15.75">
      <c r="B2" s="708"/>
      <c r="C2" s="708"/>
      <c r="D2" s="708"/>
      <c r="E2" s="708"/>
      <c r="F2" s="708"/>
      <c r="G2" s="708"/>
      <c r="H2" s="712">
        <f>inputPrYr!D6</f>
        <v>0</v>
      </c>
    </row>
    <row r="3" spans="2:8" ht="16.5" thickBot="1">
      <c r="B3" s="708"/>
      <c r="C3" s="708"/>
      <c r="D3" s="708"/>
      <c r="E3" s="708"/>
      <c r="F3" s="708"/>
      <c r="G3" s="708"/>
      <c r="H3" s="708"/>
    </row>
    <row r="4" spans="2:8" ht="19.5" thickBot="1">
      <c r="B4" s="938" t="s">
        <v>790</v>
      </c>
      <c r="C4" s="939"/>
      <c r="D4" s="939"/>
      <c r="E4" s="939"/>
      <c r="F4" s="939"/>
      <c r="G4" s="939"/>
      <c r="H4" s="940"/>
    </row>
    <row r="5" spans="2:8" ht="16.5" thickBot="1">
      <c r="B5" s="709"/>
      <c r="C5" s="709"/>
      <c r="D5" s="710"/>
      <c r="E5" s="711"/>
      <c r="F5" s="709"/>
      <c r="G5" s="709"/>
      <c r="H5" s="709"/>
    </row>
    <row r="6" spans="2:8" ht="15.75">
      <c r="B6" s="941" t="str">
        <f>CONCATENATE("Notice of Vote - ",inputPrYr!D3)</f>
        <v>Notice of Vote - </v>
      </c>
      <c r="C6" s="942"/>
      <c r="D6" s="942"/>
      <c r="E6" s="942"/>
      <c r="F6" s="942"/>
      <c r="G6" s="942"/>
      <c r="H6" s="943"/>
    </row>
    <row r="7" spans="2:8" ht="63" customHeight="1" thickBot="1">
      <c r="B7" s="935"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36"/>
      <c r="D7" s="936"/>
      <c r="E7" s="936"/>
      <c r="F7" s="936"/>
      <c r="G7" s="936"/>
      <c r="H7" s="937"/>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S79" sqref="S79"/>
    </sheetView>
  </sheetViews>
  <sheetFormatPr defaultColWidth="8.796875" defaultRowHeight="15.75"/>
  <cols>
    <col min="4" max="4" width="12.19921875" style="0" customWidth="1"/>
    <col min="6" max="6" width="3.296875" style="0" customWidth="1"/>
  </cols>
  <sheetData>
    <row r="2" spans="2:7" ht="15.75">
      <c r="B2" s="708"/>
      <c r="C2" s="708"/>
      <c r="D2" s="708"/>
      <c r="E2" s="708"/>
      <c r="F2" s="708"/>
      <c r="G2" s="712">
        <f>inputPrYr!D6</f>
        <v>0</v>
      </c>
    </row>
    <row r="3" spans="2:7" ht="16.5" thickBot="1">
      <c r="B3" s="708"/>
      <c r="C3" s="708"/>
      <c r="D3" s="708"/>
      <c r="E3" s="708"/>
      <c r="F3" s="708"/>
      <c r="G3" s="708"/>
    </row>
    <row r="4" spans="2:7" ht="19.5" thickBot="1">
      <c r="B4" s="944" t="s">
        <v>791</v>
      </c>
      <c r="C4" s="945"/>
      <c r="D4" s="945"/>
      <c r="E4" s="945"/>
      <c r="F4" s="945"/>
      <c r="G4" s="946"/>
    </row>
    <row r="5" spans="2:7" ht="16.5" thickBot="1">
      <c r="B5" s="713"/>
      <c r="C5" s="713"/>
      <c r="D5" s="713"/>
      <c r="E5" s="713"/>
      <c r="F5" s="713"/>
      <c r="G5" s="713"/>
    </row>
    <row r="6" spans="2:7" ht="15.75">
      <c r="B6" s="941" t="str">
        <f>CONCATENATE("Notice of Vote - ",inputPrYr!D3)</f>
        <v>Notice of Vote - </v>
      </c>
      <c r="C6" s="942"/>
      <c r="D6" s="942"/>
      <c r="E6" s="942"/>
      <c r="F6" s="942"/>
      <c r="G6" s="943"/>
    </row>
    <row r="7" spans="2:7" ht="15.75">
      <c r="B7" s="947" t="s">
        <v>792</v>
      </c>
      <c r="C7" s="948"/>
      <c r="D7" s="948"/>
      <c r="E7" s="948"/>
      <c r="F7" s="948"/>
      <c r="G7" s="949"/>
    </row>
    <row r="8" spans="2:7" ht="15.75">
      <c r="B8" s="947" t="s">
        <v>793</v>
      </c>
      <c r="C8" s="948"/>
      <c r="D8" s="948"/>
      <c r="E8" s="948"/>
      <c r="F8" s="948"/>
      <c r="G8" s="949"/>
    </row>
    <row r="9" spans="2:7" ht="15.75">
      <c r="B9" s="716" t="str">
        <f>CONCATENATE(G2-1," Budget")</f>
        <v>-1 Budget</v>
      </c>
      <c r="C9" s="720" t="s">
        <v>2</v>
      </c>
      <c r="D9" s="722">
        <f>inputPrYr!E29</f>
        <v>0</v>
      </c>
      <c r="E9" s="714"/>
      <c r="F9" s="714"/>
      <c r="G9" s="715"/>
    </row>
    <row r="10" spans="2:7" ht="15.75">
      <c r="B10" s="716" t="str">
        <f>CONCATENATE(G2," Budget")</f>
        <v>0 Budget</v>
      </c>
      <c r="C10" s="720" t="s">
        <v>2</v>
      </c>
      <c r="D10" s="723">
        <f>cert!F35</f>
        <v>0</v>
      </c>
      <c r="E10" s="714"/>
      <c r="F10" s="714"/>
      <c r="G10" s="715"/>
    </row>
    <row r="11" spans="2:7" ht="15.75">
      <c r="B11" s="716"/>
      <c r="C11" s="714"/>
      <c r="D11" s="714" t="s">
        <v>794</v>
      </c>
      <c r="E11" s="724"/>
      <c r="F11" s="719" t="s">
        <v>795</v>
      </c>
      <c r="G11" s="725"/>
    </row>
    <row r="12" spans="2:7" ht="16.5" thickBot="1">
      <c r="B12" s="717"/>
      <c r="C12" s="718"/>
      <c r="D12" s="718"/>
      <c r="E12" s="718"/>
      <c r="F12" s="718"/>
      <c r="G12" s="721"/>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S78" sqref="S78"/>
    </sheetView>
  </sheetViews>
  <sheetFormatPr defaultColWidth="8.796875" defaultRowHeight="15.75"/>
  <cols>
    <col min="4" max="4" width="12.19921875" style="0" customWidth="1"/>
    <col min="6" max="6" width="6.69921875" style="0" customWidth="1"/>
  </cols>
  <sheetData>
    <row r="2" spans="2:7" ht="15.75">
      <c r="B2" s="708"/>
      <c r="C2" s="708"/>
      <c r="D2" s="708"/>
      <c r="E2" s="708"/>
      <c r="F2" s="708"/>
      <c r="G2" s="712">
        <f>inputPrYr!D6</f>
        <v>0</v>
      </c>
    </row>
    <row r="3" spans="2:7" ht="16.5" thickBot="1">
      <c r="B3" s="708"/>
      <c r="C3" s="708"/>
      <c r="D3" s="708"/>
      <c r="E3" s="708"/>
      <c r="F3" s="708"/>
      <c r="G3" s="708"/>
    </row>
    <row r="4" spans="2:7" ht="19.5" thickBot="1">
      <c r="B4" s="944" t="s">
        <v>791</v>
      </c>
      <c r="C4" s="945"/>
      <c r="D4" s="945"/>
      <c r="E4" s="945"/>
      <c r="F4" s="945"/>
      <c r="G4" s="946"/>
    </row>
    <row r="5" spans="2:7" ht="16.5" thickBot="1">
      <c r="B5" s="801"/>
      <c r="C5" s="801"/>
      <c r="D5" s="801"/>
      <c r="E5" s="801"/>
      <c r="F5" s="801"/>
      <c r="G5" s="801"/>
    </row>
    <row r="6" spans="2:7" ht="15.75">
      <c r="B6" s="941" t="str">
        <f>CONCATENATE("Notice of Vote - ",inputPrYr!D3)</f>
        <v>Notice of Vote - </v>
      </c>
      <c r="C6" s="942"/>
      <c r="D6" s="942"/>
      <c r="E6" s="942"/>
      <c r="F6" s="942"/>
      <c r="G6" s="943"/>
    </row>
    <row r="7" spans="2:7" ht="15.75">
      <c r="B7" s="947" t="s">
        <v>792</v>
      </c>
      <c r="C7" s="948"/>
      <c r="D7" s="948"/>
      <c r="E7" s="948"/>
      <c r="F7" s="948"/>
      <c r="G7" s="949"/>
    </row>
    <row r="8" spans="2:7" ht="15.75">
      <c r="B8" s="813"/>
      <c r="C8" s="806"/>
      <c r="D8" s="820" t="s">
        <v>793</v>
      </c>
      <c r="E8" s="806"/>
      <c r="F8" s="823" t="s">
        <v>834</v>
      </c>
      <c r="G8" s="814"/>
    </row>
    <row r="9" spans="2:7" ht="15.75">
      <c r="B9" s="804" t="str">
        <f>CONCATENATE(G2-1," Budget")</f>
        <v>-1 Budget</v>
      </c>
      <c r="C9" s="807" t="s">
        <v>2</v>
      </c>
      <c r="D9" s="809">
        <f>summ!E35</f>
        <v>0</v>
      </c>
      <c r="E9" s="802"/>
      <c r="F9" s="822">
        <f>summ!F32</f>
        <v>0</v>
      </c>
      <c r="G9" s="803"/>
    </row>
    <row r="10" spans="2:7" ht="15.75">
      <c r="B10" s="804" t="str">
        <f>CONCATENATE(G2," Budget")</f>
        <v>0 Budget</v>
      </c>
      <c r="C10" s="807" t="s">
        <v>2</v>
      </c>
      <c r="D10" s="810">
        <f>summ!H32</f>
        <v>0</v>
      </c>
      <c r="E10" s="802"/>
      <c r="F10" s="822">
        <f>summ!I32</f>
        <v>0</v>
      </c>
      <c r="G10" s="803"/>
    </row>
    <row r="11" spans="2:7" ht="15.75">
      <c r="B11" s="804"/>
      <c r="C11" s="807"/>
      <c r="D11" s="817"/>
      <c r="E11" s="802"/>
      <c r="F11" s="802"/>
      <c r="G11" s="803"/>
    </row>
    <row r="12" spans="2:7" ht="15.75">
      <c r="B12" s="804"/>
      <c r="C12" s="802"/>
      <c r="D12" s="802" t="s">
        <v>794</v>
      </c>
      <c r="E12" s="811"/>
      <c r="F12" s="806" t="s">
        <v>795</v>
      </c>
      <c r="G12" s="812"/>
    </row>
    <row r="13" spans="2:7" ht="15.75">
      <c r="B13" s="804"/>
      <c r="C13" s="802"/>
      <c r="D13" s="802"/>
      <c r="E13" s="815"/>
      <c r="F13" s="806"/>
      <c r="G13" s="816"/>
    </row>
    <row r="14" spans="2:7" ht="16.5" thickBot="1">
      <c r="B14" s="821" t="str">
        <f>CONCATENATE("* ",G2-1," mill levy is actual.  ",G2," mill levy is estimated.")</f>
        <v>* -1 mill levy is actual.  0 mill levy is estimated.</v>
      </c>
      <c r="C14" s="805"/>
      <c r="D14" s="805"/>
      <c r="E14" s="805"/>
      <c r="F14" s="805"/>
      <c r="G14" s="808"/>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H60" sqref="H60"/>
    </sheetView>
  </sheetViews>
  <sheetFormatPr defaultColWidth="8.796875" defaultRowHeight="15.75"/>
  <cols>
    <col min="2" max="2" width="100.69921875" style="798" customWidth="1"/>
  </cols>
  <sheetData>
    <row r="1" ht="15.75">
      <c r="C1" s="797">
        <f>inputPrYr!D3</f>
        <v>0</v>
      </c>
    </row>
    <row r="2" ht="15.75">
      <c r="C2" s="797">
        <f>inputPrYr!D4</f>
        <v>0</v>
      </c>
    </row>
    <row r="3" ht="15.75">
      <c r="C3" s="796">
        <f>inputPrYr!D6</f>
        <v>0</v>
      </c>
    </row>
    <row r="5" ht="49.5" customHeight="1">
      <c r="B5" s="824" t="s">
        <v>835</v>
      </c>
    </row>
    <row r="6" ht="49.5" customHeight="1">
      <c r="B6" s="793"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94"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94" t="s">
        <v>836</v>
      </c>
    </row>
    <row r="9" ht="49.5" customHeight="1">
      <c r="B9" s="794" t="str">
        <f>CONCATENATE("Whereas, ",C1," provides essential services to its citizens; and")</f>
        <v>Whereas, 0 provides essential services to its citizens; and</v>
      </c>
    </row>
    <row r="10" ht="49.5" customHeight="1">
      <c r="B10" s="794" t="s">
        <v>837</v>
      </c>
    </row>
    <row r="11" ht="49.5" customHeight="1">
      <c r="B11" s="794"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94" t="str">
        <f>CONCATENATE("Adopted this _____day of____________, ",C3-1," by the ",C1," governing body, ",C2,", Kansas.")</f>
        <v>Adopted this _____day of____________, -1 by the 0 governing body, 0, Kansas.</v>
      </c>
    </row>
    <row r="13" ht="49.5" customHeight="1">
      <c r="B13" s="795" t="str">
        <f>CONCATENATE(C1," Governing Body")</f>
        <v>0 Governing Body</v>
      </c>
    </row>
    <row r="14" ht="49.5" customHeight="1">
      <c r="B14" s="825" t="s">
        <v>838</v>
      </c>
    </row>
    <row r="15" ht="49.5" customHeight="1">
      <c r="B15" s="825" t="s">
        <v>838</v>
      </c>
    </row>
    <row r="16" ht="49.5" customHeight="1">
      <c r="B16" s="825" t="s">
        <v>838</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M123" sqref="M123"/>
    </sheetView>
  </sheetViews>
  <sheetFormatPr defaultColWidth="8.796875" defaultRowHeight="15.75"/>
  <cols>
    <col min="1" max="1" width="64.19921875" style="0" customWidth="1"/>
  </cols>
  <sheetData>
    <row r="3" spans="1:12" ht="15.75">
      <c r="A3" s="312" t="s">
        <v>312</v>
      </c>
      <c r="B3" s="312"/>
      <c r="C3" s="312"/>
      <c r="D3" s="312"/>
      <c r="E3" s="312"/>
      <c r="F3" s="312"/>
      <c r="G3" s="312"/>
      <c r="H3" s="312"/>
      <c r="I3" s="312"/>
      <c r="J3" s="312"/>
      <c r="K3" s="312"/>
      <c r="L3" s="312"/>
    </row>
    <row r="5" ht="15.75">
      <c r="A5" s="311" t="s">
        <v>313</v>
      </c>
    </row>
    <row r="6" ht="15.75">
      <c r="A6" s="311" t="str">
        <f>CONCATENATE(inputPrYr!D6-2," 'total expenditures' exceed your ",inputPrYr!D6-2," 'budget authority.'")</f>
        <v>-2 'total expenditures' exceed your -2 'budget authority.'</v>
      </c>
    </row>
    <row r="7" ht="15.75">
      <c r="A7" s="311"/>
    </row>
    <row r="8" ht="15.75">
      <c r="A8" s="311" t="s">
        <v>314</v>
      </c>
    </row>
    <row r="9" ht="15.75">
      <c r="A9" s="311" t="s">
        <v>315</v>
      </c>
    </row>
    <row r="10" ht="15.75">
      <c r="A10" s="311" t="s">
        <v>316</v>
      </c>
    </row>
    <row r="11" ht="15.75">
      <c r="A11" s="311"/>
    </row>
    <row r="12" ht="15.75">
      <c r="A12" s="311"/>
    </row>
    <row r="13" ht="15.75">
      <c r="A13" s="310" t="s">
        <v>317</v>
      </c>
    </row>
    <row r="15" ht="15.75">
      <c r="A15" s="311" t="s">
        <v>318</v>
      </c>
    </row>
    <row r="16" ht="15.75">
      <c r="A16" s="311" t="str">
        <f>CONCATENATE("(i.e. an audit has not been completed, or the ",inputPrYr!D6," adopted")</f>
        <v>(i.e. an audit has not been completed, or the  adopted</v>
      </c>
    </row>
    <row r="17" ht="15.75">
      <c r="A17" s="311" t="s">
        <v>319</v>
      </c>
    </row>
    <row r="18" ht="15.75">
      <c r="A18" s="311" t="s">
        <v>320</v>
      </c>
    </row>
    <row r="19" ht="15.75">
      <c r="A19" s="311" t="s">
        <v>321</v>
      </c>
    </row>
    <row r="21" ht="15.75">
      <c r="A21" s="310" t="s">
        <v>322</v>
      </c>
    </row>
    <row r="22" ht="15.75">
      <c r="A22" s="310"/>
    </row>
    <row r="23" ht="15.75">
      <c r="A23" s="311" t="s">
        <v>323</v>
      </c>
    </row>
    <row r="24" ht="15.75">
      <c r="A24" s="311" t="s">
        <v>324</v>
      </c>
    </row>
    <row r="25" ht="15.75">
      <c r="A25" s="311" t="str">
        <f>CONCATENATE("particular fund.  If your ",inputPrYr!D6-2," budget was amended, did you")</f>
        <v>particular fund.  If your -2 budget was amended, did you</v>
      </c>
    </row>
    <row r="26" ht="15.75">
      <c r="A26" s="311" t="s">
        <v>325</v>
      </c>
    </row>
    <row r="27" ht="15.75">
      <c r="A27" s="311"/>
    </row>
    <row r="28" ht="15.75">
      <c r="A28" s="311" t="str">
        <f>CONCATENATE("Next, look to see if any of your ",inputPrYr!D6-2," expenditures can be")</f>
        <v>Next, look to see if any of your -2 expenditures can be</v>
      </c>
    </row>
    <row r="29" ht="15.75">
      <c r="A29" s="311" t="s">
        <v>326</v>
      </c>
    </row>
    <row r="30" ht="15.75">
      <c r="A30" s="311" t="s">
        <v>327</v>
      </c>
    </row>
    <row r="31" ht="15.75">
      <c r="A31" s="311" t="s">
        <v>328</v>
      </c>
    </row>
    <row r="32" ht="15.75">
      <c r="A32" s="311"/>
    </row>
    <row r="33" ht="15.75">
      <c r="A33" s="311" t="str">
        <f>CONCATENATE("Additionally, do your ",inputPrYr!D6-2," receipts contain a reimbursement")</f>
        <v>Additionally, do your -2 receipts contain a reimbursement</v>
      </c>
    </row>
    <row r="34" ht="15.75">
      <c r="A34" s="311" t="s">
        <v>329</v>
      </c>
    </row>
    <row r="35" ht="15.75">
      <c r="A35" s="311" t="s">
        <v>330</v>
      </c>
    </row>
    <row r="36" ht="15.75">
      <c r="A36" s="311"/>
    </row>
    <row r="37" ht="15.75">
      <c r="A37" s="311" t="s">
        <v>331</v>
      </c>
    </row>
    <row r="38" ht="15.75">
      <c r="A38" s="311" t="s">
        <v>517</v>
      </c>
    </row>
    <row r="39" ht="15.75">
      <c r="A39" s="311" t="s">
        <v>518</v>
      </c>
    </row>
    <row r="40" ht="15.75">
      <c r="A40" s="311" t="s">
        <v>332</v>
      </c>
    </row>
    <row r="41" ht="15.75">
      <c r="A41" s="311" t="s">
        <v>333</v>
      </c>
    </row>
    <row r="42" ht="15.75">
      <c r="A42" s="311" t="s">
        <v>334</v>
      </c>
    </row>
    <row r="43" ht="15.75">
      <c r="A43" s="311" t="s">
        <v>335</v>
      </c>
    </row>
    <row r="44" ht="15.75">
      <c r="A44" s="311" t="s">
        <v>336</v>
      </c>
    </row>
    <row r="45" ht="15.75">
      <c r="A45" s="311"/>
    </row>
    <row r="46" ht="15.75">
      <c r="A46" s="311" t="s">
        <v>337</v>
      </c>
    </row>
    <row r="47" ht="15.75">
      <c r="A47" s="311" t="s">
        <v>338</v>
      </c>
    </row>
    <row r="48" ht="15.75">
      <c r="A48" s="311" t="s">
        <v>339</v>
      </c>
    </row>
    <row r="49" ht="15.75">
      <c r="A49" s="311"/>
    </row>
    <row r="50" ht="15.75">
      <c r="A50" s="311" t="s">
        <v>340</v>
      </c>
    </row>
    <row r="51" ht="15.75">
      <c r="A51" s="311" t="s">
        <v>341</v>
      </c>
    </row>
    <row r="52" ht="15.75">
      <c r="A52" s="311" t="s">
        <v>342</v>
      </c>
    </row>
    <row r="53" ht="15.75">
      <c r="A53" s="311"/>
    </row>
    <row r="54" ht="15.75">
      <c r="A54" s="310" t="s">
        <v>343</v>
      </c>
    </row>
    <row r="55" ht="15.75">
      <c r="A55" s="311"/>
    </row>
    <row r="56" ht="15.75">
      <c r="A56" s="311" t="s">
        <v>344</v>
      </c>
    </row>
    <row r="57" ht="15.75">
      <c r="A57" s="311" t="s">
        <v>345</v>
      </c>
    </row>
    <row r="58" ht="15.75">
      <c r="A58" s="311" t="s">
        <v>346</v>
      </c>
    </row>
    <row r="59" ht="15.75">
      <c r="A59" s="311" t="s">
        <v>347</v>
      </c>
    </row>
    <row r="60" ht="15.75">
      <c r="A60" s="311" t="s">
        <v>348</v>
      </c>
    </row>
    <row r="61" ht="15.75">
      <c r="A61" s="311" t="s">
        <v>349</v>
      </c>
    </row>
    <row r="62" ht="15.75">
      <c r="A62" s="311" t="s">
        <v>350</v>
      </c>
    </row>
    <row r="63" ht="15.75">
      <c r="A63" s="311" t="s">
        <v>351</v>
      </c>
    </row>
    <row r="64" ht="15.75">
      <c r="A64" s="311" t="s">
        <v>352</v>
      </c>
    </row>
    <row r="65" ht="15.75">
      <c r="A65" s="311" t="s">
        <v>353</v>
      </c>
    </row>
    <row r="66" ht="15.75">
      <c r="A66" s="311" t="s">
        <v>354</v>
      </c>
    </row>
    <row r="67" ht="15.75">
      <c r="A67" s="311" t="s">
        <v>355</v>
      </c>
    </row>
    <row r="68" ht="15.75">
      <c r="A68" s="311" t="s">
        <v>356</v>
      </c>
    </row>
    <row r="69" ht="15.75">
      <c r="A69" s="311"/>
    </row>
    <row r="70" ht="15.75">
      <c r="A70" s="311" t="s">
        <v>357</v>
      </c>
    </row>
    <row r="71" ht="15.75">
      <c r="A71" s="311" t="s">
        <v>358</v>
      </c>
    </row>
    <row r="72" ht="15.75">
      <c r="A72" s="311" t="s">
        <v>359</v>
      </c>
    </row>
    <row r="73" ht="15.75">
      <c r="A73" s="311"/>
    </row>
    <row r="74" ht="15.75">
      <c r="A74" s="310" t="str">
        <f>CONCATENATE("What if the ",inputPrYr!D6-2," financial records have been closed?")</f>
        <v>What if the -2 financial records have been closed?</v>
      </c>
    </row>
    <row r="76" ht="15.75">
      <c r="A76" s="311" t="s">
        <v>360</v>
      </c>
    </row>
    <row r="77" ht="15.75">
      <c r="A77" s="311" t="str">
        <f>CONCATENATE("(i.e. an audit for ",inputPrYr!D6-2," has been completed, or the ",inputPrYr!D6)</f>
        <v>(i.e. an audit for -2 has been completed, or the </v>
      </c>
    </row>
    <row r="78" ht="15.75">
      <c r="A78" s="311" t="s">
        <v>361</v>
      </c>
    </row>
    <row r="79" ht="15.75">
      <c r="A79" s="311" t="s">
        <v>362</v>
      </c>
    </row>
    <row r="80" ht="15.75">
      <c r="A80" s="311"/>
    </row>
    <row r="81" ht="15.75">
      <c r="A81" s="311" t="s">
        <v>363</v>
      </c>
    </row>
    <row r="82" ht="15.75">
      <c r="A82" s="311" t="s">
        <v>364</v>
      </c>
    </row>
    <row r="83" ht="15.75">
      <c r="A83" s="311" t="s">
        <v>365</v>
      </c>
    </row>
    <row r="84" ht="15.75">
      <c r="A84" s="311"/>
    </row>
    <row r="85" ht="15.75">
      <c r="A85" s="311" t="s">
        <v>366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M111" sqref="M111"/>
    </sheetView>
  </sheetViews>
  <sheetFormatPr defaultColWidth="8.796875" defaultRowHeight="15.75"/>
  <cols>
    <col min="1" max="1" width="64.19921875" style="0" customWidth="1"/>
  </cols>
  <sheetData>
    <row r="3" spans="1:10" ht="15.75">
      <c r="A3" s="312" t="s">
        <v>367</v>
      </c>
      <c r="B3" s="312"/>
      <c r="C3" s="312"/>
      <c r="D3" s="312"/>
      <c r="E3" s="312"/>
      <c r="F3" s="312"/>
      <c r="G3" s="312"/>
      <c r="H3" s="309"/>
      <c r="I3" s="309"/>
      <c r="J3" s="309"/>
    </row>
    <row r="5" ht="15.75">
      <c r="A5" s="311" t="s">
        <v>368</v>
      </c>
    </row>
    <row r="6" ht="15.75">
      <c r="A6" t="str">
        <f>CONCATENATE(inputPrYr!D6-2," expenditures show that you finished the year with a ")</f>
        <v>-2 expenditures show that you finished the year with a </v>
      </c>
    </row>
    <row r="7" ht="15.75">
      <c r="A7" t="s">
        <v>369</v>
      </c>
    </row>
    <row r="9" ht="15.75">
      <c r="A9" t="s">
        <v>370</v>
      </c>
    </row>
    <row r="10" ht="15.75">
      <c r="A10" t="s">
        <v>371</v>
      </c>
    </row>
    <row r="11" ht="15.75">
      <c r="A11" t="s">
        <v>372</v>
      </c>
    </row>
    <row r="13" ht="15.75">
      <c r="A13" s="310" t="s">
        <v>373</v>
      </c>
    </row>
    <row r="14" ht="15.75">
      <c r="A14" s="310"/>
    </row>
    <row r="15" ht="15.75">
      <c r="A15" s="311" t="s">
        <v>374</v>
      </c>
    </row>
    <row r="16" ht="15.75">
      <c r="A16" s="311" t="s">
        <v>375</v>
      </c>
    </row>
    <row r="17" ht="15.75">
      <c r="A17" s="311" t="s">
        <v>376</v>
      </c>
    </row>
    <row r="18" ht="15.75">
      <c r="A18" s="311"/>
    </row>
    <row r="19" ht="15.75">
      <c r="A19" s="310" t="s">
        <v>377</v>
      </c>
    </row>
    <row r="20" ht="15.75">
      <c r="A20" s="310"/>
    </row>
    <row r="21" ht="15.75">
      <c r="A21" s="311" t="s">
        <v>378</v>
      </c>
    </row>
    <row r="22" ht="15.75">
      <c r="A22" s="311" t="s">
        <v>379</v>
      </c>
    </row>
    <row r="23" ht="15.75">
      <c r="A23" s="311" t="s">
        <v>380</v>
      </c>
    </row>
    <row r="24" ht="15.75">
      <c r="A24" s="311"/>
    </row>
    <row r="25" ht="15.75">
      <c r="A25" s="310" t="s">
        <v>381</v>
      </c>
    </row>
    <row r="26" ht="15.75">
      <c r="A26" s="310"/>
    </row>
    <row r="27" ht="15.75">
      <c r="A27" s="311" t="s">
        <v>382</v>
      </c>
    </row>
    <row r="28" ht="15.75">
      <c r="A28" s="311" t="s">
        <v>383</v>
      </c>
    </row>
    <row r="29" ht="15.75">
      <c r="A29" s="311" t="s">
        <v>384</v>
      </c>
    </row>
    <row r="30" ht="15.75">
      <c r="A30" s="311"/>
    </row>
    <row r="31" ht="15.75">
      <c r="A31" s="310" t="s">
        <v>385</v>
      </c>
    </row>
    <row r="32" ht="15.75">
      <c r="A32" s="310"/>
    </row>
    <row r="33" spans="1:8" ht="15.75">
      <c r="A33" s="311" t="str">
        <f>CONCATENATE("If your financial records for ",inputPrYr!D6-2," are not closed")</f>
        <v>If your financial records for -2 are not closed</v>
      </c>
      <c r="B33" s="311"/>
      <c r="C33" s="311"/>
      <c r="D33" s="311"/>
      <c r="E33" s="311"/>
      <c r="F33" s="311"/>
      <c r="G33" s="311"/>
      <c r="H33" s="311"/>
    </row>
    <row r="34" spans="1:8" ht="15.75">
      <c r="A34" s="311" t="str">
        <f>CONCATENATE("(i.e. an audit has not been completed, or the ",inputPrYr!D6," adopted ")</f>
        <v>(i.e. an audit has not been completed, or the  adopted </v>
      </c>
      <c r="B34" s="311"/>
      <c r="C34" s="311"/>
      <c r="D34" s="311"/>
      <c r="E34" s="311"/>
      <c r="F34" s="311"/>
      <c r="G34" s="311"/>
      <c r="H34" s="311"/>
    </row>
    <row r="35" spans="1:8" ht="15.75">
      <c r="A35" s="311" t="s">
        <v>386</v>
      </c>
      <c r="B35" s="311"/>
      <c r="C35" s="311"/>
      <c r="D35" s="311"/>
      <c r="E35" s="311"/>
      <c r="F35" s="311"/>
      <c r="G35" s="311"/>
      <c r="H35" s="311"/>
    </row>
    <row r="36" spans="1:8" ht="15.75">
      <c r="A36" s="311" t="s">
        <v>387</v>
      </c>
      <c r="B36" s="311"/>
      <c r="C36" s="311"/>
      <c r="D36" s="311"/>
      <c r="E36" s="311"/>
      <c r="F36" s="311"/>
      <c r="G36" s="311"/>
      <c r="H36" s="311"/>
    </row>
    <row r="37" spans="1:8" ht="15.75">
      <c r="A37" s="311" t="s">
        <v>388</v>
      </c>
      <c r="B37" s="311"/>
      <c r="C37" s="311"/>
      <c r="D37" s="311"/>
      <c r="E37" s="311"/>
      <c r="F37" s="311"/>
      <c r="G37" s="311"/>
      <c r="H37" s="311"/>
    </row>
    <row r="38" spans="1:8" ht="15.75">
      <c r="A38" s="311" t="s">
        <v>389</v>
      </c>
      <c r="B38" s="311"/>
      <c r="C38" s="311"/>
      <c r="D38" s="311"/>
      <c r="E38" s="311"/>
      <c r="F38" s="311"/>
      <c r="G38" s="311"/>
      <c r="H38" s="311"/>
    </row>
    <row r="39" spans="1:8" ht="15.75">
      <c r="A39" s="311" t="s">
        <v>390</v>
      </c>
      <c r="B39" s="311"/>
      <c r="C39" s="311"/>
      <c r="D39" s="311"/>
      <c r="E39" s="311"/>
      <c r="F39" s="311"/>
      <c r="G39" s="311"/>
      <c r="H39" s="311"/>
    </row>
    <row r="40" spans="1:8" ht="15.75">
      <c r="A40" s="311"/>
      <c r="B40" s="311"/>
      <c r="C40" s="311"/>
      <c r="D40" s="311"/>
      <c r="E40" s="311"/>
      <c r="F40" s="311"/>
      <c r="G40" s="311"/>
      <c r="H40" s="311"/>
    </row>
    <row r="41" spans="1:8" ht="15.75">
      <c r="A41" s="311" t="s">
        <v>391</v>
      </c>
      <c r="B41" s="311"/>
      <c r="C41" s="311"/>
      <c r="D41" s="311"/>
      <c r="E41" s="311"/>
      <c r="F41" s="311"/>
      <c r="G41" s="311"/>
      <c r="H41" s="311"/>
    </row>
    <row r="42" spans="1:8" ht="15.75">
      <c r="A42" s="311" t="s">
        <v>392</v>
      </c>
      <c r="B42" s="311"/>
      <c r="C42" s="311"/>
      <c r="D42" s="311"/>
      <c r="E42" s="311"/>
      <c r="F42" s="311"/>
      <c r="G42" s="311"/>
      <c r="H42" s="311"/>
    </row>
    <row r="43" spans="1:8" ht="15.75">
      <c r="A43" s="311" t="s">
        <v>393</v>
      </c>
      <c r="B43" s="311"/>
      <c r="C43" s="311"/>
      <c r="D43" s="311"/>
      <c r="E43" s="311"/>
      <c r="F43" s="311"/>
      <c r="G43" s="311"/>
      <c r="H43" s="311"/>
    </row>
    <row r="44" spans="1:8" ht="15.75">
      <c r="A44" s="311" t="s">
        <v>394</v>
      </c>
      <c r="B44" s="311"/>
      <c r="C44" s="311"/>
      <c r="D44" s="311"/>
      <c r="E44" s="311"/>
      <c r="F44" s="311"/>
      <c r="G44" s="311"/>
      <c r="H44" s="311"/>
    </row>
    <row r="45" spans="1:8" ht="15.75">
      <c r="A45" s="311"/>
      <c r="B45" s="311"/>
      <c r="C45" s="311"/>
      <c r="D45" s="311"/>
      <c r="E45" s="311"/>
      <c r="F45" s="311"/>
      <c r="G45" s="311"/>
      <c r="H45" s="311"/>
    </row>
    <row r="46" spans="1:8" ht="15.75">
      <c r="A46" s="311" t="s">
        <v>395</v>
      </c>
      <c r="B46" s="311"/>
      <c r="C46" s="311"/>
      <c r="D46" s="311"/>
      <c r="E46" s="311"/>
      <c r="F46" s="311"/>
      <c r="G46" s="311"/>
      <c r="H46" s="311"/>
    </row>
    <row r="47" spans="1:8" ht="15.75">
      <c r="A47" s="311" t="s">
        <v>396</v>
      </c>
      <c r="B47" s="311"/>
      <c r="C47" s="311"/>
      <c r="D47" s="311"/>
      <c r="E47" s="311"/>
      <c r="F47" s="311"/>
      <c r="G47" s="311"/>
      <c r="H47" s="311"/>
    </row>
    <row r="48" spans="1:8" ht="15.75">
      <c r="A48" s="311" t="s">
        <v>397</v>
      </c>
      <c r="B48" s="311"/>
      <c r="C48" s="311"/>
      <c r="D48" s="311"/>
      <c r="E48" s="311"/>
      <c r="F48" s="311"/>
      <c r="G48" s="311"/>
      <c r="H48" s="311"/>
    </row>
    <row r="49" spans="1:8" ht="15.75">
      <c r="A49" s="311" t="s">
        <v>398</v>
      </c>
      <c r="B49" s="311"/>
      <c r="C49" s="311"/>
      <c r="D49" s="311"/>
      <c r="E49" s="311"/>
      <c r="F49" s="311"/>
      <c r="G49" s="311"/>
      <c r="H49" s="311"/>
    </row>
    <row r="50" spans="1:8" ht="15.75">
      <c r="A50" s="311" t="s">
        <v>399</v>
      </c>
      <c r="B50" s="311"/>
      <c r="C50" s="311"/>
      <c r="D50" s="311"/>
      <c r="E50" s="311"/>
      <c r="F50" s="311"/>
      <c r="G50" s="311"/>
      <c r="H50" s="311"/>
    </row>
    <row r="51" spans="1:8" ht="15.75">
      <c r="A51" s="311"/>
      <c r="B51" s="311"/>
      <c r="C51" s="311"/>
      <c r="D51" s="311"/>
      <c r="E51" s="311"/>
      <c r="F51" s="311"/>
      <c r="G51" s="311"/>
      <c r="H51" s="311"/>
    </row>
    <row r="52" spans="1:8" ht="15.75">
      <c r="A52" s="310" t="s">
        <v>400</v>
      </c>
      <c r="B52" s="310"/>
      <c r="C52" s="310"/>
      <c r="D52" s="310"/>
      <c r="E52" s="310"/>
      <c r="F52" s="310"/>
      <c r="G52" s="310"/>
      <c r="H52" s="311"/>
    </row>
    <row r="53" spans="1:8" ht="15.75">
      <c r="A53" s="310" t="s">
        <v>401</v>
      </c>
      <c r="B53" s="310"/>
      <c r="C53" s="310"/>
      <c r="D53" s="310"/>
      <c r="E53" s="310"/>
      <c r="F53" s="310"/>
      <c r="G53" s="310"/>
      <c r="H53" s="311"/>
    </row>
    <row r="54" spans="1:8" ht="15.75">
      <c r="A54" s="311"/>
      <c r="B54" s="311"/>
      <c r="C54" s="311"/>
      <c r="D54" s="311"/>
      <c r="E54" s="311"/>
      <c r="F54" s="311"/>
      <c r="G54" s="311"/>
      <c r="H54" s="311"/>
    </row>
    <row r="55" spans="1:8" ht="15.75">
      <c r="A55" s="311" t="s">
        <v>402</v>
      </c>
      <c r="B55" s="311"/>
      <c r="C55" s="311"/>
      <c r="D55" s="311"/>
      <c r="E55" s="311"/>
      <c r="F55" s="311"/>
      <c r="G55" s="311"/>
      <c r="H55" s="311"/>
    </row>
    <row r="56" spans="1:8" ht="15.75">
      <c r="A56" s="311" t="s">
        <v>403</v>
      </c>
      <c r="B56" s="311"/>
      <c r="C56" s="311"/>
      <c r="D56" s="311"/>
      <c r="E56" s="311"/>
      <c r="F56" s="311"/>
      <c r="G56" s="311"/>
      <c r="H56" s="311"/>
    </row>
    <row r="57" spans="1:8" ht="15.75">
      <c r="A57" s="311" t="s">
        <v>404</v>
      </c>
      <c r="B57" s="311"/>
      <c r="C57" s="311"/>
      <c r="D57" s="311"/>
      <c r="E57" s="311"/>
      <c r="F57" s="311"/>
      <c r="G57" s="311"/>
      <c r="H57" s="311"/>
    </row>
    <row r="58" spans="1:8" ht="15.75">
      <c r="A58" s="311" t="s">
        <v>405</v>
      </c>
      <c r="B58" s="311"/>
      <c r="C58" s="311"/>
      <c r="D58" s="311"/>
      <c r="E58" s="311"/>
      <c r="F58" s="311"/>
      <c r="G58" s="311"/>
      <c r="H58" s="311"/>
    </row>
    <row r="59" spans="1:8" ht="15.75">
      <c r="A59" s="311"/>
      <c r="B59" s="311"/>
      <c r="C59" s="311"/>
      <c r="D59" s="311"/>
      <c r="E59" s="311"/>
      <c r="F59" s="311"/>
      <c r="G59" s="311"/>
      <c r="H59" s="311"/>
    </row>
    <row r="60" spans="1:8" ht="15.75">
      <c r="A60" s="311" t="s">
        <v>406</v>
      </c>
      <c r="B60" s="311"/>
      <c r="C60" s="311"/>
      <c r="D60" s="311"/>
      <c r="E60" s="311"/>
      <c r="F60" s="311"/>
      <c r="G60" s="311"/>
      <c r="H60" s="311"/>
    </row>
    <row r="61" spans="1:8" ht="15.75">
      <c r="A61" s="311" t="s">
        <v>407</v>
      </c>
      <c r="B61" s="311"/>
      <c r="C61" s="311"/>
      <c r="D61" s="311"/>
      <c r="E61" s="311"/>
      <c r="F61" s="311"/>
      <c r="G61" s="311"/>
      <c r="H61" s="311"/>
    </row>
    <row r="62" spans="1:8" ht="15.75">
      <c r="A62" s="311" t="s">
        <v>408</v>
      </c>
      <c r="B62" s="311"/>
      <c r="C62" s="311"/>
      <c r="D62" s="311"/>
      <c r="E62" s="311"/>
      <c r="F62" s="311"/>
      <c r="G62" s="311"/>
      <c r="H62" s="311"/>
    </row>
    <row r="63" spans="1:8" ht="15.75">
      <c r="A63" s="311" t="s">
        <v>409</v>
      </c>
      <c r="B63" s="311"/>
      <c r="C63" s="311"/>
      <c r="D63" s="311"/>
      <c r="E63" s="311"/>
      <c r="F63" s="311"/>
      <c r="G63" s="311"/>
      <c r="H63" s="311"/>
    </row>
    <row r="64" spans="1:8" ht="15.75">
      <c r="A64" s="311" t="s">
        <v>410</v>
      </c>
      <c r="B64" s="311"/>
      <c r="C64" s="311"/>
      <c r="D64" s="311"/>
      <c r="E64" s="311"/>
      <c r="F64" s="311"/>
      <c r="G64" s="311"/>
      <c r="H64" s="311"/>
    </row>
    <row r="65" spans="1:8" ht="15.75">
      <c r="A65" s="311" t="s">
        <v>411</v>
      </c>
      <c r="B65" s="311"/>
      <c r="C65" s="311"/>
      <c r="D65" s="311"/>
      <c r="E65" s="311"/>
      <c r="F65" s="311"/>
      <c r="G65" s="311"/>
      <c r="H65" s="311"/>
    </row>
    <row r="66" spans="1:8" ht="15.75">
      <c r="A66" s="311"/>
      <c r="B66" s="311"/>
      <c r="C66" s="311"/>
      <c r="D66" s="311"/>
      <c r="E66" s="311"/>
      <c r="F66" s="311"/>
      <c r="G66" s="311"/>
      <c r="H66" s="311"/>
    </row>
    <row r="67" spans="1:8" ht="15.75">
      <c r="A67" s="311" t="s">
        <v>412</v>
      </c>
      <c r="B67" s="311"/>
      <c r="C67" s="311"/>
      <c r="D67" s="311"/>
      <c r="E67" s="311"/>
      <c r="F67" s="311"/>
      <c r="G67" s="311"/>
      <c r="H67" s="311"/>
    </row>
    <row r="68" spans="1:8" ht="15.75">
      <c r="A68" s="311" t="s">
        <v>413</v>
      </c>
      <c r="B68" s="311"/>
      <c r="C68" s="311"/>
      <c r="D68" s="311"/>
      <c r="E68" s="311"/>
      <c r="F68" s="311"/>
      <c r="G68" s="311"/>
      <c r="H68" s="311"/>
    </row>
    <row r="69" spans="1:8" ht="15.75">
      <c r="A69" s="311" t="s">
        <v>414</v>
      </c>
      <c r="B69" s="311"/>
      <c r="C69" s="311"/>
      <c r="D69" s="311"/>
      <c r="E69" s="311"/>
      <c r="F69" s="311"/>
      <c r="G69" s="311"/>
      <c r="H69" s="311"/>
    </row>
    <row r="70" spans="1:8" ht="15.75">
      <c r="A70" s="311" t="s">
        <v>415</v>
      </c>
      <c r="B70" s="311"/>
      <c r="C70" s="311"/>
      <c r="D70" s="311"/>
      <c r="E70" s="311"/>
      <c r="F70" s="311"/>
      <c r="G70" s="311"/>
      <c r="H70" s="311"/>
    </row>
    <row r="71" spans="1:8" ht="15.75">
      <c r="A71" s="311" t="s">
        <v>416</v>
      </c>
      <c r="B71" s="311"/>
      <c r="C71" s="311"/>
      <c r="D71" s="311"/>
      <c r="E71" s="311"/>
      <c r="F71" s="311"/>
      <c r="G71" s="311"/>
      <c r="H71" s="311"/>
    </row>
    <row r="72" spans="1:8" ht="15.75">
      <c r="A72" s="311" t="s">
        <v>417</v>
      </c>
      <c r="B72" s="311"/>
      <c r="C72" s="311"/>
      <c r="D72" s="311"/>
      <c r="E72" s="311"/>
      <c r="F72" s="311"/>
      <c r="G72" s="311"/>
      <c r="H72" s="311"/>
    </row>
    <row r="73" spans="1:8" ht="15.75">
      <c r="A73" s="311" t="s">
        <v>418</v>
      </c>
      <c r="B73" s="311"/>
      <c r="C73" s="311"/>
      <c r="D73" s="311"/>
      <c r="E73" s="311"/>
      <c r="F73" s="311"/>
      <c r="G73" s="311"/>
      <c r="H73" s="311"/>
    </row>
    <row r="74" spans="1:8" ht="15.75">
      <c r="A74" s="311"/>
      <c r="B74" s="311"/>
      <c r="C74" s="311"/>
      <c r="D74" s="311"/>
      <c r="E74" s="311"/>
      <c r="F74" s="311"/>
      <c r="G74" s="311"/>
      <c r="H74" s="311"/>
    </row>
    <row r="75" spans="1:8" ht="15.75">
      <c r="A75" s="311" t="s">
        <v>419</v>
      </c>
      <c r="B75" s="311"/>
      <c r="C75" s="311"/>
      <c r="D75" s="311"/>
      <c r="E75" s="311"/>
      <c r="F75" s="311"/>
      <c r="G75" s="311"/>
      <c r="H75" s="311"/>
    </row>
    <row r="76" spans="1:8" ht="15.75">
      <c r="A76" s="311" t="s">
        <v>420</v>
      </c>
      <c r="B76" s="311"/>
      <c r="C76" s="311"/>
      <c r="D76" s="311"/>
      <c r="E76" s="311"/>
      <c r="F76" s="311"/>
      <c r="G76" s="311"/>
      <c r="H76" s="311"/>
    </row>
    <row r="77" spans="1:8" ht="15.75">
      <c r="A77" s="311" t="s">
        <v>421</v>
      </c>
      <c r="B77" s="311"/>
      <c r="C77" s="311"/>
      <c r="D77" s="311"/>
      <c r="E77" s="311"/>
      <c r="F77" s="311"/>
      <c r="G77" s="311"/>
      <c r="H77" s="311"/>
    </row>
    <row r="78" spans="1:8" ht="15.75">
      <c r="A78" s="311"/>
      <c r="B78" s="311"/>
      <c r="C78" s="311"/>
      <c r="D78" s="311"/>
      <c r="E78" s="311"/>
      <c r="F78" s="311"/>
      <c r="G78" s="311"/>
      <c r="H78" s="311"/>
    </row>
    <row r="79" ht="15.75">
      <c r="A79" s="311" t="s">
        <v>366</v>
      </c>
    </row>
    <row r="80" ht="15.75">
      <c r="A80" s="310"/>
    </row>
    <row r="81" ht="15.75">
      <c r="A81" s="311"/>
    </row>
    <row r="82" ht="15.75">
      <c r="A82" s="311"/>
    </row>
    <row r="83" ht="15.75">
      <c r="A83" s="311"/>
    </row>
    <row r="84" ht="15.75">
      <c r="A84" s="311"/>
    </row>
    <row r="85" ht="15.75">
      <c r="A85" s="311"/>
    </row>
    <row r="86" ht="15.75">
      <c r="A86" s="311"/>
    </row>
    <row r="87" ht="15.75">
      <c r="A87" s="311"/>
    </row>
    <row r="88" ht="15.75">
      <c r="A88" s="311"/>
    </row>
    <row r="89" ht="15.75">
      <c r="A89" s="311"/>
    </row>
    <row r="90" ht="15.75">
      <c r="A90" s="311"/>
    </row>
    <row r="91" ht="15.75">
      <c r="A91" s="311"/>
    </row>
    <row r="92" ht="15.75">
      <c r="A92" s="311"/>
    </row>
    <row r="93" ht="15.75">
      <c r="A93" s="311"/>
    </row>
    <row r="94" ht="15.75">
      <c r="A94" s="311"/>
    </row>
    <row r="95" ht="15.75">
      <c r="A95" s="311"/>
    </row>
    <row r="96" ht="15.75">
      <c r="A96" s="311"/>
    </row>
    <row r="97" ht="15.75">
      <c r="A97" s="311"/>
    </row>
    <row r="98" ht="15.75">
      <c r="A98" s="311"/>
    </row>
    <row r="99" ht="15.75">
      <c r="A99" s="311"/>
    </row>
    <row r="100" ht="15.75">
      <c r="A100" s="311"/>
    </row>
    <row r="101" ht="15.75">
      <c r="A101" s="311"/>
    </row>
    <row r="103" ht="15.75">
      <c r="A103" s="311"/>
    </row>
    <row r="104" ht="15.75">
      <c r="A104" s="311"/>
    </row>
    <row r="105" ht="15.75">
      <c r="A105" s="311"/>
    </row>
    <row r="107" ht="15.75">
      <c r="A107" s="310"/>
    </row>
    <row r="108" ht="15.75">
      <c r="A108" s="310"/>
    </row>
    <row r="109" ht="15.75">
      <c r="A109" s="31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M110" sqref="M110"/>
    </sheetView>
  </sheetViews>
  <sheetFormatPr defaultColWidth="8.796875" defaultRowHeight="15.75"/>
  <cols>
    <col min="1" max="1" width="64.19921875" style="0" customWidth="1"/>
  </cols>
  <sheetData>
    <row r="3" spans="1:12" ht="15.75">
      <c r="A3" s="312" t="s">
        <v>422</v>
      </c>
      <c r="B3" s="312"/>
      <c r="C3" s="312"/>
      <c r="D3" s="312"/>
      <c r="E3" s="312"/>
      <c r="F3" s="312"/>
      <c r="G3" s="312"/>
      <c r="H3" s="312"/>
      <c r="I3" s="312"/>
      <c r="J3" s="312"/>
      <c r="K3" s="312"/>
      <c r="L3" s="312"/>
    </row>
    <row r="4" spans="1:12" ht="15.75">
      <c r="A4" s="312"/>
      <c r="B4" s="312"/>
      <c r="C4" s="312"/>
      <c r="D4" s="312"/>
      <c r="E4" s="312"/>
      <c r="F4" s="312"/>
      <c r="G4" s="312"/>
      <c r="H4" s="312"/>
      <c r="I4" s="312"/>
      <c r="J4" s="312"/>
      <c r="K4" s="312"/>
      <c r="L4" s="312"/>
    </row>
    <row r="5" spans="1:12" ht="15.75">
      <c r="A5" s="311" t="s">
        <v>313</v>
      </c>
      <c r="I5" s="312"/>
      <c r="J5" s="312"/>
      <c r="K5" s="312"/>
      <c r="L5" s="312"/>
    </row>
    <row r="6" spans="1:12" ht="15.75">
      <c r="A6" s="311" t="str">
        <f>CONCATENATE("estimated ",inputPrYr!D6-1," 'total expenditures' exceed your ",inputPrYr!D6-1,"")</f>
        <v>estimated -1 'total expenditures' exceed your -1</v>
      </c>
      <c r="I6" s="312"/>
      <c r="J6" s="312"/>
      <c r="K6" s="312"/>
      <c r="L6" s="312"/>
    </row>
    <row r="7" spans="1:12" ht="15.75">
      <c r="A7" s="323" t="s">
        <v>423</v>
      </c>
      <c r="I7" s="312"/>
      <c r="J7" s="312"/>
      <c r="K7" s="312"/>
      <c r="L7" s="312"/>
    </row>
    <row r="8" spans="1:12" ht="15.75">
      <c r="A8" s="311"/>
      <c r="I8" s="312"/>
      <c r="J8" s="312"/>
      <c r="K8" s="312"/>
      <c r="L8" s="312"/>
    </row>
    <row r="9" spans="1:12" ht="15.75">
      <c r="A9" s="311" t="s">
        <v>424</v>
      </c>
      <c r="I9" s="312"/>
      <c r="J9" s="312"/>
      <c r="K9" s="312"/>
      <c r="L9" s="312"/>
    </row>
    <row r="10" spans="1:12" ht="15.75">
      <c r="A10" s="311" t="s">
        <v>425</v>
      </c>
      <c r="I10" s="312"/>
      <c r="J10" s="312"/>
      <c r="K10" s="312"/>
      <c r="L10" s="312"/>
    </row>
    <row r="11" spans="1:12" ht="15.75">
      <c r="A11" s="311" t="s">
        <v>426</v>
      </c>
      <c r="I11" s="312"/>
      <c r="J11" s="312"/>
      <c r="K11" s="312"/>
      <c r="L11" s="312"/>
    </row>
    <row r="12" spans="1:12" ht="15.75">
      <c r="A12" s="311" t="s">
        <v>427</v>
      </c>
      <c r="I12" s="312"/>
      <c r="J12" s="312"/>
      <c r="K12" s="312"/>
      <c r="L12" s="312"/>
    </row>
    <row r="13" spans="1:12" ht="15.75">
      <c r="A13" s="311" t="s">
        <v>428</v>
      </c>
      <c r="I13" s="312"/>
      <c r="J13" s="312"/>
      <c r="K13" s="312"/>
      <c r="L13" s="312"/>
    </row>
    <row r="14" spans="1:12" ht="15.75">
      <c r="A14" s="312"/>
      <c r="B14" s="312"/>
      <c r="C14" s="312"/>
      <c r="D14" s="312"/>
      <c r="E14" s="312"/>
      <c r="F14" s="312"/>
      <c r="G14" s="312"/>
      <c r="H14" s="312"/>
      <c r="I14" s="312"/>
      <c r="J14" s="312"/>
      <c r="K14" s="312"/>
      <c r="L14" s="312"/>
    </row>
    <row r="15" ht="15.75">
      <c r="A15" s="310" t="s">
        <v>429</v>
      </c>
    </row>
    <row r="16" ht="15.75">
      <c r="A16" s="310" t="s">
        <v>430</v>
      </c>
    </row>
    <row r="17" ht="15.75">
      <c r="A17" s="310"/>
    </row>
    <row r="18" spans="1:7" ht="15.75">
      <c r="A18" s="311" t="s">
        <v>431</v>
      </c>
      <c r="B18" s="311"/>
      <c r="C18" s="311"/>
      <c r="D18" s="311"/>
      <c r="E18" s="311"/>
      <c r="F18" s="311"/>
      <c r="G18" s="311"/>
    </row>
    <row r="19" spans="1:7" ht="15.75">
      <c r="A19" s="311" t="str">
        <f>CONCATENATE("your ",inputPrYr!D6-1," numbers to see what steps might be necessary to")</f>
        <v>your -1 numbers to see what steps might be necessary to</v>
      </c>
      <c r="B19" s="311"/>
      <c r="C19" s="311"/>
      <c r="D19" s="311"/>
      <c r="E19" s="311"/>
      <c r="F19" s="311"/>
      <c r="G19" s="311"/>
    </row>
    <row r="20" spans="1:7" ht="15.75">
      <c r="A20" s="311" t="s">
        <v>432</v>
      </c>
      <c r="B20" s="311"/>
      <c r="C20" s="311"/>
      <c r="D20" s="311"/>
      <c r="E20" s="311"/>
      <c r="F20" s="311"/>
      <c r="G20" s="311"/>
    </row>
    <row r="21" spans="1:7" ht="15.75">
      <c r="A21" s="311" t="s">
        <v>433</v>
      </c>
      <c r="B21" s="311"/>
      <c r="C21" s="311"/>
      <c r="D21" s="311"/>
      <c r="E21" s="311"/>
      <c r="F21" s="311"/>
      <c r="G21" s="311"/>
    </row>
    <row r="22" ht="15.75">
      <c r="A22" s="311"/>
    </row>
    <row r="23" ht="15.75">
      <c r="A23" s="310" t="s">
        <v>434</v>
      </c>
    </row>
    <row r="24" ht="15.75">
      <c r="A24" s="310"/>
    </row>
    <row r="25" ht="15.75">
      <c r="A25" s="311" t="s">
        <v>435</v>
      </c>
    </row>
    <row r="26" spans="1:6" ht="15.75">
      <c r="A26" s="311" t="s">
        <v>436</v>
      </c>
      <c r="B26" s="311"/>
      <c r="C26" s="311"/>
      <c r="D26" s="311"/>
      <c r="E26" s="311"/>
      <c r="F26" s="311"/>
    </row>
    <row r="27" spans="1:6" ht="15.75">
      <c r="A27" s="311" t="s">
        <v>437</v>
      </c>
      <c r="B27" s="311"/>
      <c r="C27" s="311"/>
      <c r="D27" s="311"/>
      <c r="E27" s="311"/>
      <c r="F27" s="311"/>
    </row>
    <row r="28" spans="1:6" ht="15.75">
      <c r="A28" s="311" t="s">
        <v>438</v>
      </c>
      <c r="B28" s="311"/>
      <c r="C28" s="311"/>
      <c r="D28" s="311"/>
      <c r="E28" s="311"/>
      <c r="F28" s="311"/>
    </row>
    <row r="29" spans="1:6" ht="15.75">
      <c r="A29" s="311"/>
      <c r="B29" s="311"/>
      <c r="C29" s="311"/>
      <c r="D29" s="311"/>
      <c r="E29" s="311"/>
      <c r="F29" s="311"/>
    </row>
    <row r="30" spans="1:7" ht="15.75">
      <c r="A30" s="310" t="s">
        <v>439</v>
      </c>
      <c r="B30" s="310"/>
      <c r="C30" s="310"/>
      <c r="D30" s="310"/>
      <c r="E30" s="310"/>
      <c r="F30" s="310"/>
      <c r="G30" s="310"/>
    </row>
    <row r="31" spans="1:7" ht="15.75">
      <c r="A31" s="310" t="s">
        <v>440</v>
      </c>
      <c r="B31" s="310"/>
      <c r="C31" s="310"/>
      <c r="D31" s="310"/>
      <c r="E31" s="310"/>
      <c r="F31" s="310"/>
      <c r="G31" s="310"/>
    </row>
    <row r="32" spans="1:6" ht="15.75">
      <c r="A32" s="311"/>
      <c r="B32" s="311"/>
      <c r="C32" s="311"/>
      <c r="D32" s="311"/>
      <c r="E32" s="311"/>
      <c r="F32" s="311"/>
    </row>
    <row r="33" spans="1:6" ht="15.75">
      <c r="A33" s="320" t="str">
        <f>CONCATENATE("Well, let's look to see if any of your ",inputPrYr!D6-1," expenditures can")</f>
        <v>Well, let's look to see if any of your -1 expenditures can</v>
      </c>
      <c r="B33" s="311"/>
      <c r="C33" s="311"/>
      <c r="D33" s="311"/>
      <c r="E33" s="311"/>
      <c r="F33" s="311"/>
    </row>
    <row r="34" spans="1:6" ht="15.75">
      <c r="A34" s="320" t="s">
        <v>441</v>
      </c>
      <c r="B34" s="311"/>
      <c r="C34" s="311"/>
      <c r="D34" s="311"/>
      <c r="E34" s="311"/>
      <c r="F34" s="311"/>
    </row>
    <row r="35" spans="1:6" ht="15.75">
      <c r="A35" s="320" t="s">
        <v>327</v>
      </c>
      <c r="B35" s="311"/>
      <c r="C35" s="311"/>
      <c r="D35" s="311"/>
      <c r="E35" s="311"/>
      <c r="F35" s="311"/>
    </row>
    <row r="36" spans="1:6" ht="15.75">
      <c r="A36" s="320" t="s">
        <v>328</v>
      </c>
      <c r="B36" s="311"/>
      <c r="C36" s="311"/>
      <c r="D36" s="311"/>
      <c r="E36" s="311"/>
      <c r="F36" s="311"/>
    </row>
    <row r="37" spans="1:6" ht="15.75">
      <c r="A37" s="320"/>
      <c r="B37" s="311"/>
      <c r="C37" s="311"/>
      <c r="D37" s="311"/>
      <c r="E37" s="311"/>
      <c r="F37" s="311"/>
    </row>
    <row r="38" spans="1:6" ht="15.75">
      <c r="A38" s="320" t="str">
        <f>CONCATENATE("Additionally, do your ",inputPrYr!D6-1," receipts contain a reimbursement")</f>
        <v>Additionally, do your -1 receipts contain a reimbursement</v>
      </c>
      <c r="B38" s="311"/>
      <c r="C38" s="311"/>
      <c r="D38" s="311"/>
      <c r="E38" s="311"/>
      <c r="F38" s="311"/>
    </row>
    <row r="39" spans="1:6" ht="15.75">
      <c r="A39" s="320" t="s">
        <v>329</v>
      </c>
      <c r="B39" s="311"/>
      <c r="C39" s="311"/>
      <c r="D39" s="311"/>
      <c r="E39" s="311"/>
      <c r="F39" s="311"/>
    </row>
    <row r="40" spans="1:6" ht="15.75">
      <c r="A40" s="320" t="s">
        <v>330</v>
      </c>
      <c r="B40" s="311"/>
      <c r="C40" s="311"/>
      <c r="D40" s="311"/>
      <c r="E40" s="311"/>
      <c r="F40" s="311"/>
    </row>
    <row r="41" spans="1:6" ht="15.75">
      <c r="A41" s="320"/>
      <c r="B41" s="311"/>
      <c r="C41" s="311"/>
      <c r="D41" s="311"/>
      <c r="E41" s="311"/>
      <c r="F41" s="311"/>
    </row>
    <row r="42" spans="1:6" ht="15.75">
      <c r="A42" s="320" t="s">
        <v>331</v>
      </c>
      <c r="B42" s="311"/>
      <c r="C42" s="311"/>
      <c r="D42" s="311"/>
      <c r="E42" s="311"/>
      <c r="F42" s="311"/>
    </row>
    <row r="43" spans="1:6" ht="15.75">
      <c r="A43" s="320" t="s">
        <v>517</v>
      </c>
      <c r="B43" s="311"/>
      <c r="C43" s="311"/>
      <c r="D43" s="311"/>
      <c r="E43" s="311"/>
      <c r="F43" s="311"/>
    </row>
    <row r="44" spans="1:6" ht="15.75">
      <c r="A44" s="320" t="s">
        <v>518</v>
      </c>
      <c r="B44" s="311"/>
      <c r="C44" s="311"/>
      <c r="D44" s="311"/>
      <c r="E44" s="311"/>
      <c r="F44" s="311"/>
    </row>
    <row r="45" spans="1:6" ht="15.75">
      <c r="A45" s="320" t="s">
        <v>442</v>
      </c>
      <c r="B45" s="311"/>
      <c r="C45" s="311"/>
      <c r="D45" s="311"/>
      <c r="E45" s="311"/>
      <c r="F45" s="311"/>
    </row>
    <row r="46" spans="1:6" ht="15.75">
      <c r="A46" s="320" t="s">
        <v>333</v>
      </c>
      <c r="B46" s="311"/>
      <c r="C46" s="311"/>
      <c r="D46" s="311"/>
      <c r="E46" s="311"/>
      <c r="F46" s="311"/>
    </row>
    <row r="47" spans="1:6" ht="15.75">
      <c r="A47" s="320" t="s">
        <v>443</v>
      </c>
      <c r="B47" s="311"/>
      <c r="C47" s="311"/>
      <c r="D47" s="311"/>
      <c r="E47" s="311"/>
      <c r="F47" s="311"/>
    </row>
    <row r="48" spans="1:6" ht="15.75">
      <c r="A48" s="320" t="s">
        <v>444</v>
      </c>
      <c r="B48" s="311"/>
      <c r="C48" s="311"/>
      <c r="D48" s="311"/>
      <c r="E48" s="311"/>
      <c r="F48" s="311"/>
    </row>
    <row r="49" spans="1:6" ht="15.75">
      <c r="A49" s="320" t="s">
        <v>336</v>
      </c>
      <c r="B49" s="311"/>
      <c r="C49" s="311"/>
      <c r="D49" s="311"/>
      <c r="E49" s="311"/>
      <c r="F49" s="311"/>
    </row>
    <row r="50" spans="1:6" ht="15.75">
      <c r="A50" s="320"/>
      <c r="B50" s="311"/>
      <c r="C50" s="311"/>
      <c r="D50" s="311"/>
      <c r="E50" s="311"/>
      <c r="F50" s="311"/>
    </row>
    <row r="51" spans="1:6" ht="15.75">
      <c r="A51" s="320" t="s">
        <v>337</v>
      </c>
      <c r="B51" s="311"/>
      <c r="C51" s="311"/>
      <c r="D51" s="311"/>
      <c r="E51" s="311"/>
      <c r="F51" s="311"/>
    </row>
    <row r="52" spans="1:6" ht="15.75">
      <c r="A52" s="320" t="s">
        <v>338</v>
      </c>
      <c r="B52" s="311"/>
      <c r="C52" s="311"/>
      <c r="D52" s="311"/>
      <c r="E52" s="311"/>
      <c r="F52" s="311"/>
    </row>
    <row r="53" spans="1:6" ht="15.75">
      <c r="A53" s="320" t="s">
        <v>339</v>
      </c>
      <c r="B53" s="311"/>
      <c r="C53" s="311"/>
      <c r="D53" s="311"/>
      <c r="E53" s="311"/>
      <c r="F53" s="311"/>
    </row>
    <row r="54" spans="1:6" ht="15.75">
      <c r="A54" s="320"/>
      <c r="B54" s="311"/>
      <c r="C54" s="311"/>
      <c r="D54" s="311"/>
      <c r="E54" s="311"/>
      <c r="F54" s="311"/>
    </row>
    <row r="55" spans="1:6" ht="15.75">
      <c r="A55" s="320" t="s">
        <v>445</v>
      </c>
      <c r="B55" s="311"/>
      <c r="C55" s="311"/>
      <c r="D55" s="311"/>
      <c r="E55" s="311"/>
      <c r="F55" s="311"/>
    </row>
    <row r="56" spans="1:6" ht="15.75">
      <c r="A56" s="320" t="s">
        <v>446</v>
      </c>
      <c r="B56" s="311"/>
      <c r="C56" s="311"/>
      <c r="D56" s="311"/>
      <c r="E56" s="311"/>
      <c r="F56" s="311"/>
    </row>
    <row r="57" spans="1:6" ht="15.75">
      <c r="A57" s="320" t="s">
        <v>447</v>
      </c>
      <c r="B57" s="311"/>
      <c r="C57" s="311"/>
      <c r="D57" s="311"/>
      <c r="E57" s="311"/>
      <c r="F57" s="311"/>
    </row>
    <row r="58" spans="1:6" ht="15.75">
      <c r="A58" s="320" t="s">
        <v>448</v>
      </c>
      <c r="B58" s="311"/>
      <c r="C58" s="311"/>
      <c r="D58" s="311"/>
      <c r="E58" s="311"/>
      <c r="F58" s="311"/>
    </row>
    <row r="59" spans="1:6" ht="15.75">
      <c r="A59" s="320" t="s">
        <v>449</v>
      </c>
      <c r="B59" s="311"/>
      <c r="C59" s="311"/>
      <c r="D59" s="311"/>
      <c r="E59" s="311"/>
      <c r="F59" s="311"/>
    </row>
    <row r="60" spans="1:6" ht="15.75">
      <c r="A60" s="320"/>
      <c r="B60" s="311"/>
      <c r="C60" s="311"/>
      <c r="D60" s="311"/>
      <c r="E60" s="311"/>
      <c r="F60" s="311"/>
    </row>
    <row r="61" spans="1:6" ht="15.75">
      <c r="A61" s="321" t="s">
        <v>450</v>
      </c>
      <c r="B61" s="311"/>
      <c r="C61" s="311"/>
      <c r="D61" s="311"/>
      <c r="E61" s="311"/>
      <c r="F61" s="311"/>
    </row>
    <row r="62" spans="1:6" ht="15.75">
      <c r="A62" s="321" t="s">
        <v>451</v>
      </c>
      <c r="B62" s="311"/>
      <c r="C62" s="311"/>
      <c r="D62" s="311"/>
      <c r="E62" s="311"/>
      <c r="F62" s="311"/>
    </row>
    <row r="63" spans="1:6" ht="15.75">
      <c r="A63" s="321" t="s">
        <v>452</v>
      </c>
      <c r="B63" s="311"/>
      <c r="C63" s="311"/>
      <c r="D63" s="311"/>
      <c r="E63" s="311"/>
      <c r="F63" s="311"/>
    </row>
    <row r="64" ht="15.75">
      <c r="A64" s="321" t="s">
        <v>453</v>
      </c>
    </row>
    <row r="65" ht="15.75">
      <c r="A65" s="321" t="s">
        <v>454</v>
      </c>
    </row>
    <row r="66" ht="15.75">
      <c r="A66" s="321" t="s">
        <v>455</v>
      </c>
    </row>
    <row r="68" ht="15.75">
      <c r="A68" s="311" t="s">
        <v>456</v>
      </c>
    </row>
    <row r="69" ht="15.75">
      <c r="A69" s="311" t="s">
        <v>457</v>
      </c>
    </row>
    <row r="70" ht="15.75">
      <c r="A70" s="311" t="s">
        <v>458</v>
      </c>
    </row>
    <row r="71" ht="15.75">
      <c r="A71" s="311" t="s">
        <v>459</v>
      </c>
    </row>
    <row r="72" ht="15.75">
      <c r="A72" s="311" t="s">
        <v>460</v>
      </c>
    </row>
    <row r="73" ht="15.75">
      <c r="A73" s="311" t="s">
        <v>461</v>
      </c>
    </row>
    <row r="75" ht="15.75">
      <c r="A75" s="311" t="s">
        <v>366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9"/>
  <sheetViews>
    <sheetView zoomScalePageLayoutView="0" workbookViewId="0" topLeftCell="A1">
      <selection activeCell="AA12" sqref="AA12"/>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75">
      <c r="A1" s="75">
        <f>inputPrYr!D3</f>
        <v>0</v>
      </c>
      <c r="B1" s="77"/>
      <c r="C1" s="77"/>
      <c r="D1" s="77"/>
      <c r="E1" s="77">
        <f>inputPrYr!D6</f>
        <v>0</v>
      </c>
    </row>
    <row r="2" spans="1:5" ht="15.75">
      <c r="A2" s="75">
        <f>inputPrYr!D4</f>
        <v>0</v>
      </c>
      <c r="B2" s="77"/>
      <c r="C2" s="77"/>
      <c r="D2" s="77"/>
      <c r="E2" s="77"/>
    </row>
    <row r="3" spans="1:5" ht="15.75">
      <c r="A3" s="77"/>
      <c r="B3" s="77"/>
      <c r="C3" s="77"/>
      <c r="D3" s="77"/>
      <c r="E3" s="77"/>
    </row>
    <row r="4" spans="1:5" ht="15.75">
      <c r="A4" s="836" t="s">
        <v>802</v>
      </c>
      <c r="B4" s="837"/>
      <c r="C4" s="837"/>
      <c r="D4" s="837"/>
      <c r="E4" s="837"/>
    </row>
    <row r="5" spans="1:5" ht="15.75">
      <c r="A5" s="77"/>
      <c r="B5" s="77"/>
      <c r="C5" s="77"/>
      <c r="D5" s="77"/>
      <c r="E5" s="77"/>
    </row>
    <row r="6" spans="1:5" ht="15.75">
      <c r="A6" s="732" t="str">
        <f>CONCATENATE("From the County Clerk's Budget Information for ",E1,":")</f>
        <v>From the County Clerk's Budget Information for 0:</v>
      </c>
      <c r="B6" s="731"/>
      <c r="C6" s="730"/>
      <c r="D6" s="3"/>
      <c r="E6" s="44"/>
    </row>
    <row r="7" spans="1:5" ht="15.75">
      <c r="A7" s="11" t="str">
        <f>CONCATENATE("Total Assessed Valuation for ",E1-1,"")</f>
        <v>Total Assessed Valuation for -1</v>
      </c>
      <c r="B7" s="8"/>
      <c r="C7" s="8"/>
      <c r="D7" s="8"/>
      <c r="E7" s="23"/>
    </row>
    <row r="8" spans="1:5" ht="15.75">
      <c r="A8" s="11" t="str">
        <f>CONCATENATE("New Improvements for ",E1-1,"")</f>
        <v>New Improvements for -1</v>
      </c>
      <c r="B8" s="8"/>
      <c r="C8" s="8"/>
      <c r="D8" s="8"/>
      <c r="E8" s="680"/>
    </row>
    <row r="9" spans="1:5" ht="15.75">
      <c r="A9" s="11" t="str">
        <f>CONCATENATE("Personal Property - ",E1-1,"")</f>
        <v>Personal Property - -1</v>
      </c>
      <c r="B9" s="8"/>
      <c r="C9" s="8"/>
      <c r="D9" s="8"/>
      <c r="E9" s="680"/>
    </row>
    <row r="10" spans="1:5" ht="15.75">
      <c r="A10" s="11" t="str">
        <f>CONCATENATE("Property that has changed in use for ",E1-1,"")</f>
        <v>Property that has changed in use for -1</v>
      </c>
      <c r="B10" s="8"/>
      <c r="C10" s="8"/>
      <c r="D10" s="8"/>
      <c r="E10" s="680"/>
    </row>
    <row r="11" spans="1:5" ht="15.75">
      <c r="A11" s="11" t="str">
        <f>CONCATENATE("Personal Property - ",E1-2,"")</f>
        <v>Personal Property - -2</v>
      </c>
      <c r="B11" s="8"/>
      <c r="C11" s="8"/>
      <c r="D11" s="8"/>
      <c r="E11" s="680"/>
    </row>
    <row r="12" spans="1:5" ht="15.75">
      <c r="A12" s="11" t="str">
        <f>CONCATENATE("Gross earnings (intangible) tax estimate for ",E1,"")</f>
        <v>Gross earnings (intangible) tax estimate for 0</v>
      </c>
      <c r="B12" s="8"/>
      <c r="C12" s="8"/>
      <c r="D12" s="8"/>
      <c r="E12" s="680"/>
    </row>
    <row r="13" spans="1:5" ht="15.75">
      <c r="A13" s="11" t="str">
        <f>CONCATENATE("Neighborhood Revitalization - ",E1,"")</f>
        <v>Neighborhood Revitalization - 0</v>
      </c>
      <c r="B13" s="8"/>
      <c r="C13" s="8"/>
      <c r="D13" s="8"/>
      <c r="E13" s="680"/>
    </row>
    <row r="14" spans="1:5" ht="15.75">
      <c r="A14" s="11"/>
      <c r="B14" s="8"/>
      <c r="C14" s="8"/>
      <c r="D14" s="8"/>
      <c r="E14" s="256"/>
    </row>
    <row r="15" spans="1:5" ht="15.75">
      <c r="A15" s="257" t="str">
        <f>CONCATENATE("Actual Tax Rates for the ",E1-1," Budget:")</f>
        <v>Actual Tax Rates for the -1 Budget:</v>
      </c>
      <c r="B15" s="8"/>
      <c r="C15" s="8"/>
      <c r="D15" s="8"/>
      <c r="E15" s="258"/>
    </row>
    <row r="16" spans="1:5" ht="15.75">
      <c r="A16" s="847" t="s">
        <v>247</v>
      </c>
      <c r="B16" s="848"/>
      <c r="C16" s="77"/>
      <c r="D16" s="259" t="s">
        <v>3</v>
      </c>
      <c r="E16" s="258"/>
    </row>
    <row r="17" spans="1:5" ht="15.75">
      <c r="A17" s="59" t="str">
        <f>inputPrYr!B19</f>
        <v>General</v>
      </c>
      <c r="B17" s="9"/>
      <c r="C17" s="8"/>
      <c r="D17" s="681"/>
      <c r="E17" s="258"/>
    </row>
    <row r="18" spans="1:5" ht="15.75">
      <c r="A18" s="59" t="str">
        <f>inputPrYr!B20</f>
        <v>Debt Service</v>
      </c>
      <c r="B18" s="245"/>
      <c r="C18" s="8"/>
      <c r="D18" s="681"/>
      <c r="E18" s="258"/>
    </row>
    <row r="19" spans="1:5" ht="15.75">
      <c r="A19" s="59" t="str">
        <f>inputPrYr!B21</f>
        <v>Library</v>
      </c>
      <c r="B19" s="245"/>
      <c r="C19" s="8"/>
      <c r="D19" s="681"/>
      <c r="E19" s="258"/>
    </row>
    <row r="20" spans="1:5" ht="15.75">
      <c r="A20" s="59" t="str">
        <f>inputPrYr!B22</f>
        <v>Road</v>
      </c>
      <c r="B20" s="245"/>
      <c r="C20" s="8"/>
      <c r="D20" s="681"/>
      <c r="E20" s="258"/>
    </row>
    <row r="21" spans="1:5" ht="15.75">
      <c r="A21" s="59">
        <f>inputPrYr!B23</f>
        <v>0</v>
      </c>
      <c r="B21" s="245"/>
      <c r="C21" s="8"/>
      <c r="D21" s="681"/>
      <c r="E21" s="258"/>
    </row>
    <row r="22" spans="1:5" ht="15.75">
      <c r="A22" s="59">
        <f>inputPrYr!B24</f>
        <v>0</v>
      </c>
      <c r="B22" s="245"/>
      <c r="C22" s="8"/>
      <c r="D22" s="681"/>
      <c r="E22" s="258"/>
    </row>
    <row r="23" spans="1:5" ht="15.75">
      <c r="A23" s="59">
        <f>inputPrYr!B25</f>
        <v>0</v>
      </c>
      <c r="B23" s="245"/>
      <c r="C23" s="8"/>
      <c r="D23" s="682"/>
      <c r="E23" s="258"/>
    </row>
    <row r="24" spans="1:5" ht="15.75">
      <c r="A24" s="59">
        <f>inputPrYr!B26</f>
        <v>0</v>
      </c>
      <c r="B24" s="245"/>
      <c r="C24" s="8"/>
      <c r="D24" s="682"/>
      <c r="E24" s="258"/>
    </row>
    <row r="25" spans="1:5" ht="15.75">
      <c r="A25" s="59">
        <f>inputPrYr!B27</f>
        <v>0</v>
      </c>
      <c r="B25" s="245"/>
      <c r="C25" s="8"/>
      <c r="D25" s="682"/>
      <c r="E25" s="258"/>
    </row>
    <row r="26" spans="1:5" ht="15.75">
      <c r="A26" s="59">
        <f>inputPrYr!B28</f>
        <v>0</v>
      </c>
      <c r="B26" s="245"/>
      <c r="C26" s="8"/>
      <c r="D26" s="681"/>
      <c r="E26" s="258"/>
    </row>
    <row r="27" spans="1:5" ht="15.75">
      <c r="A27" s="3"/>
      <c r="B27" s="9" t="s">
        <v>237</v>
      </c>
      <c r="C27" s="237"/>
      <c r="D27" s="260">
        <f>SUM(D17:D26)</f>
        <v>0</v>
      </c>
      <c r="E27" s="3"/>
    </row>
    <row r="28" spans="1:5" ht="15.75">
      <c r="A28" s="3"/>
      <c r="B28" s="3"/>
      <c r="C28" s="3"/>
      <c r="D28" s="3"/>
      <c r="E28" s="3"/>
    </row>
    <row r="29" spans="1:5" ht="15.75">
      <c r="A29" s="9" t="str">
        <f>CONCATENATE("Final Assessed Valuation from the November 1, ",E1-2," Abstract:")</f>
        <v>Final Assessed Valuation from the November 1, -2 Abstract:</v>
      </c>
      <c r="B29" s="9"/>
      <c r="C29" s="9"/>
      <c r="D29" s="9"/>
      <c r="E29" s="25"/>
    </row>
    <row r="30" spans="1:5" ht="15.75">
      <c r="A30" s="3"/>
      <c r="B30" s="3"/>
      <c r="C30" s="3"/>
      <c r="D30" s="3"/>
      <c r="E30" s="3"/>
    </row>
    <row r="31" spans="1:5" ht="15.75">
      <c r="A31" s="729" t="str">
        <f>CONCATENATE("From the County Treasurer's Budget Information - ",E1," Budget Year Estimates:")</f>
        <v>From the County Treasurer's Budget Information - 0 Budget Year Estimates:</v>
      </c>
      <c r="B31" s="288"/>
      <c r="C31" s="288"/>
      <c r="D31" s="728"/>
      <c r="E31" s="44"/>
    </row>
    <row r="32" spans="1:5" ht="15.75">
      <c r="A32" s="59" t="s">
        <v>127</v>
      </c>
      <c r="B32" s="9"/>
      <c r="C32" s="9"/>
      <c r="D32" s="261"/>
      <c r="E32" s="23"/>
    </row>
    <row r="33" spans="1:5" ht="15.75">
      <c r="A33" s="262" t="s">
        <v>238</v>
      </c>
      <c r="B33" s="245"/>
      <c r="C33" s="245"/>
      <c r="D33" s="20"/>
      <c r="E33" s="23"/>
    </row>
    <row r="34" spans="1:5" ht="15.75">
      <c r="A34" s="262" t="s">
        <v>128</v>
      </c>
      <c r="B34" s="245"/>
      <c r="C34" s="245"/>
      <c r="D34" s="20"/>
      <c r="E34" s="23"/>
    </row>
    <row r="35" spans="1:5" ht="15.75">
      <c r="A35" s="760" t="s">
        <v>810</v>
      </c>
      <c r="B35" s="245"/>
      <c r="C35" s="245"/>
      <c r="D35" s="20"/>
      <c r="E35" s="23"/>
    </row>
    <row r="36" spans="1:5" ht="15.75">
      <c r="A36" s="760" t="s">
        <v>811</v>
      </c>
      <c r="B36" s="245"/>
      <c r="C36" s="245"/>
      <c r="D36" s="20"/>
      <c r="E36" s="23"/>
    </row>
    <row r="37" spans="1:5" ht="15.75">
      <c r="A37" s="262" t="s">
        <v>129</v>
      </c>
      <c r="B37" s="245"/>
      <c r="C37" s="245"/>
      <c r="D37" s="20"/>
      <c r="E37" s="23"/>
    </row>
    <row r="38" spans="1:5" ht="15.75">
      <c r="A38" s="262" t="s">
        <v>94</v>
      </c>
      <c r="B38" s="9"/>
      <c r="C38" s="9"/>
      <c r="D38" s="261"/>
      <c r="E38" s="23"/>
    </row>
    <row r="39" spans="1:5" ht="15.75">
      <c r="A39" s="3" t="s">
        <v>130</v>
      </c>
      <c r="B39" s="3"/>
      <c r="C39" s="3"/>
      <c r="D39" s="3"/>
      <c r="E39" s="3"/>
    </row>
    <row r="40" spans="1:5" ht="15.75">
      <c r="A40" s="56" t="s">
        <v>131</v>
      </c>
      <c r="B40" s="132"/>
      <c r="C40" s="132"/>
      <c r="D40" s="3"/>
      <c r="E40" s="3"/>
    </row>
    <row r="41" spans="1:5" ht="15.75">
      <c r="A41" s="250" t="str">
        <f>CONCATENATE("Actual Delinquency for ",E1-3," Tax - (e.g. rate .01213 = 1.213%;  key in 1.2)")</f>
        <v>Actual Delinquency for -3 Tax - (e.g. rate .01213 = 1.213%;  key in 1.2)</v>
      </c>
      <c r="B41" s="8"/>
      <c r="C41" s="8"/>
      <c r="D41" s="8"/>
      <c r="E41" s="3"/>
    </row>
    <row r="42" spans="1:5" ht="15.75">
      <c r="A42" s="59" t="s">
        <v>732</v>
      </c>
      <c r="B42" s="250"/>
      <c r="C42" s="8"/>
      <c r="D42" s="8"/>
      <c r="E42" s="666"/>
    </row>
    <row r="43" spans="1:5" ht="15.75">
      <c r="A43" s="263" t="s">
        <v>132</v>
      </c>
      <c r="B43" s="263"/>
      <c r="C43" s="264"/>
      <c r="D43" s="264"/>
      <c r="E43" s="265"/>
    </row>
    <row r="44" spans="1:5" ht="15.75">
      <c r="A44" s="127"/>
      <c r="B44" s="127"/>
      <c r="C44" s="127"/>
      <c r="D44" s="127"/>
      <c r="E44" s="127"/>
    </row>
    <row r="45" spans="1:5" ht="15.75">
      <c r="A45" s="849" t="str">
        <f>CONCATENATE("From the ",E1-2," Budget Certificate Page")</f>
        <v>From the -2 Budget Certificate Page</v>
      </c>
      <c r="B45" s="850"/>
      <c r="C45" s="127"/>
      <c r="D45" s="127"/>
      <c r="E45" s="127"/>
    </row>
    <row r="46" spans="1:5" ht="15.75">
      <c r="A46" s="266"/>
      <c r="B46" s="266" t="str">
        <f>CONCATENATE("",E1-2," Expenditure Amounts")</f>
        <v>-2 Expenditure Amounts</v>
      </c>
      <c r="C46" s="851" t="str">
        <f>CONCATENATE("Note: If the ",E1-2," budget was amended, then the")</f>
        <v>Note: If the -2 budget was amended, then the</v>
      </c>
      <c r="D46" s="852"/>
      <c r="E46" s="852"/>
    </row>
    <row r="47" spans="1:5" ht="15.75">
      <c r="A47" s="267" t="s">
        <v>173</v>
      </c>
      <c r="B47" s="267" t="s">
        <v>174</v>
      </c>
      <c r="C47" s="268" t="s">
        <v>175</v>
      </c>
      <c r="D47" s="269"/>
      <c r="E47" s="269"/>
    </row>
    <row r="48" spans="1:5" ht="15.75">
      <c r="A48" s="270" t="str">
        <f>inputPrYr!B19</f>
        <v>General</v>
      </c>
      <c r="B48" s="25"/>
      <c r="C48" s="268" t="s">
        <v>176</v>
      </c>
      <c r="D48" s="269"/>
      <c r="E48" s="269"/>
    </row>
    <row r="49" spans="1:5" ht="15.75">
      <c r="A49" s="270" t="str">
        <f>inputPrYr!B20</f>
        <v>Debt Service</v>
      </c>
      <c r="B49" s="25"/>
      <c r="C49" s="268"/>
      <c r="D49" s="269"/>
      <c r="E49" s="269"/>
    </row>
    <row r="50" spans="1:5" ht="15.75">
      <c r="A50" s="270" t="str">
        <f>inputPrYr!B21</f>
        <v>Library</v>
      </c>
      <c r="B50" s="25"/>
      <c r="C50" s="268"/>
      <c r="D50" s="269"/>
      <c r="E50" s="269"/>
    </row>
    <row r="51" spans="1:5" ht="15.75">
      <c r="A51" s="270" t="str">
        <f>inputPrYr!B22</f>
        <v>Road</v>
      </c>
      <c r="B51" s="25"/>
      <c r="C51" s="127"/>
      <c r="D51" s="127"/>
      <c r="E51" s="127"/>
    </row>
    <row r="52" spans="1:5" ht="15.75">
      <c r="A52" s="270">
        <f>inputPrYr!B23</f>
        <v>0</v>
      </c>
      <c r="B52" s="25"/>
      <c r="C52" s="127"/>
      <c r="D52" s="127"/>
      <c r="E52" s="127"/>
    </row>
    <row r="53" spans="1:5" ht="15.75">
      <c r="A53" s="270">
        <f>inputPrYr!B24</f>
        <v>0</v>
      </c>
      <c r="B53" s="25"/>
      <c r="C53" s="127"/>
      <c r="D53" s="127"/>
      <c r="E53" s="127"/>
    </row>
    <row r="54" spans="1:5" ht="15.75">
      <c r="A54" s="270">
        <f>inputPrYr!B25</f>
        <v>0</v>
      </c>
      <c r="B54" s="25"/>
      <c r="C54" s="127"/>
      <c r="D54" s="127"/>
      <c r="E54" s="127"/>
    </row>
    <row r="55" spans="1:5" ht="15.75">
      <c r="A55" s="270">
        <f>inputPrYr!B26</f>
        <v>0</v>
      </c>
      <c r="B55" s="25"/>
      <c r="C55" s="127"/>
      <c r="D55" s="127"/>
      <c r="E55" s="127"/>
    </row>
    <row r="56" spans="1:5" ht="15.75">
      <c r="A56" s="270">
        <f>inputPrYr!B27</f>
        <v>0</v>
      </c>
      <c r="B56" s="25"/>
      <c r="C56" s="127"/>
      <c r="D56" s="127"/>
      <c r="E56" s="127"/>
    </row>
    <row r="57" spans="1:5" ht="15.75">
      <c r="A57" s="270">
        <f>inputPrYr!B28</f>
        <v>0</v>
      </c>
      <c r="B57" s="25"/>
      <c r="C57" s="127"/>
      <c r="D57" s="127"/>
      <c r="E57" s="127"/>
    </row>
    <row r="58" spans="1:5" ht="15.75">
      <c r="A58" s="270">
        <f>inputPrYr!B32</f>
        <v>0</v>
      </c>
      <c r="B58" s="25"/>
      <c r="C58" s="127"/>
      <c r="D58" s="127"/>
      <c r="E58" s="127"/>
    </row>
    <row r="59" spans="1:5" ht="15.75">
      <c r="A59" s="270">
        <f>inputPrYr!B33</f>
        <v>0</v>
      </c>
      <c r="B59" s="25"/>
      <c r="C59" s="127"/>
      <c r="D59" s="127"/>
      <c r="E59" s="127"/>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M117" sqref="M117"/>
    </sheetView>
  </sheetViews>
  <sheetFormatPr defaultColWidth="8.796875" defaultRowHeight="15.75"/>
  <cols>
    <col min="1" max="1" width="64.19921875" style="0" customWidth="1"/>
  </cols>
  <sheetData>
    <row r="3" spans="1:7" ht="15.75">
      <c r="A3" s="312" t="s">
        <v>462</v>
      </c>
      <c r="B3" s="312"/>
      <c r="C3" s="312"/>
      <c r="D3" s="312"/>
      <c r="E3" s="312"/>
      <c r="F3" s="312"/>
      <c r="G3" s="312"/>
    </row>
    <row r="4" spans="1:7" ht="15.75">
      <c r="A4" s="312"/>
      <c r="B4" s="312"/>
      <c r="C4" s="312"/>
      <c r="D4" s="312"/>
      <c r="E4" s="312"/>
      <c r="F4" s="312"/>
      <c r="G4" s="312"/>
    </row>
    <row r="5" ht="15.75">
      <c r="A5" s="311" t="s">
        <v>368</v>
      </c>
    </row>
    <row r="6" ht="15.75">
      <c r="A6" s="311" t="str">
        <f>CONCATENATE(inputPrYr!D6," estimated expenditures show that at the end of this year")</f>
        <v> estimated expenditures show that at the end of this year</v>
      </c>
    </row>
    <row r="7" ht="15.75">
      <c r="A7" s="311" t="s">
        <v>463</v>
      </c>
    </row>
    <row r="8" ht="15.75">
      <c r="A8" s="311" t="s">
        <v>464</v>
      </c>
    </row>
    <row r="10" ht="15.75">
      <c r="A10" t="s">
        <v>370</v>
      </c>
    </row>
    <row r="11" ht="15.75">
      <c r="A11" t="s">
        <v>371</v>
      </c>
    </row>
    <row r="12" ht="15.75">
      <c r="A12" t="s">
        <v>372</v>
      </c>
    </row>
    <row r="13" spans="1:7" ht="15.75">
      <c r="A13" s="312"/>
      <c r="B13" s="312"/>
      <c r="C13" s="312"/>
      <c r="D13" s="312"/>
      <c r="E13" s="312"/>
      <c r="F13" s="312"/>
      <c r="G13" s="312"/>
    </row>
    <row r="14" ht="15.75">
      <c r="A14" s="310" t="s">
        <v>465</v>
      </c>
    </row>
    <row r="15" ht="15.75">
      <c r="A15" s="311"/>
    </row>
    <row r="16" ht="15.75">
      <c r="A16" s="311" t="s">
        <v>466</v>
      </c>
    </row>
    <row r="17" ht="15.75">
      <c r="A17" s="311" t="s">
        <v>467</v>
      </c>
    </row>
    <row r="18" ht="15.75">
      <c r="A18" s="311" t="s">
        <v>468</v>
      </c>
    </row>
    <row r="19" ht="15.75">
      <c r="A19" s="311"/>
    </row>
    <row r="20" ht="15.75">
      <c r="A20" s="311" t="s">
        <v>469</v>
      </c>
    </row>
    <row r="21" ht="15.75">
      <c r="A21" s="311" t="s">
        <v>470</v>
      </c>
    </row>
    <row r="22" ht="15.75">
      <c r="A22" s="311" t="s">
        <v>471</v>
      </c>
    </row>
    <row r="23" ht="15.75">
      <c r="A23" s="311" t="s">
        <v>472</v>
      </c>
    </row>
    <row r="24" ht="15.75">
      <c r="A24" s="311"/>
    </row>
    <row r="25" ht="15.75">
      <c r="A25" s="310" t="s">
        <v>434</v>
      </c>
    </row>
    <row r="26" ht="15.75">
      <c r="A26" s="310"/>
    </row>
    <row r="27" ht="15.75">
      <c r="A27" s="311" t="s">
        <v>435</v>
      </c>
    </row>
    <row r="28" spans="1:6" ht="15.75">
      <c r="A28" s="311" t="s">
        <v>436</v>
      </c>
      <c r="B28" s="311"/>
      <c r="C28" s="311"/>
      <c r="D28" s="311"/>
      <c r="E28" s="311"/>
      <c r="F28" s="311"/>
    </row>
    <row r="29" spans="1:6" ht="15.75">
      <c r="A29" s="311" t="s">
        <v>437</v>
      </c>
      <c r="B29" s="311"/>
      <c r="C29" s="311"/>
      <c r="D29" s="311"/>
      <c r="E29" s="311"/>
      <c r="F29" s="311"/>
    </row>
    <row r="30" spans="1:6" ht="15.75">
      <c r="A30" s="311" t="s">
        <v>438</v>
      </c>
      <c r="B30" s="311"/>
      <c r="C30" s="311"/>
      <c r="D30" s="311"/>
      <c r="E30" s="311"/>
      <c r="F30" s="311"/>
    </row>
    <row r="31" ht="15.75">
      <c r="A31" s="311"/>
    </row>
    <row r="32" spans="1:7" ht="15.75">
      <c r="A32" s="310" t="s">
        <v>439</v>
      </c>
      <c r="B32" s="310"/>
      <c r="C32" s="310"/>
      <c r="D32" s="310"/>
      <c r="E32" s="310"/>
      <c r="F32" s="310"/>
      <c r="G32" s="310"/>
    </row>
    <row r="33" spans="1:7" ht="15.75">
      <c r="A33" s="310" t="s">
        <v>440</v>
      </c>
      <c r="B33" s="310"/>
      <c r="C33" s="310"/>
      <c r="D33" s="310"/>
      <c r="E33" s="310"/>
      <c r="F33" s="310"/>
      <c r="G33" s="310"/>
    </row>
    <row r="34" spans="1:7" ht="15.75">
      <c r="A34" s="310"/>
      <c r="B34" s="310"/>
      <c r="C34" s="310"/>
      <c r="D34" s="310"/>
      <c r="E34" s="310"/>
      <c r="F34" s="310"/>
      <c r="G34" s="310"/>
    </row>
    <row r="35" spans="1:7" ht="15.75">
      <c r="A35" s="311" t="s">
        <v>473</v>
      </c>
      <c r="B35" s="311"/>
      <c r="C35" s="311"/>
      <c r="D35" s="311"/>
      <c r="E35" s="311"/>
      <c r="F35" s="311"/>
      <c r="G35" s="311"/>
    </row>
    <row r="36" spans="1:7" ht="15.75">
      <c r="A36" s="311" t="s">
        <v>474</v>
      </c>
      <c r="B36" s="311"/>
      <c r="C36" s="311"/>
      <c r="D36" s="311"/>
      <c r="E36" s="311"/>
      <c r="F36" s="311"/>
      <c r="G36" s="311"/>
    </row>
    <row r="37" spans="1:7" ht="15.75">
      <c r="A37" s="311" t="s">
        <v>475</v>
      </c>
      <c r="B37" s="311"/>
      <c r="C37" s="311"/>
      <c r="D37" s="311"/>
      <c r="E37" s="311"/>
      <c r="F37" s="311"/>
      <c r="G37" s="311"/>
    </row>
    <row r="38" spans="1:7" ht="15.75">
      <c r="A38" s="311" t="s">
        <v>476</v>
      </c>
      <c r="B38" s="311"/>
      <c r="C38" s="311"/>
      <c r="D38" s="311"/>
      <c r="E38" s="311"/>
      <c r="F38" s="311"/>
      <c r="G38" s="311"/>
    </row>
    <row r="39" spans="1:7" ht="15.75">
      <c r="A39" s="311" t="s">
        <v>477</v>
      </c>
      <c r="B39" s="311"/>
      <c r="C39" s="311"/>
      <c r="D39" s="311"/>
      <c r="E39" s="311"/>
      <c r="F39" s="311"/>
      <c r="G39" s="311"/>
    </row>
    <row r="40" spans="1:7" ht="15.75">
      <c r="A40" s="310"/>
      <c r="B40" s="310"/>
      <c r="C40" s="310"/>
      <c r="D40" s="310"/>
      <c r="E40" s="310"/>
      <c r="F40" s="310"/>
      <c r="G40" s="310"/>
    </row>
    <row r="41" spans="1:6" ht="15.75">
      <c r="A41" s="320" t="str">
        <f>CONCATENATE("So, let's look to see if any of your ",inputPrYr!D6-1," expenditures can")</f>
        <v>So, let's look to see if any of your -1 expenditures can</v>
      </c>
      <c r="B41" s="311"/>
      <c r="C41" s="311"/>
      <c r="D41" s="311"/>
      <c r="E41" s="311"/>
      <c r="F41" s="311"/>
    </row>
    <row r="42" spans="1:6" ht="15.75">
      <c r="A42" s="320" t="s">
        <v>441</v>
      </c>
      <c r="B42" s="311"/>
      <c r="C42" s="311"/>
      <c r="D42" s="311"/>
      <c r="E42" s="311"/>
      <c r="F42" s="311"/>
    </row>
    <row r="43" spans="1:6" ht="15.75">
      <c r="A43" s="320" t="s">
        <v>327</v>
      </c>
      <c r="B43" s="311"/>
      <c r="C43" s="311"/>
      <c r="D43" s="311"/>
      <c r="E43" s="311"/>
      <c r="F43" s="311"/>
    </row>
    <row r="44" spans="1:6" ht="15.75">
      <c r="A44" s="320" t="s">
        <v>328</v>
      </c>
      <c r="B44" s="311"/>
      <c r="C44" s="311"/>
      <c r="D44" s="311"/>
      <c r="E44" s="311"/>
      <c r="F44" s="311"/>
    </row>
    <row r="45" ht="15.75">
      <c r="A45" s="311"/>
    </row>
    <row r="46" spans="1:6" ht="15.75">
      <c r="A46" s="320" t="str">
        <f>CONCATENATE("Additionally, do your ",inputPrYr!D6-1," receipts contain a reimbursement")</f>
        <v>Additionally, do your -1 receipts contain a reimbursement</v>
      </c>
      <c r="B46" s="311"/>
      <c r="C46" s="311"/>
      <c r="D46" s="311"/>
      <c r="E46" s="311"/>
      <c r="F46" s="311"/>
    </row>
    <row r="47" spans="1:6" ht="15.75">
      <c r="A47" s="320" t="s">
        <v>329</v>
      </c>
      <c r="B47" s="311"/>
      <c r="C47" s="311"/>
      <c r="D47" s="311"/>
      <c r="E47" s="311"/>
      <c r="F47" s="311"/>
    </row>
    <row r="48" spans="1:6" ht="15.75">
      <c r="A48" s="320" t="s">
        <v>330</v>
      </c>
      <c r="B48" s="311"/>
      <c r="C48" s="311"/>
      <c r="D48" s="311"/>
      <c r="E48" s="311"/>
      <c r="F48" s="311"/>
    </row>
    <row r="49" spans="1:7" ht="15.75">
      <c r="A49" s="311"/>
      <c r="B49" s="311"/>
      <c r="C49" s="311"/>
      <c r="D49" s="311"/>
      <c r="E49" s="311"/>
      <c r="F49" s="311"/>
      <c r="G49" s="311"/>
    </row>
    <row r="50" spans="1:7" ht="15.75">
      <c r="A50" s="311" t="s">
        <v>395</v>
      </c>
      <c r="B50" s="311"/>
      <c r="C50" s="311"/>
      <c r="D50" s="311"/>
      <c r="E50" s="311"/>
      <c r="F50" s="311"/>
      <c r="G50" s="311"/>
    </row>
    <row r="51" spans="1:7" ht="15.75">
      <c r="A51" s="311" t="s">
        <v>396</v>
      </c>
      <c r="B51" s="311"/>
      <c r="C51" s="311"/>
      <c r="D51" s="311"/>
      <c r="E51" s="311"/>
      <c r="F51" s="311"/>
      <c r="G51" s="311"/>
    </row>
    <row r="52" spans="1:7" ht="15.75">
      <c r="A52" s="311" t="s">
        <v>397</v>
      </c>
      <c r="B52" s="311"/>
      <c r="C52" s="311"/>
      <c r="D52" s="311"/>
      <c r="E52" s="311"/>
      <c r="F52" s="311"/>
      <c r="G52" s="311"/>
    </row>
    <row r="53" spans="1:7" ht="15.75">
      <c r="A53" s="311" t="s">
        <v>398</v>
      </c>
      <c r="B53" s="311"/>
      <c r="C53" s="311"/>
      <c r="D53" s="311"/>
      <c r="E53" s="311"/>
      <c r="F53" s="311"/>
      <c r="G53" s="311"/>
    </row>
    <row r="54" spans="1:7" ht="15.75">
      <c r="A54" s="311" t="s">
        <v>399</v>
      </c>
      <c r="B54" s="311"/>
      <c r="C54" s="311"/>
      <c r="D54" s="311"/>
      <c r="E54" s="311"/>
      <c r="F54" s="311"/>
      <c r="G54" s="311"/>
    </row>
    <row r="55" spans="1:7" ht="15.75">
      <c r="A55" s="311"/>
      <c r="B55" s="311"/>
      <c r="C55" s="311"/>
      <c r="D55" s="311"/>
      <c r="E55" s="311"/>
      <c r="F55" s="311"/>
      <c r="G55" s="311"/>
    </row>
    <row r="56" spans="1:6" ht="15.75">
      <c r="A56" s="320" t="s">
        <v>337</v>
      </c>
      <c r="B56" s="311"/>
      <c r="C56" s="311"/>
      <c r="D56" s="311"/>
      <c r="E56" s="311"/>
      <c r="F56" s="311"/>
    </row>
    <row r="57" spans="1:6" ht="15.75">
      <c r="A57" s="320" t="s">
        <v>338</v>
      </c>
      <c r="B57" s="311"/>
      <c r="C57" s="311"/>
      <c r="D57" s="311"/>
      <c r="E57" s="311"/>
      <c r="F57" s="311"/>
    </row>
    <row r="58" spans="1:6" ht="15.75">
      <c r="A58" s="320" t="s">
        <v>339</v>
      </c>
      <c r="B58" s="311"/>
      <c r="C58" s="311"/>
      <c r="D58" s="311"/>
      <c r="E58" s="311"/>
      <c r="F58" s="311"/>
    </row>
    <row r="59" spans="1:6" ht="15.75">
      <c r="A59" s="320"/>
      <c r="B59" s="311"/>
      <c r="C59" s="311"/>
      <c r="D59" s="311"/>
      <c r="E59" s="311"/>
      <c r="F59" s="311"/>
    </row>
    <row r="60" spans="1:7" ht="15.75">
      <c r="A60" s="311" t="s">
        <v>478</v>
      </c>
      <c r="B60" s="311"/>
      <c r="C60" s="311"/>
      <c r="D60" s="311"/>
      <c r="E60" s="311"/>
      <c r="F60" s="311"/>
      <c r="G60" s="311"/>
    </row>
    <row r="61" spans="1:7" ht="15.75">
      <c r="A61" s="311" t="s">
        <v>479</v>
      </c>
      <c r="B61" s="311"/>
      <c r="C61" s="311"/>
      <c r="D61" s="311"/>
      <c r="E61" s="311"/>
      <c r="F61" s="311"/>
      <c r="G61" s="311"/>
    </row>
    <row r="62" spans="1:7" ht="15.75">
      <c r="A62" s="311" t="s">
        <v>480</v>
      </c>
      <c r="B62" s="311"/>
      <c r="C62" s="311"/>
      <c r="D62" s="311"/>
      <c r="E62" s="311"/>
      <c r="F62" s="311"/>
      <c r="G62" s="311"/>
    </row>
    <row r="63" spans="1:7" ht="15.75">
      <c r="A63" s="311" t="s">
        <v>481</v>
      </c>
      <c r="B63" s="311"/>
      <c r="C63" s="311"/>
      <c r="D63" s="311"/>
      <c r="E63" s="311"/>
      <c r="F63" s="311"/>
      <c r="G63" s="311"/>
    </row>
    <row r="64" spans="1:7" ht="15.75">
      <c r="A64" s="311" t="s">
        <v>482</v>
      </c>
      <c r="B64" s="311"/>
      <c r="C64" s="311"/>
      <c r="D64" s="311"/>
      <c r="E64" s="311"/>
      <c r="F64" s="311"/>
      <c r="G64" s="311"/>
    </row>
    <row r="66" spans="1:6" ht="15.75">
      <c r="A66" s="320" t="s">
        <v>445</v>
      </c>
      <c r="B66" s="311"/>
      <c r="C66" s="311"/>
      <c r="D66" s="311"/>
      <c r="E66" s="311"/>
      <c r="F66" s="311"/>
    </row>
    <row r="67" spans="1:6" ht="15.75">
      <c r="A67" s="320" t="s">
        <v>446</v>
      </c>
      <c r="B67" s="311"/>
      <c r="C67" s="311"/>
      <c r="D67" s="311"/>
      <c r="E67" s="311"/>
      <c r="F67" s="311"/>
    </row>
    <row r="68" spans="1:6" ht="15.75">
      <c r="A68" s="320" t="s">
        <v>447</v>
      </c>
      <c r="B68" s="311"/>
      <c r="C68" s="311"/>
      <c r="D68" s="311"/>
      <c r="E68" s="311"/>
      <c r="F68" s="311"/>
    </row>
    <row r="69" spans="1:6" ht="15.75">
      <c r="A69" s="320" t="s">
        <v>448</v>
      </c>
      <c r="B69" s="311"/>
      <c r="C69" s="311"/>
      <c r="D69" s="311"/>
      <c r="E69" s="311"/>
      <c r="F69" s="311"/>
    </row>
    <row r="70" spans="1:6" ht="15.75">
      <c r="A70" s="320" t="s">
        <v>449</v>
      </c>
      <c r="B70" s="311"/>
      <c r="C70" s="311"/>
      <c r="D70" s="311"/>
      <c r="E70" s="311"/>
      <c r="F70" s="311"/>
    </row>
    <row r="71" ht="15.75">
      <c r="A71" s="311"/>
    </row>
    <row r="72" ht="15.75">
      <c r="A72" s="311" t="s">
        <v>366</v>
      </c>
    </row>
    <row r="73" ht="15.75">
      <c r="A73" s="311"/>
    </row>
    <row r="74" ht="15.75">
      <c r="A74" s="311"/>
    </row>
    <row r="75" ht="15.75">
      <c r="A75" s="311"/>
    </row>
    <row r="78" ht="15.75">
      <c r="A78" s="310"/>
    </row>
    <row r="80" ht="15.75">
      <c r="A80" s="311"/>
    </row>
    <row r="81" ht="15.75">
      <c r="A81" s="311"/>
    </row>
    <row r="82" ht="15.75">
      <c r="A82" s="311"/>
    </row>
    <row r="83" ht="15.75">
      <c r="A83" s="311"/>
    </row>
    <row r="84" ht="15.75">
      <c r="A84" s="311"/>
    </row>
    <row r="85" ht="15.75">
      <c r="A85" s="311"/>
    </row>
    <row r="86" ht="15.75">
      <c r="A86" s="311"/>
    </row>
    <row r="87" ht="15.75">
      <c r="A87" s="311"/>
    </row>
    <row r="88" ht="15.75">
      <c r="A88" s="311"/>
    </row>
    <row r="89" ht="15.75">
      <c r="A89" s="311"/>
    </row>
    <row r="90" ht="15.75">
      <c r="A90" s="311"/>
    </row>
    <row r="92" ht="15.75">
      <c r="A92" s="311"/>
    </row>
    <row r="93" ht="15.75">
      <c r="A93" s="311"/>
    </row>
    <row r="94" ht="15.75">
      <c r="A94" s="311"/>
    </row>
    <row r="95" ht="15.75">
      <c r="A95" s="311"/>
    </row>
    <row r="96" ht="15.75">
      <c r="A96" s="311"/>
    </row>
    <row r="97" ht="15.75">
      <c r="A97" s="311"/>
    </row>
    <row r="98" ht="15.75">
      <c r="A98" s="311"/>
    </row>
    <row r="99" ht="15.75">
      <c r="A99" s="311"/>
    </row>
    <row r="100" ht="15.75">
      <c r="A100" s="311"/>
    </row>
    <row r="101" ht="15.75">
      <c r="A101" s="311"/>
    </row>
    <row r="102" ht="15.75">
      <c r="A102" s="311"/>
    </row>
    <row r="103" ht="15.75">
      <c r="A103" s="311"/>
    </row>
    <row r="104" ht="15.75">
      <c r="A104" s="311"/>
    </row>
    <row r="105" ht="15.75">
      <c r="A105" s="311"/>
    </row>
    <row r="106" ht="15.75">
      <c r="A106" s="31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M96" sqref="M96"/>
    </sheetView>
  </sheetViews>
  <sheetFormatPr defaultColWidth="8.796875" defaultRowHeight="15.75"/>
  <cols>
    <col min="1" max="1" width="64.19921875" style="0" customWidth="1"/>
  </cols>
  <sheetData>
    <row r="3" spans="1:7" ht="15.75">
      <c r="A3" s="312" t="s">
        <v>483</v>
      </c>
      <c r="B3" s="312"/>
      <c r="C3" s="312"/>
      <c r="D3" s="312"/>
      <c r="E3" s="312"/>
      <c r="F3" s="312"/>
      <c r="G3" s="312"/>
    </row>
    <row r="4" spans="1:7" ht="15.75">
      <c r="A4" s="312" t="s">
        <v>484</v>
      </c>
      <c r="B4" s="312"/>
      <c r="C4" s="312"/>
      <c r="D4" s="312"/>
      <c r="E4" s="312"/>
      <c r="F4" s="312"/>
      <c r="G4" s="312"/>
    </row>
    <row r="5" spans="1:7" ht="15.75">
      <c r="A5" s="312"/>
      <c r="B5" s="312"/>
      <c r="C5" s="312"/>
      <c r="D5" s="312"/>
      <c r="E5" s="312"/>
      <c r="F5" s="312"/>
      <c r="G5" s="312"/>
    </row>
    <row r="6" spans="1:7" ht="15.75">
      <c r="A6" s="312"/>
      <c r="B6" s="312"/>
      <c r="C6" s="312"/>
      <c r="D6" s="312"/>
      <c r="E6" s="312"/>
      <c r="F6" s="312"/>
      <c r="G6" s="312"/>
    </row>
    <row r="7" ht="15.75">
      <c r="A7" s="311" t="s">
        <v>313</v>
      </c>
    </row>
    <row r="8" ht="15.75">
      <c r="A8" s="311" t="str">
        <f>CONCATENATE("estimated ",inputPrYr!D6," 'total expenditures' exceed your ",inputPrYr!D6,"")</f>
        <v>estimated  'total expenditures' exceed your </v>
      </c>
    </row>
    <row r="9" ht="15.75">
      <c r="A9" s="323" t="s">
        <v>485</v>
      </c>
    </row>
    <row r="10" ht="15.75">
      <c r="A10" s="311"/>
    </row>
    <row r="11" ht="15.75">
      <c r="A11" s="311" t="s">
        <v>486</v>
      </c>
    </row>
    <row r="12" ht="15.75">
      <c r="A12" s="311" t="s">
        <v>487</v>
      </c>
    </row>
    <row r="13" ht="15.75">
      <c r="A13" s="311" t="s">
        <v>488</v>
      </c>
    </row>
    <row r="14" ht="15.75">
      <c r="A14" s="311"/>
    </row>
    <row r="15" ht="15.75">
      <c r="A15" s="310" t="s">
        <v>489</v>
      </c>
    </row>
    <row r="16" spans="1:7" ht="15.75">
      <c r="A16" s="312"/>
      <c r="B16" s="312"/>
      <c r="C16" s="312"/>
      <c r="D16" s="312"/>
      <c r="E16" s="312"/>
      <c r="F16" s="312"/>
      <c r="G16" s="312"/>
    </row>
    <row r="17" spans="1:8" ht="15.75">
      <c r="A17" s="324" t="s">
        <v>490</v>
      </c>
      <c r="B17" s="306"/>
      <c r="C17" s="306"/>
      <c r="D17" s="306"/>
      <c r="E17" s="306"/>
      <c r="F17" s="306"/>
      <c r="G17" s="306"/>
      <c r="H17" s="306"/>
    </row>
    <row r="18" spans="1:7" ht="15.75">
      <c r="A18" s="311" t="s">
        <v>491</v>
      </c>
      <c r="B18" s="325"/>
      <c r="C18" s="325"/>
      <c r="D18" s="325"/>
      <c r="E18" s="325"/>
      <c r="F18" s="325"/>
      <c r="G18" s="325"/>
    </row>
    <row r="19" ht="15.75">
      <c r="A19" s="311" t="s">
        <v>492</v>
      </c>
    </row>
    <row r="20" ht="15.75">
      <c r="A20" s="311" t="s">
        <v>493</v>
      </c>
    </row>
    <row r="22" ht="15.75">
      <c r="A22" s="310" t="s">
        <v>494</v>
      </c>
    </row>
    <row r="24" ht="15.75">
      <c r="A24" s="311" t="s">
        <v>495</v>
      </c>
    </row>
    <row r="25" ht="15.75">
      <c r="A25" s="311" t="s">
        <v>496</v>
      </c>
    </row>
    <row r="26" ht="15.75">
      <c r="A26" s="311" t="s">
        <v>497</v>
      </c>
    </row>
    <row r="28" ht="15.75">
      <c r="A28" s="310" t="s">
        <v>498</v>
      </c>
    </row>
    <row r="30" ht="15.75">
      <c r="A30" t="s">
        <v>499</v>
      </c>
    </row>
    <row r="31" ht="15.75">
      <c r="A31" t="s">
        <v>500</v>
      </c>
    </row>
    <row r="32" ht="15.75">
      <c r="A32" t="s">
        <v>501</v>
      </c>
    </row>
    <row r="33" ht="15.75">
      <c r="A33" s="311" t="s">
        <v>502</v>
      </c>
    </row>
    <row r="35" ht="15.75">
      <c r="A35" t="s">
        <v>503</v>
      </c>
    </row>
    <row r="36" ht="15.75">
      <c r="A36" t="s">
        <v>504</v>
      </c>
    </row>
    <row r="37" ht="15.75">
      <c r="A37" t="s">
        <v>505</v>
      </c>
    </row>
    <row r="38" ht="15.75">
      <c r="A38" t="s">
        <v>506</v>
      </c>
    </row>
    <row r="40" ht="15.75">
      <c r="A40" t="s">
        <v>507</v>
      </c>
    </row>
    <row r="41" ht="15.75">
      <c r="A41" t="s">
        <v>508</v>
      </c>
    </row>
    <row r="42" ht="15.75">
      <c r="A42" t="s">
        <v>509</v>
      </c>
    </row>
    <row r="43" ht="15.75">
      <c r="A43" t="s">
        <v>510</v>
      </c>
    </row>
    <row r="44" ht="15.75">
      <c r="A44" t="s">
        <v>511</v>
      </c>
    </row>
    <row r="45" ht="15.75">
      <c r="A45" t="s">
        <v>512</v>
      </c>
    </row>
    <row r="47" ht="15.75">
      <c r="A47" t="s">
        <v>513</v>
      </c>
    </row>
    <row r="48" ht="15.75">
      <c r="A48" t="s">
        <v>514</v>
      </c>
    </row>
    <row r="49" ht="15.75">
      <c r="A49" s="311" t="s">
        <v>515</v>
      </c>
    </row>
    <row r="50" ht="15.75">
      <c r="A50" s="311" t="s">
        <v>516</v>
      </c>
    </row>
    <row r="52" ht="15.75">
      <c r="A52" t="s">
        <v>366</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U221" sqref="U221"/>
    </sheetView>
  </sheetViews>
  <sheetFormatPr defaultColWidth="8.796875" defaultRowHeight="15.75"/>
  <cols>
    <col min="1" max="1" width="6.796875" style="355" customWidth="1"/>
    <col min="2" max="2" width="10.09765625" style="356" customWidth="1"/>
    <col min="3" max="3" width="6.69921875" style="356" customWidth="1"/>
    <col min="4" max="4" width="8.796875" style="356" customWidth="1"/>
    <col min="5" max="5" width="1.390625" style="356" customWidth="1"/>
    <col min="6" max="6" width="12.8984375" style="356" customWidth="1"/>
    <col min="7" max="7" width="2.296875" style="356" customWidth="1"/>
    <col min="8" max="8" width="8.796875" style="356" customWidth="1"/>
    <col min="9" max="9" width="1.796875" style="356" customWidth="1"/>
    <col min="10" max="10" width="7.69921875" style="356" customWidth="1"/>
    <col min="11" max="11" width="10.5" style="356" customWidth="1"/>
    <col min="12" max="12" width="6.796875" style="355" customWidth="1"/>
    <col min="13" max="14" width="8.796875" style="355" customWidth="1"/>
    <col min="15" max="15" width="8.8984375" style="355" bestFit="1" customWidth="1"/>
    <col min="16" max="16384" width="8.796875" style="355" customWidth="1"/>
  </cols>
  <sheetData>
    <row r="1" spans="1:12" ht="14.25">
      <c r="A1" s="354"/>
      <c r="B1" s="354"/>
      <c r="C1" s="354"/>
      <c r="D1" s="354"/>
      <c r="E1" s="354"/>
      <c r="F1" s="354"/>
      <c r="G1" s="354"/>
      <c r="H1" s="354"/>
      <c r="I1" s="354"/>
      <c r="J1" s="354"/>
      <c r="K1" s="354"/>
      <c r="L1" s="354"/>
    </row>
    <row r="2" spans="1:12" ht="14.25">
      <c r="A2" s="354"/>
      <c r="B2" s="354"/>
      <c r="C2" s="354"/>
      <c r="D2" s="354"/>
      <c r="E2" s="354"/>
      <c r="F2" s="354"/>
      <c r="G2" s="354"/>
      <c r="H2" s="354"/>
      <c r="I2" s="354"/>
      <c r="J2" s="354"/>
      <c r="K2" s="354"/>
      <c r="L2" s="354"/>
    </row>
    <row r="3" spans="1:12" ht="14.25">
      <c r="A3" s="354"/>
      <c r="B3" s="354"/>
      <c r="C3" s="354"/>
      <c r="D3" s="354"/>
      <c r="E3" s="354"/>
      <c r="F3" s="354"/>
      <c r="G3" s="354"/>
      <c r="H3" s="354"/>
      <c r="I3" s="354"/>
      <c r="J3" s="354"/>
      <c r="K3" s="354"/>
      <c r="L3" s="354"/>
    </row>
    <row r="4" spans="1:12" ht="14.25">
      <c r="A4" s="354"/>
      <c r="L4" s="354"/>
    </row>
    <row r="5" spans="1:12" ht="15" customHeight="1">
      <c r="A5" s="354"/>
      <c r="L5" s="354"/>
    </row>
    <row r="6" spans="1:12" ht="33" customHeight="1">
      <c r="A6" s="354"/>
      <c r="B6" s="978" t="s">
        <v>805</v>
      </c>
      <c r="C6" s="967"/>
      <c r="D6" s="967"/>
      <c r="E6" s="967"/>
      <c r="F6" s="967"/>
      <c r="G6" s="967"/>
      <c r="H6" s="967"/>
      <c r="I6" s="967"/>
      <c r="J6" s="967"/>
      <c r="K6" s="967"/>
      <c r="L6" s="357"/>
    </row>
    <row r="7" spans="1:12" ht="40.5" customHeight="1">
      <c r="A7" s="354"/>
      <c r="B7" s="979" t="s">
        <v>540</v>
      </c>
      <c r="C7" s="980"/>
      <c r="D7" s="980"/>
      <c r="E7" s="980"/>
      <c r="F7" s="980"/>
      <c r="G7" s="980"/>
      <c r="H7" s="980"/>
      <c r="I7" s="980"/>
      <c r="J7" s="980"/>
      <c r="K7" s="980"/>
      <c r="L7" s="354"/>
    </row>
    <row r="8" spans="1:12" ht="14.25">
      <c r="A8" s="354"/>
      <c r="B8" s="975" t="s">
        <v>541</v>
      </c>
      <c r="C8" s="975"/>
      <c r="D8" s="975"/>
      <c r="E8" s="975"/>
      <c r="F8" s="975"/>
      <c r="G8" s="975"/>
      <c r="H8" s="975"/>
      <c r="I8" s="975"/>
      <c r="J8" s="975"/>
      <c r="K8" s="975"/>
      <c r="L8" s="354"/>
    </row>
    <row r="9" spans="1:12" ht="14.25">
      <c r="A9" s="354"/>
      <c r="L9" s="354"/>
    </row>
    <row r="10" spans="1:12" ht="14.25">
      <c r="A10" s="354"/>
      <c r="B10" s="975" t="s">
        <v>542</v>
      </c>
      <c r="C10" s="975"/>
      <c r="D10" s="975"/>
      <c r="E10" s="975"/>
      <c r="F10" s="975"/>
      <c r="G10" s="975"/>
      <c r="H10" s="975"/>
      <c r="I10" s="975"/>
      <c r="J10" s="975"/>
      <c r="K10" s="975"/>
      <c r="L10" s="354"/>
    </row>
    <row r="11" spans="1:12" ht="14.25">
      <c r="A11" s="354"/>
      <c r="B11" s="489"/>
      <c r="C11" s="489"/>
      <c r="D11" s="489"/>
      <c r="E11" s="489"/>
      <c r="F11" s="489"/>
      <c r="G11" s="489"/>
      <c r="H11" s="489"/>
      <c r="I11" s="489"/>
      <c r="J11" s="489"/>
      <c r="K11" s="489"/>
      <c r="L11" s="354"/>
    </row>
    <row r="12" spans="1:12" ht="32.25" customHeight="1">
      <c r="A12" s="354"/>
      <c r="B12" s="961" t="s">
        <v>543</v>
      </c>
      <c r="C12" s="961"/>
      <c r="D12" s="961"/>
      <c r="E12" s="961"/>
      <c r="F12" s="961"/>
      <c r="G12" s="961"/>
      <c r="H12" s="961"/>
      <c r="I12" s="961"/>
      <c r="J12" s="961"/>
      <c r="K12" s="961"/>
      <c r="L12" s="354"/>
    </row>
    <row r="13" spans="1:12" ht="14.25">
      <c r="A13" s="354"/>
      <c r="L13" s="354"/>
    </row>
    <row r="14" spans="1:12" ht="14.25">
      <c r="A14" s="354"/>
      <c r="B14" s="358" t="s">
        <v>544</v>
      </c>
      <c r="L14" s="354"/>
    </row>
    <row r="15" spans="1:12" ht="14.25">
      <c r="A15" s="354"/>
      <c r="L15" s="354"/>
    </row>
    <row r="16" spans="1:12" ht="14.25">
      <c r="A16" s="354"/>
      <c r="B16" s="356" t="s">
        <v>545</v>
      </c>
      <c r="L16" s="354"/>
    </row>
    <row r="17" spans="1:12" ht="14.25">
      <c r="A17" s="354"/>
      <c r="B17" s="356" t="s">
        <v>546</v>
      </c>
      <c r="L17" s="354"/>
    </row>
    <row r="18" spans="1:12" ht="14.25">
      <c r="A18" s="354"/>
      <c r="L18" s="354"/>
    </row>
    <row r="19" spans="1:12" ht="14.25">
      <c r="A19" s="354"/>
      <c r="B19" s="358" t="s">
        <v>637</v>
      </c>
      <c r="L19" s="354"/>
    </row>
    <row r="20" spans="1:12" ht="14.25">
      <c r="A20" s="354"/>
      <c r="B20" s="358"/>
      <c r="L20" s="354"/>
    </row>
    <row r="21" spans="1:12" ht="14.25">
      <c r="A21" s="354"/>
      <c r="B21" s="356" t="s">
        <v>638</v>
      </c>
      <c r="L21" s="354"/>
    </row>
    <row r="22" spans="1:12" ht="14.25">
      <c r="A22" s="354"/>
      <c r="L22" s="354"/>
    </row>
    <row r="23" spans="1:12" ht="14.25">
      <c r="A23" s="354"/>
      <c r="B23" s="356" t="s">
        <v>547</v>
      </c>
      <c r="E23" s="356" t="s">
        <v>548</v>
      </c>
      <c r="F23" s="959">
        <v>3120000</v>
      </c>
      <c r="G23" s="959"/>
      <c r="L23" s="354"/>
    </row>
    <row r="24" spans="1:12" ht="14.25">
      <c r="A24" s="354"/>
      <c r="L24" s="354"/>
    </row>
    <row r="25" spans="1:12" ht="14.25">
      <c r="A25" s="354"/>
      <c r="C25" s="976">
        <f>F23</f>
        <v>3120000</v>
      </c>
      <c r="D25" s="976"/>
      <c r="E25" s="356" t="s">
        <v>549</v>
      </c>
      <c r="F25" s="359">
        <v>1000</v>
      </c>
      <c r="G25" s="359" t="s">
        <v>548</v>
      </c>
      <c r="H25" s="754">
        <f>F23/F25</f>
        <v>3120</v>
      </c>
      <c r="L25" s="354"/>
    </row>
    <row r="26" spans="1:12" ht="15" thickBot="1">
      <c r="A26" s="354"/>
      <c r="L26" s="354"/>
    </row>
    <row r="27" spans="1:12" ht="14.25">
      <c r="A27" s="354"/>
      <c r="B27" s="360" t="s">
        <v>544</v>
      </c>
      <c r="C27" s="361"/>
      <c r="D27" s="361"/>
      <c r="E27" s="361"/>
      <c r="F27" s="361"/>
      <c r="G27" s="361"/>
      <c r="H27" s="361"/>
      <c r="I27" s="361"/>
      <c r="J27" s="361"/>
      <c r="K27" s="362"/>
      <c r="L27" s="354"/>
    </row>
    <row r="28" spans="1:12" ht="14.25">
      <c r="A28" s="354"/>
      <c r="B28" s="363">
        <f>F23</f>
        <v>3120000</v>
      </c>
      <c r="C28" s="364" t="s">
        <v>550</v>
      </c>
      <c r="D28" s="364"/>
      <c r="E28" s="364" t="s">
        <v>549</v>
      </c>
      <c r="F28" s="492">
        <v>1000</v>
      </c>
      <c r="G28" s="492" t="s">
        <v>548</v>
      </c>
      <c r="H28" s="755">
        <f>B28/F28</f>
        <v>3120</v>
      </c>
      <c r="I28" s="364" t="s">
        <v>551</v>
      </c>
      <c r="J28" s="364"/>
      <c r="K28" s="365"/>
      <c r="L28" s="354"/>
    </row>
    <row r="29" spans="1:12" ht="15" thickBot="1">
      <c r="A29" s="354"/>
      <c r="B29" s="366"/>
      <c r="C29" s="367"/>
      <c r="D29" s="367"/>
      <c r="E29" s="367"/>
      <c r="F29" s="367"/>
      <c r="G29" s="367"/>
      <c r="H29" s="367"/>
      <c r="I29" s="367"/>
      <c r="J29" s="367"/>
      <c r="K29" s="368"/>
      <c r="L29" s="354"/>
    </row>
    <row r="30" spans="1:12" ht="40.5" customHeight="1">
      <c r="A30" s="354"/>
      <c r="B30" s="964" t="s">
        <v>540</v>
      </c>
      <c r="C30" s="964"/>
      <c r="D30" s="964"/>
      <c r="E30" s="964"/>
      <c r="F30" s="964"/>
      <c r="G30" s="964"/>
      <c r="H30" s="964"/>
      <c r="I30" s="964"/>
      <c r="J30" s="964"/>
      <c r="K30" s="964"/>
      <c r="L30" s="354"/>
    </row>
    <row r="31" spans="1:12" ht="14.25">
      <c r="A31" s="354"/>
      <c r="B31" s="975" t="s">
        <v>552</v>
      </c>
      <c r="C31" s="975"/>
      <c r="D31" s="975"/>
      <c r="E31" s="975"/>
      <c r="F31" s="975"/>
      <c r="G31" s="975"/>
      <c r="H31" s="975"/>
      <c r="I31" s="975"/>
      <c r="J31" s="975"/>
      <c r="K31" s="975"/>
      <c r="L31" s="354"/>
    </row>
    <row r="32" spans="1:12" ht="14.25">
      <c r="A32" s="354"/>
      <c r="L32" s="354"/>
    </row>
    <row r="33" spans="1:12" ht="14.25">
      <c r="A33" s="354"/>
      <c r="B33" s="975" t="s">
        <v>553</v>
      </c>
      <c r="C33" s="975"/>
      <c r="D33" s="975"/>
      <c r="E33" s="975"/>
      <c r="F33" s="975"/>
      <c r="G33" s="975"/>
      <c r="H33" s="975"/>
      <c r="I33" s="975"/>
      <c r="J33" s="975"/>
      <c r="K33" s="975"/>
      <c r="L33" s="354"/>
    </row>
    <row r="34" spans="1:12" ht="14.25">
      <c r="A34" s="354"/>
      <c r="L34" s="354"/>
    </row>
    <row r="35" spans="1:12" ht="89.25" customHeight="1">
      <c r="A35" s="354"/>
      <c r="B35" s="961" t="s">
        <v>554</v>
      </c>
      <c r="C35" s="970"/>
      <c r="D35" s="970"/>
      <c r="E35" s="970"/>
      <c r="F35" s="970"/>
      <c r="G35" s="970"/>
      <c r="H35" s="970"/>
      <c r="I35" s="970"/>
      <c r="J35" s="970"/>
      <c r="K35" s="970"/>
      <c r="L35" s="354"/>
    </row>
    <row r="36" spans="1:12" ht="14.25">
      <c r="A36" s="354"/>
      <c r="L36" s="354"/>
    </row>
    <row r="37" spans="1:12" ht="14.25">
      <c r="A37" s="354"/>
      <c r="B37" s="358" t="s">
        <v>555</v>
      </c>
      <c r="L37" s="354"/>
    </row>
    <row r="38" spans="1:12" ht="14.25">
      <c r="A38" s="354"/>
      <c r="L38" s="354"/>
    </row>
    <row r="39" spans="1:12" ht="14.25">
      <c r="A39" s="354"/>
      <c r="B39" s="356" t="s">
        <v>556</v>
      </c>
      <c r="L39" s="354"/>
    </row>
    <row r="40" spans="1:12" ht="14.25">
      <c r="A40" s="354"/>
      <c r="L40" s="354"/>
    </row>
    <row r="41" spans="1:12" ht="14.25">
      <c r="A41" s="354"/>
      <c r="C41" s="977">
        <v>3120000</v>
      </c>
      <c r="D41" s="977"/>
      <c r="E41" s="356" t="s">
        <v>549</v>
      </c>
      <c r="F41" s="359">
        <v>1000</v>
      </c>
      <c r="G41" s="359" t="s">
        <v>548</v>
      </c>
      <c r="H41" s="756">
        <f>C41/F41</f>
        <v>3120</v>
      </c>
      <c r="L41" s="354"/>
    </row>
    <row r="42" spans="1:12" ht="14.25">
      <c r="A42" s="354"/>
      <c r="L42" s="354"/>
    </row>
    <row r="43" spans="1:12" ht="14.25">
      <c r="A43" s="354"/>
      <c r="B43" s="356" t="s">
        <v>557</v>
      </c>
      <c r="L43" s="354"/>
    </row>
    <row r="44" spans="1:12" ht="14.25">
      <c r="A44" s="354"/>
      <c r="L44" s="354"/>
    </row>
    <row r="45" spans="1:12" ht="14.25">
      <c r="A45" s="354"/>
      <c r="B45" s="356" t="s">
        <v>558</v>
      </c>
      <c r="L45" s="354"/>
    </row>
    <row r="46" spans="1:12" ht="15" thickBot="1">
      <c r="A46" s="354"/>
      <c r="L46" s="354"/>
    </row>
    <row r="47" spans="1:12" ht="14.25">
      <c r="A47" s="354"/>
      <c r="B47" s="369" t="s">
        <v>544</v>
      </c>
      <c r="C47" s="361"/>
      <c r="D47" s="361"/>
      <c r="E47" s="361"/>
      <c r="F47" s="361"/>
      <c r="G47" s="361"/>
      <c r="H47" s="361"/>
      <c r="I47" s="361"/>
      <c r="J47" s="361"/>
      <c r="K47" s="362"/>
      <c r="L47" s="354"/>
    </row>
    <row r="48" spans="1:12" ht="14.25">
      <c r="A48" s="354"/>
      <c r="B48" s="959">
        <v>3120000</v>
      </c>
      <c r="C48" s="959"/>
      <c r="D48" s="364" t="s">
        <v>559</v>
      </c>
      <c r="E48" s="364" t="s">
        <v>549</v>
      </c>
      <c r="F48" s="492">
        <v>1000</v>
      </c>
      <c r="G48" s="492" t="s">
        <v>548</v>
      </c>
      <c r="H48" s="755">
        <f>B48/F48</f>
        <v>3120</v>
      </c>
      <c r="I48" s="364" t="s">
        <v>560</v>
      </c>
      <c r="J48" s="364"/>
      <c r="K48" s="365"/>
      <c r="L48" s="354"/>
    </row>
    <row r="49" spans="1:12" ht="14.25">
      <c r="A49" s="354"/>
      <c r="B49" s="370"/>
      <c r="C49" s="364"/>
      <c r="D49" s="364"/>
      <c r="E49" s="364"/>
      <c r="F49" s="364"/>
      <c r="G49" s="364"/>
      <c r="H49" s="364"/>
      <c r="I49" s="364"/>
      <c r="J49" s="364"/>
      <c r="K49" s="365"/>
      <c r="L49" s="354"/>
    </row>
    <row r="50" spans="1:12" ht="14.25">
      <c r="A50" s="354"/>
      <c r="B50" s="959">
        <v>5000</v>
      </c>
      <c r="C50" s="959"/>
      <c r="D50" s="364"/>
      <c r="E50" s="364" t="s">
        <v>549</v>
      </c>
      <c r="F50" s="755">
        <f>H48</f>
        <v>3120</v>
      </c>
      <c r="G50" s="971" t="s">
        <v>561</v>
      </c>
      <c r="H50" s="972"/>
      <c r="I50" s="492" t="s">
        <v>548</v>
      </c>
      <c r="J50" s="371">
        <f>B50/F50</f>
        <v>1.6025641025641026</v>
      </c>
      <c r="K50" s="365"/>
      <c r="L50" s="354"/>
    </row>
    <row r="51" spans="1:15" ht="15" thickBot="1">
      <c r="A51" s="354"/>
      <c r="B51" s="366"/>
      <c r="C51" s="367"/>
      <c r="D51" s="367"/>
      <c r="E51" s="367"/>
      <c r="F51" s="367"/>
      <c r="G51" s="367"/>
      <c r="H51" s="367"/>
      <c r="I51" s="973" t="s">
        <v>562</v>
      </c>
      <c r="J51" s="973"/>
      <c r="K51" s="974"/>
      <c r="L51" s="354"/>
      <c r="O51" s="372"/>
    </row>
    <row r="52" spans="1:12" ht="40.5" customHeight="1">
      <c r="A52" s="354"/>
      <c r="B52" s="964" t="s">
        <v>540</v>
      </c>
      <c r="C52" s="964"/>
      <c r="D52" s="964"/>
      <c r="E52" s="964"/>
      <c r="F52" s="964"/>
      <c r="G52" s="964"/>
      <c r="H52" s="964"/>
      <c r="I52" s="964"/>
      <c r="J52" s="964"/>
      <c r="K52" s="964"/>
      <c r="L52" s="354"/>
    </row>
    <row r="53" spans="1:12" ht="14.25">
      <c r="A53" s="354"/>
      <c r="B53" s="975" t="s">
        <v>563</v>
      </c>
      <c r="C53" s="975"/>
      <c r="D53" s="975"/>
      <c r="E53" s="975"/>
      <c r="F53" s="975"/>
      <c r="G53" s="975"/>
      <c r="H53" s="975"/>
      <c r="I53" s="975"/>
      <c r="J53" s="975"/>
      <c r="K53" s="975"/>
      <c r="L53" s="354"/>
    </row>
    <row r="54" spans="1:12" ht="14.25">
      <c r="A54" s="354"/>
      <c r="B54" s="489"/>
      <c r="C54" s="489"/>
      <c r="D54" s="489"/>
      <c r="E54" s="489"/>
      <c r="F54" s="489"/>
      <c r="G54" s="489"/>
      <c r="H54" s="489"/>
      <c r="I54" s="489"/>
      <c r="J54" s="489"/>
      <c r="K54" s="489"/>
      <c r="L54" s="354"/>
    </row>
    <row r="55" spans="1:12" ht="14.25">
      <c r="A55" s="354"/>
      <c r="B55" s="960" t="s">
        <v>564</v>
      </c>
      <c r="C55" s="960"/>
      <c r="D55" s="960"/>
      <c r="E55" s="960"/>
      <c r="F55" s="960"/>
      <c r="G55" s="960"/>
      <c r="H55" s="960"/>
      <c r="I55" s="960"/>
      <c r="J55" s="960"/>
      <c r="K55" s="960"/>
      <c r="L55" s="354"/>
    </row>
    <row r="56" spans="1:12" ht="15" customHeight="1">
      <c r="A56" s="354"/>
      <c r="L56" s="354"/>
    </row>
    <row r="57" spans="1:24" ht="74.25" customHeight="1">
      <c r="A57" s="354"/>
      <c r="B57" s="961" t="s">
        <v>565</v>
      </c>
      <c r="C57" s="970"/>
      <c r="D57" s="970"/>
      <c r="E57" s="970"/>
      <c r="F57" s="970"/>
      <c r="G57" s="970"/>
      <c r="H57" s="970"/>
      <c r="I57" s="970"/>
      <c r="J57" s="970"/>
      <c r="K57" s="970"/>
      <c r="L57" s="354"/>
      <c r="M57" s="373"/>
      <c r="N57" s="374"/>
      <c r="O57" s="374"/>
      <c r="P57" s="374"/>
      <c r="Q57" s="374"/>
      <c r="R57" s="374"/>
      <c r="S57" s="374"/>
      <c r="T57" s="374"/>
      <c r="U57" s="374"/>
      <c r="V57" s="374"/>
      <c r="W57" s="374"/>
      <c r="X57" s="374"/>
    </row>
    <row r="58" spans="1:24" ht="15" customHeight="1">
      <c r="A58" s="354"/>
      <c r="B58" s="961"/>
      <c r="C58" s="970"/>
      <c r="D58" s="970"/>
      <c r="E58" s="970"/>
      <c r="F58" s="970"/>
      <c r="G58" s="970"/>
      <c r="H58" s="970"/>
      <c r="I58" s="970"/>
      <c r="J58" s="970"/>
      <c r="K58" s="970"/>
      <c r="L58" s="354"/>
      <c r="M58" s="373"/>
      <c r="N58" s="374"/>
      <c r="O58" s="374"/>
      <c r="P58" s="374"/>
      <c r="Q58" s="374"/>
      <c r="R58" s="374"/>
      <c r="S58" s="374"/>
      <c r="T58" s="374"/>
      <c r="U58" s="374"/>
      <c r="V58" s="374"/>
      <c r="W58" s="374"/>
      <c r="X58" s="374"/>
    </row>
    <row r="59" spans="1:24" ht="14.25">
      <c r="A59" s="354"/>
      <c r="B59" s="358" t="s">
        <v>555</v>
      </c>
      <c r="L59" s="354"/>
      <c r="M59" s="374"/>
      <c r="N59" s="374"/>
      <c r="O59" s="374"/>
      <c r="P59" s="374"/>
      <c r="Q59" s="374"/>
      <c r="R59" s="374"/>
      <c r="S59" s="374"/>
      <c r="T59" s="374"/>
      <c r="U59" s="374"/>
      <c r="V59" s="374"/>
      <c r="W59" s="374"/>
      <c r="X59" s="374"/>
    </row>
    <row r="60" spans="1:24" ht="14.25">
      <c r="A60" s="354"/>
      <c r="L60" s="354"/>
      <c r="M60" s="374"/>
      <c r="N60" s="374"/>
      <c r="O60" s="374"/>
      <c r="P60" s="374"/>
      <c r="Q60" s="374"/>
      <c r="R60" s="374"/>
      <c r="S60" s="374"/>
      <c r="T60" s="374"/>
      <c r="U60" s="374"/>
      <c r="V60" s="374"/>
      <c r="W60" s="374"/>
      <c r="X60" s="374"/>
    </row>
    <row r="61" spans="1:24" ht="14.25">
      <c r="A61" s="354"/>
      <c r="B61" s="356" t="s">
        <v>566</v>
      </c>
      <c r="L61" s="354"/>
      <c r="M61" s="374"/>
      <c r="N61" s="374"/>
      <c r="O61" s="374"/>
      <c r="P61" s="374"/>
      <c r="Q61" s="374"/>
      <c r="R61" s="374"/>
      <c r="S61" s="374"/>
      <c r="T61" s="374"/>
      <c r="U61" s="374"/>
      <c r="V61" s="374"/>
      <c r="W61" s="374"/>
      <c r="X61" s="374"/>
    </row>
    <row r="62" spans="1:24" ht="14.25">
      <c r="A62" s="354"/>
      <c r="B62" s="356" t="s">
        <v>639</v>
      </c>
      <c r="L62" s="354"/>
      <c r="M62" s="374"/>
      <c r="N62" s="374"/>
      <c r="O62" s="374"/>
      <c r="P62" s="374"/>
      <c r="Q62" s="374"/>
      <c r="R62" s="374"/>
      <c r="S62" s="374"/>
      <c r="T62" s="374"/>
      <c r="U62" s="374"/>
      <c r="V62" s="374"/>
      <c r="W62" s="374"/>
      <c r="X62" s="374"/>
    </row>
    <row r="63" spans="1:24" ht="14.25">
      <c r="A63" s="354"/>
      <c r="B63" s="356" t="s">
        <v>640</v>
      </c>
      <c r="L63" s="354"/>
      <c r="M63" s="374"/>
      <c r="N63" s="374"/>
      <c r="O63" s="374"/>
      <c r="P63" s="374"/>
      <c r="Q63" s="374"/>
      <c r="R63" s="374"/>
      <c r="S63" s="374"/>
      <c r="T63" s="374"/>
      <c r="U63" s="374"/>
      <c r="V63" s="374"/>
      <c r="W63" s="374"/>
      <c r="X63" s="374"/>
    </row>
    <row r="64" spans="1:24" ht="14.25">
      <c r="A64" s="354"/>
      <c r="L64" s="354"/>
      <c r="M64" s="374"/>
      <c r="N64" s="374"/>
      <c r="O64" s="374"/>
      <c r="P64" s="374"/>
      <c r="Q64" s="374"/>
      <c r="R64" s="374"/>
      <c r="S64" s="374"/>
      <c r="T64" s="374"/>
      <c r="U64" s="374"/>
      <c r="V64" s="374"/>
      <c r="W64" s="374"/>
      <c r="X64" s="374"/>
    </row>
    <row r="65" spans="1:24" ht="14.25">
      <c r="A65" s="354"/>
      <c r="B65" s="356" t="s">
        <v>567</v>
      </c>
      <c r="L65" s="354"/>
      <c r="M65" s="374"/>
      <c r="N65" s="374"/>
      <c r="O65" s="374"/>
      <c r="P65" s="374"/>
      <c r="Q65" s="374"/>
      <c r="R65" s="374"/>
      <c r="S65" s="374"/>
      <c r="T65" s="374"/>
      <c r="U65" s="374"/>
      <c r="V65" s="374"/>
      <c r="W65" s="374"/>
      <c r="X65" s="374"/>
    </row>
    <row r="66" spans="1:24" ht="14.25">
      <c r="A66" s="354"/>
      <c r="B66" s="356" t="s">
        <v>568</v>
      </c>
      <c r="L66" s="354"/>
      <c r="M66" s="374"/>
      <c r="N66" s="374"/>
      <c r="O66" s="374"/>
      <c r="P66" s="374"/>
      <c r="Q66" s="374"/>
      <c r="R66" s="374"/>
      <c r="S66" s="374"/>
      <c r="T66" s="374"/>
      <c r="U66" s="374"/>
      <c r="V66" s="374"/>
      <c r="W66" s="374"/>
      <c r="X66" s="374"/>
    </row>
    <row r="67" spans="1:24" ht="14.25">
      <c r="A67" s="354"/>
      <c r="L67" s="354"/>
      <c r="M67" s="374"/>
      <c r="N67" s="374"/>
      <c r="O67" s="374"/>
      <c r="P67" s="374"/>
      <c r="Q67" s="374"/>
      <c r="R67" s="374"/>
      <c r="S67" s="374"/>
      <c r="T67" s="374"/>
      <c r="U67" s="374"/>
      <c r="V67" s="374"/>
      <c r="W67" s="374"/>
      <c r="X67" s="374"/>
    </row>
    <row r="68" spans="1:24" ht="14.25">
      <c r="A68" s="354"/>
      <c r="B68" s="356" t="s">
        <v>569</v>
      </c>
      <c r="L68" s="354"/>
      <c r="M68" s="375"/>
      <c r="N68" s="376"/>
      <c r="O68" s="376"/>
      <c r="P68" s="376"/>
      <c r="Q68" s="376"/>
      <c r="R68" s="376"/>
      <c r="S68" s="376"/>
      <c r="T68" s="376"/>
      <c r="U68" s="376"/>
      <c r="V68" s="376"/>
      <c r="W68" s="376"/>
      <c r="X68" s="374"/>
    </row>
    <row r="69" spans="1:24" ht="14.25">
      <c r="A69" s="354"/>
      <c r="B69" s="356" t="s">
        <v>641</v>
      </c>
      <c r="L69" s="354"/>
      <c r="M69" s="374"/>
      <c r="N69" s="374"/>
      <c r="O69" s="374"/>
      <c r="P69" s="374"/>
      <c r="Q69" s="374"/>
      <c r="R69" s="374"/>
      <c r="S69" s="374"/>
      <c r="T69" s="374"/>
      <c r="U69" s="374"/>
      <c r="V69" s="374"/>
      <c r="W69" s="374"/>
      <c r="X69" s="374"/>
    </row>
    <row r="70" spans="1:24" ht="14.25">
      <c r="A70" s="354"/>
      <c r="B70" s="356" t="s">
        <v>642</v>
      </c>
      <c r="L70" s="354"/>
      <c r="M70" s="374"/>
      <c r="N70" s="374"/>
      <c r="O70" s="374"/>
      <c r="P70" s="374"/>
      <c r="Q70" s="374"/>
      <c r="R70" s="374"/>
      <c r="S70" s="374"/>
      <c r="T70" s="374"/>
      <c r="U70" s="374"/>
      <c r="V70" s="374"/>
      <c r="W70" s="374"/>
      <c r="X70" s="374"/>
    </row>
    <row r="71" spans="1:12" ht="15" thickBot="1">
      <c r="A71" s="354"/>
      <c r="B71" s="364"/>
      <c r="C71" s="364"/>
      <c r="D71" s="364"/>
      <c r="E71" s="364"/>
      <c r="F71" s="364"/>
      <c r="G71" s="364"/>
      <c r="H71" s="364"/>
      <c r="I71" s="364"/>
      <c r="J71" s="364"/>
      <c r="K71" s="364"/>
      <c r="L71" s="354"/>
    </row>
    <row r="72" spans="1:12" ht="14.25">
      <c r="A72" s="354"/>
      <c r="B72" s="360" t="s">
        <v>544</v>
      </c>
      <c r="C72" s="361"/>
      <c r="D72" s="361"/>
      <c r="E72" s="361"/>
      <c r="F72" s="361"/>
      <c r="G72" s="361"/>
      <c r="H72" s="361"/>
      <c r="I72" s="361"/>
      <c r="J72" s="361"/>
      <c r="K72" s="362"/>
      <c r="L72" s="377"/>
    </row>
    <row r="73" spans="1:12" ht="14.25">
      <c r="A73" s="354"/>
      <c r="B73" s="370"/>
      <c r="C73" s="364" t="s">
        <v>550</v>
      </c>
      <c r="D73" s="364"/>
      <c r="E73" s="364"/>
      <c r="F73" s="364"/>
      <c r="G73" s="364"/>
      <c r="H73" s="364"/>
      <c r="I73" s="364"/>
      <c r="J73" s="364"/>
      <c r="K73" s="365"/>
      <c r="L73" s="377"/>
    </row>
    <row r="74" spans="1:12" ht="14.25">
      <c r="A74" s="354"/>
      <c r="B74" s="370" t="s">
        <v>570</v>
      </c>
      <c r="C74" s="959">
        <v>3120000</v>
      </c>
      <c r="D74" s="959"/>
      <c r="E74" s="492" t="s">
        <v>549</v>
      </c>
      <c r="F74" s="492">
        <v>1000</v>
      </c>
      <c r="G74" s="492" t="s">
        <v>548</v>
      </c>
      <c r="H74" s="495">
        <f>C74/F74</f>
        <v>3120</v>
      </c>
      <c r="I74" s="364" t="s">
        <v>571</v>
      </c>
      <c r="J74" s="364"/>
      <c r="K74" s="365"/>
      <c r="L74" s="377"/>
    </row>
    <row r="75" spans="1:12" ht="14.25">
      <c r="A75" s="354"/>
      <c r="B75" s="370"/>
      <c r="C75" s="364"/>
      <c r="D75" s="364"/>
      <c r="E75" s="492"/>
      <c r="F75" s="364"/>
      <c r="G75" s="364"/>
      <c r="H75" s="364"/>
      <c r="I75" s="364"/>
      <c r="J75" s="364"/>
      <c r="K75" s="365"/>
      <c r="L75" s="377"/>
    </row>
    <row r="76" spans="1:12" ht="14.25">
      <c r="A76" s="354"/>
      <c r="B76" s="370"/>
      <c r="C76" s="364" t="s">
        <v>572</v>
      </c>
      <c r="D76" s="364"/>
      <c r="E76" s="492"/>
      <c r="F76" s="364" t="s">
        <v>571</v>
      </c>
      <c r="G76" s="364"/>
      <c r="H76" s="364"/>
      <c r="I76" s="364"/>
      <c r="J76" s="364"/>
      <c r="K76" s="365"/>
      <c r="L76" s="377"/>
    </row>
    <row r="77" spans="1:12" ht="14.25">
      <c r="A77" s="354"/>
      <c r="B77" s="370" t="s">
        <v>573</v>
      </c>
      <c r="C77" s="959">
        <v>5000</v>
      </c>
      <c r="D77" s="959"/>
      <c r="E77" s="492" t="s">
        <v>549</v>
      </c>
      <c r="F77" s="495">
        <f>H74</f>
        <v>3120</v>
      </c>
      <c r="G77" s="492" t="s">
        <v>548</v>
      </c>
      <c r="H77" s="371">
        <f>C77/F77</f>
        <v>1.6025641025641026</v>
      </c>
      <c r="I77" s="364" t="s">
        <v>574</v>
      </c>
      <c r="J77" s="364"/>
      <c r="K77" s="365"/>
      <c r="L77" s="377"/>
    </row>
    <row r="78" spans="1:12" ht="14.25">
      <c r="A78" s="354"/>
      <c r="B78" s="370"/>
      <c r="C78" s="364"/>
      <c r="D78" s="364"/>
      <c r="E78" s="492"/>
      <c r="F78" s="364"/>
      <c r="G78" s="364"/>
      <c r="H78" s="364"/>
      <c r="I78" s="364"/>
      <c r="J78" s="364"/>
      <c r="K78" s="365"/>
      <c r="L78" s="377"/>
    </row>
    <row r="79" spans="1:12" ht="14.25">
      <c r="A79" s="354"/>
      <c r="B79" s="378"/>
      <c r="C79" s="379" t="s">
        <v>575</v>
      </c>
      <c r="D79" s="379"/>
      <c r="E79" s="494"/>
      <c r="F79" s="379"/>
      <c r="G79" s="379"/>
      <c r="H79" s="379"/>
      <c r="I79" s="379"/>
      <c r="J79" s="379"/>
      <c r="K79" s="380"/>
      <c r="L79" s="377"/>
    </row>
    <row r="80" spans="1:12" ht="14.25">
      <c r="A80" s="354"/>
      <c r="B80" s="370" t="s">
        <v>576</v>
      </c>
      <c r="C80" s="959">
        <v>100000</v>
      </c>
      <c r="D80" s="959"/>
      <c r="E80" s="492" t="s">
        <v>251</v>
      </c>
      <c r="F80" s="492">
        <v>0.115</v>
      </c>
      <c r="G80" s="492" t="s">
        <v>548</v>
      </c>
      <c r="H80" s="493">
        <f>C80*F80</f>
        <v>11500</v>
      </c>
      <c r="I80" s="364" t="s">
        <v>577</v>
      </c>
      <c r="J80" s="364"/>
      <c r="K80" s="365"/>
      <c r="L80" s="377"/>
    </row>
    <row r="81" spans="1:12" ht="14.25">
      <c r="A81" s="354"/>
      <c r="B81" s="370"/>
      <c r="C81" s="364"/>
      <c r="D81" s="364"/>
      <c r="E81" s="492"/>
      <c r="F81" s="364"/>
      <c r="G81" s="364"/>
      <c r="H81" s="364"/>
      <c r="I81" s="364"/>
      <c r="J81" s="364"/>
      <c r="K81" s="365"/>
      <c r="L81" s="377"/>
    </row>
    <row r="82" spans="1:12" ht="14.25">
      <c r="A82" s="354"/>
      <c r="B82" s="378"/>
      <c r="C82" s="379" t="s">
        <v>578</v>
      </c>
      <c r="D82" s="379"/>
      <c r="E82" s="494"/>
      <c r="F82" s="379" t="s">
        <v>574</v>
      </c>
      <c r="G82" s="379"/>
      <c r="H82" s="379"/>
      <c r="I82" s="379"/>
      <c r="J82" s="379" t="s">
        <v>579</v>
      </c>
      <c r="K82" s="380"/>
      <c r="L82" s="377"/>
    </row>
    <row r="83" spans="1:12" ht="14.25">
      <c r="A83" s="354"/>
      <c r="B83" s="370" t="s">
        <v>580</v>
      </c>
      <c r="C83" s="963">
        <f>H80</f>
        <v>11500</v>
      </c>
      <c r="D83" s="963"/>
      <c r="E83" s="492" t="s">
        <v>251</v>
      </c>
      <c r="F83" s="371">
        <f>H77</f>
        <v>1.6025641025641026</v>
      </c>
      <c r="G83" s="492" t="s">
        <v>549</v>
      </c>
      <c r="H83" s="492">
        <v>1000</v>
      </c>
      <c r="I83" s="492" t="s">
        <v>548</v>
      </c>
      <c r="J83" s="495">
        <f>C83*F83/H83</f>
        <v>18.42948717948718</v>
      </c>
      <c r="K83" s="365"/>
      <c r="L83" s="377"/>
    </row>
    <row r="84" spans="1:12" ht="15" thickBot="1">
      <c r="A84" s="354"/>
      <c r="B84" s="366"/>
      <c r="C84" s="381"/>
      <c r="D84" s="381"/>
      <c r="E84" s="382"/>
      <c r="F84" s="383"/>
      <c r="G84" s="382"/>
      <c r="H84" s="382"/>
      <c r="I84" s="382"/>
      <c r="J84" s="384"/>
      <c r="K84" s="368"/>
      <c r="L84" s="377"/>
    </row>
    <row r="85" spans="1:12" ht="40.5" customHeight="1">
      <c r="A85" s="354"/>
      <c r="B85" s="964" t="s">
        <v>540</v>
      </c>
      <c r="C85" s="964"/>
      <c r="D85" s="964"/>
      <c r="E85" s="964"/>
      <c r="F85" s="964"/>
      <c r="G85" s="964"/>
      <c r="H85" s="964"/>
      <c r="I85" s="964"/>
      <c r="J85" s="964"/>
      <c r="K85" s="964"/>
      <c r="L85" s="354"/>
    </row>
    <row r="86" spans="1:12" ht="14.25">
      <c r="A86" s="354"/>
      <c r="B86" s="960" t="s">
        <v>581</v>
      </c>
      <c r="C86" s="960"/>
      <c r="D86" s="960"/>
      <c r="E86" s="960"/>
      <c r="F86" s="960"/>
      <c r="G86" s="960"/>
      <c r="H86" s="960"/>
      <c r="I86" s="960"/>
      <c r="J86" s="960"/>
      <c r="K86" s="960"/>
      <c r="L86" s="354"/>
    </row>
    <row r="87" spans="1:12" ht="14.25">
      <c r="A87" s="354"/>
      <c r="B87" s="385"/>
      <c r="C87" s="385"/>
      <c r="D87" s="385"/>
      <c r="E87" s="385"/>
      <c r="F87" s="385"/>
      <c r="G87" s="385"/>
      <c r="H87" s="385"/>
      <c r="I87" s="385"/>
      <c r="J87" s="385"/>
      <c r="K87" s="385"/>
      <c r="L87" s="354"/>
    </row>
    <row r="88" spans="1:12" ht="14.25">
      <c r="A88" s="354"/>
      <c r="B88" s="960" t="s">
        <v>582</v>
      </c>
      <c r="C88" s="960"/>
      <c r="D88" s="960"/>
      <c r="E88" s="960"/>
      <c r="F88" s="960"/>
      <c r="G88" s="960"/>
      <c r="H88" s="960"/>
      <c r="I88" s="960"/>
      <c r="J88" s="960"/>
      <c r="K88" s="960"/>
      <c r="L88" s="354"/>
    </row>
    <row r="89" spans="1:12" ht="14.25">
      <c r="A89" s="354"/>
      <c r="B89" s="488"/>
      <c r="C89" s="488"/>
      <c r="D89" s="488"/>
      <c r="E89" s="488"/>
      <c r="F89" s="488"/>
      <c r="G89" s="488"/>
      <c r="H89" s="488"/>
      <c r="I89" s="488"/>
      <c r="J89" s="488"/>
      <c r="K89" s="488"/>
      <c r="L89" s="354"/>
    </row>
    <row r="90" spans="1:12" ht="45" customHeight="1">
      <c r="A90" s="354"/>
      <c r="B90" s="961" t="s">
        <v>583</v>
      </c>
      <c r="C90" s="961"/>
      <c r="D90" s="961"/>
      <c r="E90" s="961"/>
      <c r="F90" s="961"/>
      <c r="G90" s="961"/>
      <c r="H90" s="961"/>
      <c r="I90" s="961"/>
      <c r="J90" s="961"/>
      <c r="K90" s="961"/>
      <c r="L90" s="354"/>
    </row>
    <row r="91" spans="1:12" ht="15" customHeight="1" thickBot="1">
      <c r="A91" s="354"/>
      <c r="L91" s="354"/>
    </row>
    <row r="92" spans="1:12" ht="15" customHeight="1">
      <c r="A92" s="354"/>
      <c r="B92" s="386" t="s">
        <v>544</v>
      </c>
      <c r="C92" s="387"/>
      <c r="D92" s="387"/>
      <c r="E92" s="387"/>
      <c r="F92" s="387"/>
      <c r="G92" s="387"/>
      <c r="H92" s="387"/>
      <c r="I92" s="387"/>
      <c r="J92" s="387"/>
      <c r="K92" s="388"/>
      <c r="L92" s="354"/>
    </row>
    <row r="93" spans="1:12" ht="15" customHeight="1">
      <c r="A93" s="354"/>
      <c r="B93" s="389"/>
      <c r="C93" s="490" t="s">
        <v>550</v>
      </c>
      <c r="D93" s="490"/>
      <c r="E93" s="490"/>
      <c r="F93" s="490"/>
      <c r="G93" s="490"/>
      <c r="H93" s="490"/>
      <c r="I93" s="490"/>
      <c r="J93" s="490"/>
      <c r="K93" s="390"/>
      <c r="L93" s="354"/>
    </row>
    <row r="94" spans="1:12" ht="15" customHeight="1">
      <c r="A94" s="354"/>
      <c r="B94" s="389" t="s">
        <v>570</v>
      </c>
      <c r="C94" s="959">
        <v>3120000</v>
      </c>
      <c r="D94" s="959"/>
      <c r="E94" s="492" t="s">
        <v>549</v>
      </c>
      <c r="F94" s="492">
        <v>1000</v>
      </c>
      <c r="G94" s="492" t="s">
        <v>548</v>
      </c>
      <c r="H94" s="495">
        <f>C94/F94</f>
        <v>3120</v>
      </c>
      <c r="I94" s="490" t="s">
        <v>571</v>
      </c>
      <c r="J94" s="490"/>
      <c r="K94" s="390"/>
      <c r="L94" s="354"/>
    </row>
    <row r="95" spans="1:12" ht="15" customHeight="1">
      <c r="A95" s="354"/>
      <c r="B95" s="389"/>
      <c r="C95" s="490"/>
      <c r="D95" s="490"/>
      <c r="E95" s="492"/>
      <c r="F95" s="490"/>
      <c r="G95" s="490"/>
      <c r="H95" s="490"/>
      <c r="I95" s="490"/>
      <c r="J95" s="490"/>
      <c r="K95" s="390"/>
      <c r="L95" s="354"/>
    </row>
    <row r="96" spans="1:12" ht="15" customHeight="1">
      <c r="A96" s="354"/>
      <c r="B96" s="389"/>
      <c r="C96" s="490" t="s">
        <v>572</v>
      </c>
      <c r="D96" s="490"/>
      <c r="E96" s="492"/>
      <c r="F96" s="490" t="s">
        <v>571</v>
      </c>
      <c r="G96" s="490"/>
      <c r="H96" s="490"/>
      <c r="I96" s="490"/>
      <c r="J96" s="490"/>
      <c r="K96" s="390"/>
      <c r="L96" s="354"/>
    </row>
    <row r="97" spans="1:12" ht="15" customHeight="1">
      <c r="A97" s="354"/>
      <c r="B97" s="389" t="s">
        <v>573</v>
      </c>
      <c r="C97" s="959">
        <v>5000</v>
      </c>
      <c r="D97" s="959"/>
      <c r="E97" s="492" t="s">
        <v>549</v>
      </c>
      <c r="F97" s="495">
        <f>H94</f>
        <v>3120</v>
      </c>
      <c r="G97" s="492" t="s">
        <v>548</v>
      </c>
      <c r="H97" s="371">
        <f>C97/F97</f>
        <v>1.6025641025641026</v>
      </c>
      <c r="I97" s="490" t="s">
        <v>574</v>
      </c>
      <c r="J97" s="490"/>
      <c r="K97" s="390"/>
      <c r="L97" s="354"/>
    </row>
    <row r="98" spans="1:12" ht="15" customHeight="1">
      <c r="A98" s="354"/>
      <c r="B98" s="389"/>
      <c r="C98" s="490"/>
      <c r="D98" s="490"/>
      <c r="E98" s="492"/>
      <c r="F98" s="490"/>
      <c r="G98" s="490"/>
      <c r="H98" s="490"/>
      <c r="I98" s="490"/>
      <c r="J98" s="490"/>
      <c r="K98" s="390"/>
      <c r="L98" s="354"/>
    </row>
    <row r="99" spans="1:12" ht="15" customHeight="1">
      <c r="A99" s="354"/>
      <c r="B99" s="391"/>
      <c r="C99" s="392" t="s">
        <v>584</v>
      </c>
      <c r="D99" s="392"/>
      <c r="E99" s="494"/>
      <c r="F99" s="392"/>
      <c r="G99" s="392"/>
      <c r="H99" s="392"/>
      <c r="I99" s="392"/>
      <c r="J99" s="392"/>
      <c r="K99" s="393"/>
      <c r="L99" s="354"/>
    </row>
    <row r="100" spans="1:12" ht="15" customHeight="1">
      <c r="A100" s="354"/>
      <c r="B100" s="389" t="s">
        <v>576</v>
      </c>
      <c r="C100" s="959">
        <v>2500000</v>
      </c>
      <c r="D100" s="959"/>
      <c r="E100" s="492" t="s">
        <v>251</v>
      </c>
      <c r="F100" s="394">
        <v>0.3</v>
      </c>
      <c r="G100" s="492" t="s">
        <v>548</v>
      </c>
      <c r="H100" s="493">
        <f>C100*F100</f>
        <v>750000</v>
      </c>
      <c r="I100" s="490" t="s">
        <v>577</v>
      </c>
      <c r="J100" s="490"/>
      <c r="K100" s="390"/>
      <c r="L100" s="354"/>
    </row>
    <row r="101" spans="1:12" ht="15" customHeight="1">
      <c r="A101" s="354"/>
      <c r="B101" s="389"/>
      <c r="C101" s="490"/>
      <c r="D101" s="490"/>
      <c r="E101" s="492"/>
      <c r="F101" s="490"/>
      <c r="G101" s="490"/>
      <c r="H101" s="490"/>
      <c r="I101" s="490"/>
      <c r="J101" s="490"/>
      <c r="K101" s="390"/>
      <c r="L101" s="354"/>
    </row>
    <row r="102" spans="1:12" ht="15" customHeight="1">
      <c r="A102" s="354"/>
      <c r="B102" s="391"/>
      <c r="C102" s="392" t="s">
        <v>578</v>
      </c>
      <c r="D102" s="392"/>
      <c r="E102" s="494"/>
      <c r="F102" s="392" t="s">
        <v>574</v>
      </c>
      <c r="G102" s="392"/>
      <c r="H102" s="392"/>
      <c r="I102" s="392"/>
      <c r="J102" s="392" t="s">
        <v>579</v>
      </c>
      <c r="K102" s="393"/>
      <c r="L102" s="354"/>
    </row>
    <row r="103" spans="1:12" ht="15" customHeight="1">
      <c r="A103" s="354"/>
      <c r="B103" s="389" t="s">
        <v>580</v>
      </c>
      <c r="C103" s="963">
        <f>H100</f>
        <v>750000</v>
      </c>
      <c r="D103" s="963"/>
      <c r="E103" s="492" t="s">
        <v>251</v>
      </c>
      <c r="F103" s="371">
        <f>H97</f>
        <v>1.6025641025641026</v>
      </c>
      <c r="G103" s="492" t="s">
        <v>549</v>
      </c>
      <c r="H103" s="492">
        <v>1000</v>
      </c>
      <c r="I103" s="492" t="s">
        <v>548</v>
      </c>
      <c r="J103" s="495">
        <f>C103*F103/H103</f>
        <v>1201.923076923077</v>
      </c>
      <c r="K103" s="390"/>
      <c r="L103" s="354"/>
    </row>
    <row r="104" spans="1:12" ht="15" customHeight="1" thickBot="1">
      <c r="A104" s="354"/>
      <c r="B104" s="395"/>
      <c r="C104" s="381"/>
      <c r="D104" s="381"/>
      <c r="E104" s="382"/>
      <c r="F104" s="383"/>
      <c r="G104" s="382"/>
      <c r="H104" s="382"/>
      <c r="I104" s="382"/>
      <c r="J104" s="384"/>
      <c r="K104" s="491"/>
      <c r="L104" s="354"/>
    </row>
    <row r="105" spans="1:12" ht="40.5" customHeight="1">
      <c r="A105" s="354"/>
      <c r="B105" s="964" t="s">
        <v>540</v>
      </c>
      <c r="C105" s="965"/>
      <c r="D105" s="965"/>
      <c r="E105" s="965"/>
      <c r="F105" s="965"/>
      <c r="G105" s="965"/>
      <c r="H105" s="965"/>
      <c r="I105" s="965"/>
      <c r="J105" s="965"/>
      <c r="K105" s="965"/>
      <c r="L105" s="354"/>
    </row>
    <row r="106" spans="1:12" ht="15" customHeight="1">
      <c r="A106" s="354"/>
      <c r="B106" s="966" t="s">
        <v>585</v>
      </c>
      <c r="C106" s="967"/>
      <c r="D106" s="967"/>
      <c r="E106" s="967"/>
      <c r="F106" s="967"/>
      <c r="G106" s="967"/>
      <c r="H106" s="967"/>
      <c r="I106" s="967"/>
      <c r="J106" s="967"/>
      <c r="K106" s="967"/>
      <c r="L106" s="354"/>
    </row>
    <row r="107" spans="1:12" ht="15" customHeight="1">
      <c r="A107" s="354"/>
      <c r="B107" s="490"/>
      <c r="C107" s="396"/>
      <c r="D107" s="396"/>
      <c r="E107" s="492"/>
      <c r="F107" s="371"/>
      <c r="G107" s="492"/>
      <c r="H107" s="492"/>
      <c r="I107" s="492"/>
      <c r="J107" s="495"/>
      <c r="K107" s="490"/>
      <c r="L107" s="354"/>
    </row>
    <row r="108" spans="1:12" ht="15" customHeight="1">
      <c r="A108" s="354"/>
      <c r="B108" s="966" t="s">
        <v>586</v>
      </c>
      <c r="C108" s="968"/>
      <c r="D108" s="968"/>
      <c r="E108" s="968"/>
      <c r="F108" s="968"/>
      <c r="G108" s="968"/>
      <c r="H108" s="968"/>
      <c r="I108" s="968"/>
      <c r="J108" s="968"/>
      <c r="K108" s="968"/>
      <c r="L108" s="354"/>
    </row>
    <row r="109" spans="1:12" ht="15" customHeight="1">
      <c r="A109" s="354"/>
      <c r="B109" s="490"/>
      <c r="C109" s="396"/>
      <c r="D109" s="396"/>
      <c r="E109" s="492"/>
      <c r="F109" s="371"/>
      <c r="G109" s="492"/>
      <c r="H109" s="492"/>
      <c r="I109" s="492"/>
      <c r="J109" s="495"/>
      <c r="K109" s="490"/>
      <c r="L109" s="354"/>
    </row>
    <row r="110" spans="1:12" ht="59.25" customHeight="1">
      <c r="A110" s="354"/>
      <c r="B110" s="969" t="s">
        <v>587</v>
      </c>
      <c r="C110" s="970"/>
      <c r="D110" s="970"/>
      <c r="E110" s="970"/>
      <c r="F110" s="970"/>
      <c r="G110" s="970"/>
      <c r="H110" s="970"/>
      <c r="I110" s="970"/>
      <c r="J110" s="970"/>
      <c r="K110" s="970"/>
      <c r="L110" s="354"/>
    </row>
    <row r="111" spans="1:12" ht="15" thickBot="1">
      <c r="A111" s="354"/>
      <c r="B111" s="489"/>
      <c r="C111" s="489"/>
      <c r="D111" s="489"/>
      <c r="E111" s="489"/>
      <c r="F111" s="489"/>
      <c r="G111" s="489"/>
      <c r="H111" s="489"/>
      <c r="I111" s="489"/>
      <c r="J111" s="489"/>
      <c r="K111" s="489"/>
      <c r="L111" s="397"/>
    </row>
    <row r="112" spans="1:12" ht="14.25">
      <c r="A112" s="354"/>
      <c r="B112" s="360" t="s">
        <v>544</v>
      </c>
      <c r="C112" s="361"/>
      <c r="D112" s="361"/>
      <c r="E112" s="361"/>
      <c r="F112" s="361"/>
      <c r="G112" s="361"/>
      <c r="H112" s="361"/>
      <c r="I112" s="361"/>
      <c r="J112" s="361"/>
      <c r="K112" s="362"/>
      <c r="L112" s="354"/>
    </row>
    <row r="113" spans="1:12" ht="14.25">
      <c r="A113" s="354"/>
      <c r="B113" s="370"/>
      <c r="C113" s="364" t="s">
        <v>550</v>
      </c>
      <c r="D113" s="364"/>
      <c r="E113" s="364"/>
      <c r="F113" s="364"/>
      <c r="G113" s="364"/>
      <c r="H113" s="364"/>
      <c r="I113" s="364"/>
      <c r="J113" s="364"/>
      <c r="K113" s="365"/>
      <c r="L113" s="354"/>
    </row>
    <row r="114" spans="1:12" ht="14.25">
      <c r="A114" s="354"/>
      <c r="B114" s="370" t="s">
        <v>570</v>
      </c>
      <c r="C114" s="959">
        <v>3120000</v>
      </c>
      <c r="D114" s="959"/>
      <c r="E114" s="492" t="s">
        <v>549</v>
      </c>
      <c r="F114" s="492">
        <v>1000</v>
      </c>
      <c r="G114" s="492" t="s">
        <v>548</v>
      </c>
      <c r="H114" s="495">
        <f>C114/F114</f>
        <v>3120</v>
      </c>
      <c r="I114" s="364" t="s">
        <v>571</v>
      </c>
      <c r="J114" s="364"/>
      <c r="K114" s="365"/>
      <c r="L114" s="354"/>
    </row>
    <row r="115" spans="1:12" ht="14.25">
      <c r="A115" s="354"/>
      <c r="B115" s="370"/>
      <c r="C115" s="364"/>
      <c r="D115" s="364"/>
      <c r="E115" s="492"/>
      <c r="F115" s="364"/>
      <c r="G115" s="364"/>
      <c r="H115" s="364"/>
      <c r="I115" s="364"/>
      <c r="J115" s="364"/>
      <c r="K115" s="365"/>
      <c r="L115" s="354"/>
    </row>
    <row r="116" spans="1:12" ht="14.25">
      <c r="A116" s="354"/>
      <c r="B116" s="370"/>
      <c r="C116" s="364" t="s">
        <v>572</v>
      </c>
      <c r="D116" s="364"/>
      <c r="E116" s="492"/>
      <c r="F116" s="364" t="s">
        <v>571</v>
      </c>
      <c r="G116" s="364"/>
      <c r="H116" s="364"/>
      <c r="I116" s="364"/>
      <c r="J116" s="364"/>
      <c r="K116" s="365"/>
      <c r="L116" s="354"/>
    </row>
    <row r="117" spans="1:12" ht="14.25">
      <c r="A117" s="354"/>
      <c r="B117" s="370" t="s">
        <v>573</v>
      </c>
      <c r="C117" s="959">
        <v>5000</v>
      </c>
      <c r="D117" s="959"/>
      <c r="E117" s="492" t="s">
        <v>549</v>
      </c>
      <c r="F117" s="495">
        <f>H114</f>
        <v>3120</v>
      </c>
      <c r="G117" s="492" t="s">
        <v>548</v>
      </c>
      <c r="H117" s="371">
        <f>C117/F117</f>
        <v>1.6025641025641026</v>
      </c>
      <c r="I117" s="364" t="s">
        <v>574</v>
      </c>
      <c r="J117" s="364"/>
      <c r="K117" s="365"/>
      <c r="L117" s="354"/>
    </row>
    <row r="118" spans="1:12" ht="14.25">
      <c r="A118" s="354"/>
      <c r="B118" s="370"/>
      <c r="C118" s="364"/>
      <c r="D118" s="364"/>
      <c r="E118" s="492"/>
      <c r="F118" s="364"/>
      <c r="G118" s="364"/>
      <c r="H118" s="364"/>
      <c r="I118" s="364"/>
      <c r="J118" s="364"/>
      <c r="K118" s="365"/>
      <c r="L118" s="354"/>
    </row>
    <row r="119" spans="1:12" ht="14.25">
      <c r="A119" s="354"/>
      <c r="B119" s="378"/>
      <c r="C119" s="379" t="s">
        <v>584</v>
      </c>
      <c r="D119" s="379"/>
      <c r="E119" s="494"/>
      <c r="F119" s="379"/>
      <c r="G119" s="379"/>
      <c r="H119" s="379"/>
      <c r="I119" s="379"/>
      <c r="J119" s="379"/>
      <c r="K119" s="380"/>
      <c r="L119" s="354"/>
    </row>
    <row r="120" spans="1:12" ht="14.25">
      <c r="A120" s="354"/>
      <c r="B120" s="370" t="s">
        <v>576</v>
      </c>
      <c r="C120" s="959">
        <v>2500000</v>
      </c>
      <c r="D120" s="959"/>
      <c r="E120" s="492" t="s">
        <v>251</v>
      </c>
      <c r="F120" s="394">
        <v>0.25</v>
      </c>
      <c r="G120" s="492" t="s">
        <v>548</v>
      </c>
      <c r="H120" s="493">
        <f>C120*F120</f>
        <v>625000</v>
      </c>
      <c r="I120" s="364" t="s">
        <v>577</v>
      </c>
      <c r="J120" s="364"/>
      <c r="K120" s="365"/>
      <c r="L120" s="354"/>
    </row>
    <row r="121" spans="1:12" ht="14.25">
      <c r="A121" s="354"/>
      <c r="B121" s="370"/>
      <c r="C121" s="364"/>
      <c r="D121" s="364"/>
      <c r="E121" s="492"/>
      <c r="F121" s="364"/>
      <c r="G121" s="364"/>
      <c r="H121" s="364"/>
      <c r="I121" s="364"/>
      <c r="J121" s="364"/>
      <c r="K121" s="365"/>
      <c r="L121" s="354"/>
    </row>
    <row r="122" spans="1:12" ht="14.25">
      <c r="A122" s="354"/>
      <c r="B122" s="378"/>
      <c r="C122" s="379" t="s">
        <v>578</v>
      </c>
      <c r="D122" s="379"/>
      <c r="E122" s="494"/>
      <c r="F122" s="379" t="s">
        <v>574</v>
      </c>
      <c r="G122" s="379"/>
      <c r="H122" s="379"/>
      <c r="I122" s="379"/>
      <c r="J122" s="379" t="s">
        <v>579</v>
      </c>
      <c r="K122" s="380"/>
      <c r="L122" s="354"/>
    </row>
    <row r="123" spans="1:12" ht="14.25">
      <c r="A123" s="354"/>
      <c r="B123" s="370" t="s">
        <v>580</v>
      </c>
      <c r="C123" s="963">
        <f>H120</f>
        <v>625000</v>
      </c>
      <c r="D123" s="963"/>
      <c r="E123" s="492" t="s">
        <v>251</v>
      </c>
      <c r="F123" s="371">
        <f>H117</f>
        <v>1.6025641025641026</v>
      </c>
      <c r="G123" s="492" t="s">
        <v>549</v>
      </c>
      <c r="H123" s="492">
        <v>1000</v>
      </c>
      <c r="I123" s="492" t="s">
        <v>548</v>
      </c>
      <c r="J123" s="495">
        <f>C123*F123/H123</f>
        <v>1001.6025641025641</v>
      </c>
      <c r="K123" s="365"/>
      <c r="L123" s="354"/>
    </row>
    <row r="124" spans="1:12" ht="15" thickBot="1">
      <c r="A124" s="354"/>
      <c r="B124" s="366"/>
      <c r="C124" s="381"/>
      <c r="D124" s="381"/>
      <c r="E124" s="382"/>
      <c r="F124" s="383"/>
      <c r="G124" s="382"/>
      <c r="H124" s="382"/>
      <c r="I124" s="382"/>
      <c r="J124" s="384"/>
      <c r="K124" s="368"/>
      <c r="L124" s="354"/>
    </row>
    <row r="125" spans="1:12" ht="40.5" customHeight="1">
      <c r="A125" s="354"/>
      <c r="B125" s="964" t="s">
        <v>540</v>
      </c>
      <c r="C125" s="964"/>
      <c r="D125" s="964"/>
      <c r="E125" s="964"/>
      <c r="F125" s="964"/>
      <c r="G125" s="964"/>
      <c r="H125" s="964"/>
      <c r="I125" s="964"/>
      <c r="J125" s="964"/>
      <c r="K125" s="964"/>
      <c r="L125" s="397"/>
    </row>
    <row r="126" spans="1:12" ht="14.25">
      <c r="A126" s="354"/>
      <c r="B126" s="960" t="s">
        <v>588</v>
      </c>
      <c r="C126" s="960"/>
      <c r="D126" s="960"/>
      <c r="E126" s="960"/>
      <c r="F126" s="960"/>
      <c r="G126" s="960"/>
      <c r="H126" s="960"/>
      <c r="I126" s="960"/>
      <c r="J126" s="960"/>
      <c r="K126" s="960"/>
      <c r="L126" s="397"/>
    </row>
    <row r="127" spans="1:12" ht="14.25">
      <c r="A127" s="354"/>
      <c r="B127" s="489"/>
      <c r="C127" s="489"/>
      <c r="D127" s="489"/>
      <c r="E127" s="489"/>
      <c r="F127" s="489"/>
      <c r="G127" s="489"/>
      <c r="H127" s="489"/>
      <c r="I127" s="489"/>
      <c r="J127" s="489"/>
      <c r="K127" s="489"/>
      <c r="L127" s="397"/>
    </row>
    <row r="128" spans="1:12" ht="14.25">
      <c r="A128" s="354"/>
      <c r="B128" s="960" t="s">
        <v>589</v>
      </c>
      <c r="C128" s="960"/>
      <c r="D128" s="960"/>
      <c r="E128" s="960"/>
      <c r="F128" s="960"/>
      <c r="G128" s="960"/>
      <c r="H128" s="960"/>
      <c r="I128" s="960"/>
      <c r="J128" s="960"/>
      <c r="K128" s="960"/>
      <c r="L128" s="397"/>
    </row>
    <row r="129" spans="1:12" ht="14.25">
      <c r="A129" s="354"/>
      <c r="B129" s="488"/>
      <c r="C129" s="488"/>
      <c r="D129" s="488"/>
      <c r="E129" s="488"/>
      <c r="F129" s="488"/>
      <c r="G129" s="488"/>
      <c r="H129" s="488"/>
      <c r="I129" s="488"/>
      <c r="J129" s="488"/>
      <c r="K129" s="488"/>
      <c r="L129" s="397"/>
    </row>
    <row r="130" spans="1:12" ht="74.25" customHeight="1">
      <c r="A130" s="354"/>
      <c r="B130" s="961" t="s">
        <v>590</v>
      </c>
      <c r="C130" s="961"/>
      <c r="D130" s="961"/>
      <c r="E130" s="961"/>
      <c r="F130" s="961"/>
      <c r="G130" s="961"/>
      <c r="H130" s="961"/>
      <c r="I130" s="961"/>
      <c r="J130" s="961"/>
      <c r="K130" s="961"/>
      <c r="L130" s="397"/>
    </row>
    <row r="131" spans="1:12" ht="15" thickBot="1">
      <c r="A131" s="354"/>
      <c r="L131" s="354"/>
    </row>
    <row r="132" spans="1:12" ht="14.25">
      <c r="A132" s="354"/>
      <c r="B132" s="360" t="s">
        <v>544</v>
      </c>
      <c r="C132" s="361"/>
      <c r="D132" s="361"/>
      <c r="E132" s="361"/>
      <c r="F132" s="361"/>
      <c r="G132" s="361"/>
      <c r="H132" s="361"/>
      <c r="I132" s="361"/>
      <c r="J132" s="361"/>
      <c r="K132" s="362"/>
      <c r="L132" s="354"/>
    </row>
    <row r="133" spans="1:12" ht="14.25">
      <c r="A133" s="354"/>
      <c r="B133" s="370"/>
      <c r="C133" s="962" t="s">
        <v>591</v>
      </c>
      <c r="D133" s="962"/>
      <c r="E133" s="364"/>
      <c r="F133" s="492" t="s">
        <v>592</v>
      </c>
      <c r="G133" s="364"/>
      <c r="H133" s="962" t="s">
        <v>577</v>
      </c>
      <c r="I133" s="962"/>
      <c r="J133" s="364"/>
      <c r="K133" s="365"/>
      <c r="L133" s="354"/>
    </row>
    <row r="134" spans="1:12" ht="14.25">
      <c r="A134" s="354"/>
      <c r="B134" s="370" t="s">
        <v>570</v>
      </c>
      <c r="C134" s="959">
        <v>100000</v>
      </c>
      <c r="D134" s="959"/>
      <c r="E134" s="492" t="s">
        <v>251</v>
      </c>
      <c r="F134" s="492">
        <v>0.115</v>
      </c>
      <c r="G134" s="492" t="s">
        <v>548</v>
      </c>
      <c r="H134" s="951">
        <f>C134*F134</f>
        <v>11500</v>
      </c>
      <c r="I134" s="951"/>
      <c r="J134" s="364"/>
      <c r="K134" s="365"/>
      <c r="L134" s="354"/>
    </row>
    <row r="135" spans="1:12" ht="14.25">
      <c r="A135" s="354"/>
      <c r="B135" s="370"/>
      <c r="C135" s="364"/>
      <c r="D135" s="364"/>
      <c r="E135" s="364"/>
      <c r="F135" s="364"/>
      <c r="G135" s="364"/>
      <c r="H135" s="364"/>
      <c r="I135" s="364"/>
      <c r="J135" s="364"/>
      <c r="K135" s="365"/>
      <c r="L135" s="354"/>
    </row>
    <row r="136" spans="1:12" ht="14.25">
      <c r="A136" s="354"/>
      <c r="B136" s="378"/>
      <c r="C136" s="950" t="s">
        <v>577</v>
      </c>
      <c r="D136" s="950"/>
      <c r="E136" s="379"/>
      <c r="F136" s="494" t="s">
        <v>593</v>
      </c>
      <c r="G136" s="494"/>
      <c r="H136" s="379"/>
      <c r="I136" s="379"/>
      <c r="J136" s="379" t="s">
        <v>594</v>
      </c>
      <c r="K136" s="380"/>
      <c r="L136" s="354"/>
    </row>
    <row r="137" spans="1:12" ht="14.25">
      <c r="A137" s="354"/>
      <c r="B137" s="370" t="s">
        <v>573</v>
      </c>
      <c r="C137" s="951">
        <f>H134</f>
        <v>11500</v>
      </c>
      <c r="D137" s="951"/>
      <c r="E137" s="492" t="s">
        <v>251</v>
      </c>
      <c r="F137" s="398">
        <v>52.869</v>
      </c>
      <c r="G137" s="492" t="s">
        <v>549</v>
      </c>
      <c r="H137" s="492">
        <v>1000</v>
      </c>
      <c r="I137" s="492" t="s">
        <v>548</v>
      </c>
      <c r="J137" s="399">
        <f>C137*F137/H137</f>
        <v>607.9935</v>
      </c>
      <c r="K137" s="365"/>
      <c r="L137" s="354"/>
    </row>
    <row r="138" spans="1:12" ht="15" thickBot="1">
      <c r="A138" s="354"/>
      <c r="B138" s="366"/>
      <c r="C138" s="400"/>
      <c r="D138" s="400"/>
      <c r="E138" s="382"/>
      <c r="F138" s="401"/>
      <c r="G138" s="382"/>
      <c r="H138" s="382"/>
      <c r="I138" s="382"/>
      <c r="J138" s="402"/>
      <c r="K138" s="368"/>
      <c r="L138" s="354"/>
    </row>
    <row r="139" spans="1:12" ht="40.5" customHeight="1">
      <c r="A139" s="354"/>
      <c r="B139" s="403" t="s">
        <v>540</v>
      </c>
      <c r="C139" s="404"/>
      <c r="D139" s="404"/>
      <c r="E139" s="405"/>
      <c r="F139" s="406"/>
      <c r="G139" s="405"/>
      <c r="H139" s="405"/>
      <c r="I139" s="405"/>
      <c r="J139" s="407"/>
      <c r="K139" s="408"/>
      <c r="L139" s="354"/>
    </row>
    <row r="140" spans="1:12" ht="14.25">
      <c r="A140" s="354"/>
      <c r="B140" s="409" t="s">
        <v>595</v>
      </c>
      <c r="C140" s="410"/>
      <c r="D140" s="410"/>
      <c r="E140" s="411"/>
      <c r="F140" s="412"/>
      <c r="G140" s="411"/>
      <c r="H140" s="411"/>
      <c r="I140" s="411"/>
      <c r="J140" s="413"/>
      <c r="K140" s="414"/>
      <c r="L140" s="354"/>
    </row>
    <row r="141" spans="1:12" ht="14.25">
      <c r="A141" s="354"/>
      <c r="B141" s="370"/>
      <c r="C141" s="493"/>
      <c r="D141" s="493"/>
      <c r="E141" s="492"/>
      <c r="F141" s="415"/>
      <c r="G141" s="492"/>
      <c r="H141" s="492"/>
      <c r="I141" s="492"/>
      <c r="J141" s="399"/>
      <c r="K141" s="365"/>
      <c r="L141" s="354"/>
    </row>
    <row r="142" spans="1:12" ht="14.25">
      <c r="A142" s="354"/>
      <c r="B142" s="409" t="s">
        <v>596</v>
      </c>
      <c r="C142" s="410"/>
      <c r="D142" s="410"/>
      <c r="E142" s="411"/>
      <c r="F142" s="412"/>
      <c r="G142" s="411"/>
      <c r="H142" s="411"/>
      <c r="I142" s="411"/>
      <c r="J142" s="413"/>
      <c r="K142" s="414"/>
      <c r="L142" s="354"/>
    </row>
    <row r="143" spans="1:12" ht="14.25">
      <c r="A143" s="354"/>
      <c r="B143" s="370"/>
      <c r="C143" s="493"/>
      <c r="D143" s="493"/>
      <c r="E143" s="492"/>
      <c r="F143" s="415"/>
      <c r="G143" s="492"/>
      <c r="H143" s="492"/>
      <c r="I143" s="492"/>
      <c r="J143" s="399"/>
      <c r="K143" s="365"/>
      <c r="L143" s="354"/>
    </row>
    <row r="144" spans="1:12" ht="76.5" customHeight="1">
      <c r="A144" s="354"/>
      <c r="B144" s="952" t="s">
        <v>597</v>
      </c>
      <c r="C144" s="953"/>
      <c r="D144" s="953"/>
      <c r="E144" s="953"/>
      <c r="F144" s="953"/>
      <c r="G144" s="953"/>
      <c r="H144" s="953"/>
      <c r="I144" s="953"/>
      <c r="J144" s="953"/>
      <c r="K144" s="954"/>
      <c r="L144" s="354"/>
    </row>
    <row r="145" spans="1:12" ht="15" thickBot="1">
      <c r="A145" s="354"/>
      <c r="B145" s="370"/>
      <c r="C145" s="493"/>
      <c r="D145" s="493"/>
      <c r="E145" s="492"/>
      <c r="F145" s="415"/>
      <c r="G145" s="492"/>
      <c r="H145" s="492"/>
      <c r="I145" s="492"/>
      <c r="J145" s="399"/>
      <c r="K145" s="365"/>
      <c r="L145" s="354"/>
    </row>
    <row r="146" spans="1:12" ht="14.25">
      <c r="A146" s="354"/>
      <c r="B146" s="360" t="s">
        <v>544</v>
      </c>
      <c r="C146" s="416"/>
      <c r="D146" s="416"/>
      <c r="E146" s="417"/>
      <c r="F146" s="418"/>
      <c r="G146" s="417"/>
      <c r="H146" s="417"/>
      <c r="I146" s="417"/>
      <c r="J146" s="419"/>
      <c r="K146" s="362"/>
      <c r="L146" s="354"/>
    </row>
    <row r="147" spans="1:12" ht="14.25">
      <c r="A147" s="354"/>
      <c r="B147" s="370"/>
      <c r="C147" s="951" t="s">
        <v>598</v>
      </c>
      <c r="D147" s="951"/>
      <c r="E147" s="492"/>
      <c r="F147" s="415" t="s">
        <v>599</v>
      </c>
      <c r="G147" s="492"/>
      <c r="H147" s="492"/>
      <c r="I147" s="492"/>
      <c r="J147" s="955" t="s">
        <v>600</v>
      </c>
      <c r="K147" s="956"/>
      <c r="L147" s="354"/>
    </row>
    <row r="148" spans="1:12" ht="14.25">
      <c r="A148" s="354"/>
      <c r="B148" s="370"/>
      <c r="C148" s="957">
        <v>52.869</v>
      </c>
      <c r="D148" s="957"/>
      <c r="E148" s="492" t="s">
        <v>251</v>
      </c>
      <c r="F148" s="959">
        <v>3120000</v>
      </c>
      <c r="G148" s="959"/>
      <c r="H148" s="492">
        <v>1000</v>
      </c>
      <c r="I148" s="492" t="s">
        <v>548</v>
      </c>
      <c r="J148" s="955">
        <f>C148*(F148/1000)</f>
        <v>164951.28</v>
      </c>
      <c r="K148" s="958"/>
      <c r="L148" s="354"/>
    </row>
    <row r="149" spans="1:12" ht="15" thickBot="1">
      <c r="A149" s="354"/>
      <c r="B149" s="366"/>
      <c r="C149" s="400"/>
      <c r="D149" s="400"/>
      <c r="E149" s="382"/>
      <c r="F149" s="401"/>
      <c r="G149" s="382"/>
      <c r="H149" s="382"/>
      <c r="I149" s="382"/>
      <c r="J149" s="402"/>
      <c r="K149" s="368"/>
      <c r="L149" s="354"/>
    </row>
    <row r="150" spans="1:12" ht="15" thickBot="1">
      <c r="A150" s="354"/>
      <c r="B150" s="366"/>
      <c r="C150" s="367"/>
      <c r="D150" s="367"/>
      <c r="E150" s="367"/>
      <c r="F150" s="367"/>
      <c r="G150" s="367"/>
      <c r="H150" s="367"/>
      <c r="I150" s="367"/>
      <c r="J150" s="367"/>
      <c r="K150" s="368"/>
      <c r="L150" s="354"/>
    </row>
    <row r="151" spans="1:12" ht="14.25">
      <c r="A151" s="354"/>
      <c r="B151" s="354"/>
      <c r="C151" s="354"/>
      <c r="D151" s="354"/>
      <c r="E151" s="354"/>
      <c r="F151" s="354"/>
      <c r="G151" s="354"/>
      <c r="H151" s="354"/>
      <c r="I151" s="354"/>
      <c r="J151" s="354"/>
      <c r="K151" s="354"/>
      <c r="L151" s="354"/>
    </row>
    <row r="152" spans="1:12" ht="14.25">
      <c r="A152" s="354"/>
      <c r="B152" s="354"/>
      <c r="C152" s="354"/>
      <c r="D152" s="354"/>
      <c r="E152" s="354"/>
      <c r="F152" s="354"/>
      <c r="G152" s="354"/>
      <c r="H152" s="354"/>
      <c r="I152" s="354"/>
      <c r="J152" s="354"/>
      <c r="K152" s="354"/>
      <c r="L152" s="354"/>
    </row>
    <row r="153" spans="1:12" ht="14.25">
      <c r="A153" s="354"/>
      <c r="B153" s="354"/>
      <c r="C153" s="354"/>
      <c r="D153" s="354"/>
      <c r="E153" s="354"/>
      <c r="F153" s="354"/>
      <c r="G153" s="354"/>
      <c r="H153" s="354"/>
      <c r="I153" s="354"/>
      <c r="J153" s="354"/>
      <c r="K153" s="354"/>
      <c r="L153" s="354"/>
    </row>
    <row r="154" spans="1:12" ht="14.25">
      <c r="A154" s="420"/>
      <c r="B154" s="420"/>
      <c r="C154" s="420"/>
      <c r="D154" s="420"/>
      <c r="E154" s="420"/>
      <c r="F154" s="420"/>
      <c r="G154" s="420"/>
      <c r="H154" s="420"/>
      <c r="I154" s="420"/>
      <c r="J154" s="420"/>
      <c r="K154" s="420"/>
      <c r="L154" s="420"/>
    </row>
    <row r="155" spans="1:12" ht="14.25">
      <c r="A155" s="420"/>
      <c r="B155" s="420"/>
      <c r="C155" s="420"/>
      <c r="D155" s="420"/>
      <c r="E155" s="420"/>
      <c r="F155" s="420"/>
      <c r="G155" s="420"/>
      <c r="H155" s="420"/>
      <c r="I155" s="420"/>
      <c r="J155" s="420"/>
      <c r="K155" s="420"/>
      <c r="L155" s="420"/>
    </row>
    <row r="156" spans="1:12" ht="14.25">
      <c r="A156" s="420"/>
      <c r="B156" s="420"/>
      <c r="C156" s="420"/>
      <c r="D156" s="420"/>
      <c r="E156" s="420"/>
      <c r="F156" s="420"/>
      <c r="G156" s="420"/>
      <c r="H156" s="420"/>
      <c r="I156" s="420"/>
      <c r="J156" s="420"/>
      <c r="K156" s="420"/>
      <c r="L156" s="420"/>
    </row>
    <row r="157" spans="1:12" ht="14.25">
      <c r="A157" s="420"/>
      <c r="B157" s="420"/>
      <c r="C157" s="420"/>
      <c r="D157" s="420"/>
      <c r="E157" s="420"/>
      <c r="F157" s="420"/>
      <c r="G157" s="420"/>
      <c r="H157" s="420"/>
      <c r="I157" s="420"/>
      <c r="J157" s="420"/>
      <c r="K157" s="420"/>
      <c r="L157" s="420"/>
    </row>
    <row r="158" spans="1:12" ht="14.25">
      <c r="A158" s="420"/>
      <c r="B158" s="420"/>
      <c r="C158" s="420"/>
      <c r="D158" s="420"/>
      <c r="E158" s="420"/>
      <c r="F158" s="420"/>
      <c r="G158" s="420"/>
      <c r="H158" s="420"/>
      <c r="I158" s="420"/>
      <c r="J158" s="420"/>
      <c r="K158" s="420"/>
      <c r="L158" s="420"/>
    </row>
    <row r="159" spans="1:12" ht="14.25">
      <c r="A159" s="420"/>
      <c r="B159" s="420"/>
      <c r="C159" s="420"/>
      <c r="D159" s="420"/>
      <c r="E159" s="420"/>
      <c r="F159" s="420"/>
      <c r="G159" s="420"/>
      <c r="H159" s="420"/>
      <c r="I159" s="420"/>
      <c r="J159" s="420"/>
      <c r="K159" s="420"/>
      <c r="L159" s="420"/>
    </row>
    <row r="160" spans="1:12" ht="14.25">
      <c r="A160" s="420"/>
      <c r="B160" s="420"/>
      <c r="C160" s="420"/>
      <c r="D160" s="420"/>
      <c r="E160" s="420"/>
      <c r="F160" s="420"/>
      <c r="G160" s="420"/>
      <c r="H160" s="420"/>
      <c r="I160" s="420"/>
      <c r="J160" s="420"/>
      <c r="K160" s="420"/>
      <c r="L160" s="420"/>
    </row>
    <row r="161" spans="1:12" ht="14.25">
      <c r="A161" s="420"/>
      <c r="B161" s="420"/>
      <c r="C161" s="420"/>
      <c r="D161" s="420"/>
      <c r="E161" s="420"/>
      <c r="F161" s="420"/>
      <c r="G161" s="420"/>
      <c r="H161" s="420"/>
      <c r="I161" s="420"/>
      <c r="J161" s="420"/>
      <c r="K161" s="420"/>
      <c r="L161" s="420"/>
    </row>
    <row r="162" spans="1:12" ht="14.25">
      <c r="A162" s="420"/>
      <c r="B162" s="420"/>
      <c r="C162" s="420"/>
      <c r="D162" s="420"/>
      <c r="E162" s="420"/>
      <c r="F162" s="420"/>
      <c r="G162" s="420"/>
      <c r="H162" s="420"/>
      <c r="I162" s="420"/>
      <c r="J162" s="420"/>
      <c r="K162" s="420"/>
      <c r="L162" s="420"/>
    </row>
    <row r="163" spans="1:12" ht="14.25">
      <c r="A163" s="420"/>
      <c r="B163" s="420"/>
      <c r="C163" s="420"/>
      <c r="D163" s="420"/>
      <c r="E163" s="420"/>
      <c r="F163" s="420"/>
      <c r="G163" s="420"/>
      <c r="H163" s="420"/>
      <c r="I163" s="420"/>
      <c r="J163" s="420"/>
      <c r="K163" s="420"/>
      <c r="L163" s="420"/>
    </row>
    <row r="164" spans="1:12" ht="14.25">
      <c r="A164" s="420"/>
      <c r="B164" s="420"/>
      <c r="C164" s="420"/>
      <c r="D164" s="420"/>
      <c r="E164" s="420"/>
      <c r="F164" s="420"/>
      <c r="G164" s="420"/>
      <c r="H164" s="420"/>
      <c r="I164" s="420"/>
      <c r="J164" s="420"/>
      <c r="K164" s="420"/>
      <c r="L164" s="420"/>
    </row>
    <row r="165" spans="1:12" ht="14.25">
      <c r="A165" s="420"/>
      <c r="B165" s="420"/>
      <c r="C165" s="420"/>
      <c r="D165" s="420"/>
      <c r="E165" s="420"/>
      <c r="F165" s="420"/>
      <c r="G165" s="420"/>
      <c r="H165" s="420"/>
      <c r="I165" s="420"/>
      <c r="J165" s="420"/>
      <c r="K165" s="420"/>
      <c r="L165" s="420"/>
    </row>
    <row r="166" spans="1:12" ht="14.25">
      <c r="A166" s="420"/>
      <c r="B166" s="420"/>
      <c r="C166" s="420"/>
      <c r="D166" s="420"/>
      <c r="E166" s="420"/>
      <c r="F166" s="420"/>
      <c r="G166" s="420"/>
      <c r="H166" s="420"/>
      <c r="I166" s="420"/>
      <c r="J166" s="420"/>
      <c r="K166" s="420"/>
      <c r="L166" s="420"/>
    </row>
    <row r="167" spans="1:12" ht="14.25">
      <c r="A167" s="420"/>
      <c r="B167" s="420"/>
      <c r="C167" s="420"/>
      <c r="D167" s="420"/>
      <c r="E167" s="420"/>
      <c r="F167" s="420"/>
      <c r="G167" s="420"/>
      <c r="H167" s="420"/>
      <c r="I167" s="420"/>
      <c r="J167" s="420"/>
      <c r="K167" s="420"/>
      <c r="L167" s="420"/>
    </row>
    <row r="168" spans="1:12" ht="14.25">
      <c r="A168" s="420"/>
      <c r="B168" s="420"/>
      <c r="C168" s="420"/>
      <c r="D168" s="420"/>
      <c r="E168" s="420"/>
      <c r="F168" s="420"/>
      <c r="G168" s="420"/>
      <c r="H168" s="420"/>
      <c r="I168" s="420"/>
      <c r="J168" s="420"/>
      <c r="K168" s="420"/>
      <c r="L168" s="420"/>
    </row>
    <row r="169" spans="1:12" ht="14.25">
      <c r="A169" s="420"/>
      <c r="B169" s="420"/>
      <c r="C169" s="420"/>
      <c r="D169" s="420"/>
      <c r="E169" s="420"/>
      <c r="F169" s="420"/>
      <c r="G169" s="420"/>
      <c r="H169" s="420"/>
      <c r="I169" s="420"/>
      <c r="J169" s="420"/>
      <c r="K169" s="420"/>
      <c r="L169" s="420"/>
    </row>
    <row r="170" spans="1:12" ht="14.25">
      <c r="A170" s="420"/>
      <c r="B170" s="420"/>
      <c r="C170" s="420"/>
      <c r="D170" s="420"/>
      <c r="E170" s="420"/>
      <c r="F170" s="420"/>
      <c r="G170" s="420"/>
      <c r="H170" s="420"/>
      <c r="I170" s="420"/>
      <c r="J170" s="420"/>
      <c r="K170" s="420"/>
      <c r="L170" s="420"/>
    </row>
    <row r="171" spans="1:12" ht="14.25">
      <c r="A171" s="420"/>
      <c r="B171" s="420"/>
      <c r="C171" s="420"/>
      <c r="D171" s="420"/>
      <c r="E171" s="420"/>
      <c r="F171" s="420"/>
      <c r="G171" s="420"/>
      <c r="H171" s="420"/>
      <c r="I171" s="420"/>
      <c r="J171" s="420"/>
      <c r="K171" s="420"/>
      <c r="L171" s="420"/>
    </row>
    <row r="172" spans="1:12" ht="14.25">
      <c r="A172" s="420"/>
      <c r="B172" s="420"/>
      <c r="C172" s="420"/>
      <c r="D172" s="420"/>
      <c r="E172" s="420"/>
      <c r="F172" s="420"/>
      <c r="G172" s="420"/>
      <c r="H172" s="420"/>
      <c r="I172" s="420"/>
      <c r="J172" s="420"/>
      <c r="K172" s="420"/>
      <c r="L172" s="420"/>
    </row>
    <row r="173" spans="1:12" ht="14.25">
      <c r="A173" s="420"/>
      <c r="B173" s="420"/>
      <c r="C173" s="420"/>
      <c r="D173" s="420"/>
      <c r="E173" s="420"/>
      <c r="F173" s="420"/>
      <c r="G173" s="420"/>
      <c r="H173" s="420"/>
      <c r="I173" s="420"/>
      <c r="J173" s="420"/>
      <c r="K173" s="420"/>
      <c r="L173" s="420"/>
    </row>
    <row r="174" spans="1:12" ht="14.25">
      <c r="A174" s="420"/>
      <c r="B174" s="420"/>
      <c r="C174" s="420"/>
      <c r="D174" s="420"/>
      <c r="E174" s="420"/>
      <c r="F174" s="420"/>
      <c r="G174" s="420"/>
      <c r="H174" s="420"/>
      <c r="I174" s="420"/>
      <c r="J174" s="420"/>
      <c r="K174" s="420"/>
      <c r="L174" s="420"/>
    </row>
    <row r="175" spans="1:12" ht="14.25">
      <c r="A175" s="420"/>
      <c r="B175" s="420"/>
      <c r="C175" s="420"/>
      <c r="D175" s="420"/>
      <c r="E175" s="420"/>
      <c r="F175" s="420"/>
      <c r="G175" s="420"/>
      <c r="H175" s="420"/>
      <c r="I175" s="420"/>
      <c r="J175" s="420"/>
      <c r="K175" s="420"/>
      <c r="L175" s="420"/>
    </row>
    <row r="176" spans="1:12" ht="14.25">
      <c r="A176" s="420"/>
      <c r="B176" s="420"/>
      <c r="C176" s="420"/>
      <c r="D176" s="420"/>
      <c r="E176" s="420"/>
      <c r="F176" s="420"/>
      <c r="G176" s="420"/>
      <c r="H176" s="420"/>
      <c r="I176" s="420"/>
      <c r="J176" s="420"/>
      <c r="K176" s="420"/>
      <c r="L176" s="420"/>
    </row>
    <row r="177" spans="1:12" ht="14.25">
      <c r="A177" s="420"/>
      <c r="B177" s="420"/>
      <c r="C177" s="420"/>
      <c r="D177" s="420"/>
      <c r="E177" s="420"/>
      <c r="F177" s="420"/>
      <c r="G177" s="420"/>
      <c r="H177" s="420"/>
      <c r="I177" s="420"/>
      <c r="J177" s="420"/>
      <c r="K177" s="420"/>
      <c r="L177" s="420"/>
    </row>
    <row r="178" spans="1:12" ht="14.25">
      <c r="A178" s="420"/>
      <c r="B178" s="420"/>
      <c r="C178" s="420"/>
      <c r="D178" s="420"/>
      <c r="E178" s="420"/>
      <c r="F178" s="420"/>
      <c r="G178" s="420"/>
      <c r="H178" s="420"/>
      <c r="I178" s="420"/>
      <c r="J178" s="420"/>
      <c r="K178" s="420"/>
      <c r="L178" s="420"/>
    </row>
    <row r="179" spans="1:12" ht="14.25">
      <c r="A179" s="420"/>
      <c r="B179" s="420"/>
      <c r="C179" s="420"/>
      <c r="D179" s="420"/>
      <c r="E179" s="420"/>
      <c r="F179" s="420"/>
      <c r="G179" s="420"/>
      <c r="H179" s="420"/>
      <c r="I179" s="420"/>
      <c r="J179" s="420"/>
      <c r="K179" s="420"/>
      <c r="L179" s="420"/>
    </row>
    <row r="180" spans="1:12" ht="14.25">
      <c r="A180" s="420"/>
      <c r="B180" s="420"/>
      <c r="C180" s="420"/>
      <c r="D180" s="420"/>
      <c r="E180" s="420"/>
      <c r="F180" s="420"/>
      <c r="G180" s="420"/>
      <c r="H180" s="420"/>
      <c r="I180" s="420"/>
      <c r="J180" s="420"/>
      <c r="K180" s="420"/>
      <c r="L180" s="420"/>
    </row>
    <row r="181" spans="1:12" ht="14.25">
      <c r="A181" s="420"/>
      <c r="B181" s="420"/>
      <c r="C181" s="420"/>
      <c r="D181" s="420"/>
      <c r="E181" s="420"/>
      <c r="F181" s="420"/>
      <c r="G181" s="420"/>
      <c r="H181" s="420"/>
      <c r="I181" s="420"/>
      <c r="J181" s="420"/>
      <c r="K181" s="420"/>
      <c r="L181" s="420"/>
    </row>
    <row r="182" spans="1:12" ht="14.25">
      <c r="A182" s="420"/>
      <c r="B182" s="420"/>
      <c r="C182" s="420"/>
      <c r="D182" s="420"/>
      <c r="E182" s="420"/>
      <c r="F182" s="420"/>
      <c r="G182" s="420"/>
      <c r="H182" s="420"/>
      <c r="I182" s="420"/>
      <c r="J182" s="420"/>
      <c r="K182" s="420"/>
      <c r="L182" s="420"/>
    </row>
    <row r="183" spans="1:12" ht="14.25">
      <c r="A183" s="420"/>
      <c r="B183" s="420"/>
      <c r="C183" s="420"/>
      <c r="D183" s="420"/>
      <c r="E183" s="420"/>
      <c r="F183" s="420"/>
      <c r="G183" s="420"/>
      <c r="H183" s="420"/>
      <c r="I183" s="420"/>
      <c r="J183" s="420"/>
      <c r="K183" s="420"/>
      <c r="L183" s="420"/>
    </row>
    <row r="184" spans="1:12" ht="14.25">
      <c r="A184" s="420"/>
      <c r="B184" s="420"/>
      <c r="C184" s="420"/>
      <c r="D184" s="420"/>
      <c r="E184" s="420"/>
      <c r="F184" s="420"/>
      <c r="G184" s="420"/>
      <c r="H184" s="420"/>
      <c r="I184" s="420"/>
      <c r="J184" s="420"/>
      <c r="K184" s="420"/>
      <c r="L184" s="420"/>
    </row>
    <row r="185" spans="1:12" ht="14.25">
      <c r="A185" s="420"/>
      <c r="B185" s="420"/>
      <c r="C185" s="420"/>
      <c r="D185" s="420"/>
      <c r="E185" s="420"/>
      <c r="F185" s="420"/>
      <c r="G185" s="420"/>
      <c r="H185" s="420"/>
      <c r="I185" s="420"/>
      <c r="J185" s="420"/>
      <c r="K185" s="420"/>
      <c r="L185" s="420"/>
    </row>
    <row r="186" spans="1:12" ht="14.25">
      <c r="A186" s="420"/>
      <c r="B186" s="420"/>
      <c r="C186" s="420"/>
      <c r="D186" s="420"/>
      <c r="E186" s="420"/>
      <c r="F186" s="420"/>
      <c r="G186" s="420"/>
      <c r="H186" s="420"/>
      <c r="I186" s="420"/>
      <c r="J186" s="420"/>
      <c r="K186" s="420"/>
      <c r="L186" s="420"/>
    </row>
    <row r="187" spans="1:12" ht="14.25">
      <c r="A187" s="420"/>
      <c r="B187" s="420"/>
      <c r="C187" s="420"/>
      <c r="D187" s="420"/>
      <c r="E187" s="420"/>
      <c r="F187" s="420"/>
      <c r="G187" s="420"/>
      <c r="H187" s="420"/>
      <c r="I187" s="420"/>
      <c r="J187" s="420"/>
      <c r="K187" s="420"/>
      <c r="L187" s="420"/>
    </row>
    <row r="188" spans="1:12" ht="14.25">
      <c r="A188" s="420"/>
      <c r="B188" s="420"/>
      <c r="C188" s="420"/>
      <c r="D188" s="420"/>
      <c r="E188" s="420"/>
      <c r="F188" s="420"/>
      <c r="G188" s="420"/>
      <c r="H188" s="420"/>
      <c r="I188" s="420"/>
      <c r="J188" s="420"/>
      <c r="K188" s="420"/>
      <c r="L188" s="420"/>
    </row>
    <row r="189" spans="1:12" ht="14.25">
      <c r="A189" s="420"/>
      <c r="B189" s="420"/>
      <c r="C189" s="420"/>
      <c r="D189" s="420"/>
      <c r="E189" s="420"/>
      <c r="F189" s="420"/>
      <c r="G189" s="420"/>
      <c r="H189" s="420"/>
      <c r="I189" s="420"/>
      <c r="J189" s="420"/>
      <c r="K189" s="420"/>
      <c r="L189" s="420"/>
    </row>
    <row r="190" spans="1:12" ht="14.25">
      <c r="A190" s="420"/>
      <c r="B190" s="420"/>
      <c r="C190" s="420"/>
      <c r="D190" s="420"/>
      <c r="E190" s="420"/>
      <c r="F190" s="420"/>
      <c r="G190" s="420"/>
      <c r="H190" s="420"/>
      <c r="I190" s="420"/>
      <c r="J190" s="420"/>
      <c r="K190" s="420"/>
      <c r="L190" s="420"/>
    </row>
    <row r="191" spans="1:12" ht="14.25">
      <c r="A191" s="420"/>
      <c r="B191" s="420"/>
      <c r="C191" s="420"/>
      <c r="D191" s="420"/>
      <c r="E191" s="420"/>
      <c r="F191" s="420"/>
      <c r="G191" s="420"/>
      <c r="H191" s="420"/>
      <c r="I191" s="420"/>
      <c r="J191" s="420"/>
      <c r="K191" s="420"/>
      <c r="L191" s="420"/>
    </row>
    <row r="192" spans="1:12" ht="14.25">
      <c r="A192" s="420"/>
      <c r="B192" s="420"/>
      <c r="C192" s="420"/>
      <c r="D192" s="420"/>
      <c r="E192" s="420"/>
      <c r="F192" s="420"/>
      <c r="G192" s="420"/>
      <c r="H192" s="420"/>
      <c r="I192" s="420"/>
      <c r="J192" s="420"/>
      <c r="K192" s="420"/>
      <c r="L192" s="420"/>
    </row>
    <row r="193" spans="1:12" ht="14.25">
      <c r="A193" s="420"/>
      <c r="B193" s="420"/>
      <c r="C193" s="420"/>
      <c r="D193" s="420"/>
      <c r="E193" s="420"/>
      <c r="F193" s="420"/>
      <c r="G193" s="420"/>
      <c r="H193" s="420"/>
      <c r="I193" s="420"/>
      <c r="J193" s="420"/>
      <c r="K193" s="420"/>
      <c r="L193" s="420"/>
    </row>
    <row r="194" spans="1:12" ht="14.25">
      <c r="A194" s="420"/>
      <c r="B194" s="420"/>
      <c r="C194" s="420"/>
      <c r="D194" s="420"/>
      <c r="E194" s="420"/>
      <c r="F194" s="420"/>
      <c r="G194" s="420"/>
      <c r="H194" s="420"/>
      <c r="I194" s="420"/>
      <c r="J194" s="420"/>
      <c r="K194" s="420"/>
      <c r="L194" s="420"/>
    </row>
    <row r="195" spans="1:12" ht="14.25">
      <c r="A195" s="420"/>
      <c r="B195" s="420"/>
      <c r="C195" s="420"/>
      <c r="D195" s="420"/>
      <c r="E195" s="420"/>
      <c r="F195" s="420"/>
      <c r="G195" s="420"/>
      <c r="H195" s="420"/>
      <c r="I195" s="420"/>
      <c r="J195" s="420"/>
      <c r="K195" s="420"/>
      <c r="L195" s="420"/>
    </row>
    <row r="196" spans="1:12" ht="14.25">
      <c r="A196" s="420"/>
      <c r="B196" s="420"/>
      <c r="C196" s="420"/>
      <c r="D196" s="420"/>
      <c r="E196" s="420"/>
      <c r="F196" s="420"/>
      <c r="G196" s="420"/>
      <c r="H196" s="420"/>
      <c r="I196" s="420"/>
      <c r="J196" s="420"/>
      <c r="K196" s="420"/>
      <c r="L196" s="420"/>
    </row>
    <row r="197" spans="1:12" ht="14.25">
      <c r="A197" s="420"/>
      <c r="B197" s="420"/>
      <c r="C197" s="420"/>
      <c r="D197" s="420"/>
      <c r="E197" s="420"/>
      <c r="F197" s="420"/>
      <c r="G197" s="420"/>
      <c r="H197" s="420"/>
      <c r="I197" s="420"/>
      <c r="J197" s="420"/>
      <c r="K197" s="420"/>
      <c r="L197" s="420"/>
    </row>
    <row r="198" spans="1:12" ht="14.25">
      <c r="A198" s="420"/>
      <c r="B198" s="420"/>
      <c r="C198" s="420"/>
      <c r="D198" s="420"/>
      <c r="E198" s="420"/>
      <c r="F198" s="420"/>
      <c r="G198" s="420"/>
      <c r="H198" s="420"/>
      <c r="I198" s="420"/>
      <c r="J198" s="420"/>
      <c r="K198" s="420"/>
      <c r="L198" s="420"/>
    </row>
    <row r="199" spans="1:12" ht="14.25">
      <c r="A199" s="420"/>
      <c r="B199" s="420"/>
      <c r="C199" s="420"/>
      <c r="D199" s="420"/>
      <c r="E199" s="420"/>
      <c r="F199" s="420"/>
      <c r="G199" s="420"/>
      <c r="H199" s="420"/>
      <c r="I199" s="420"/>
      <c r="J199" s="420"/>
      <c r="K199" s="420"/>
      <c r="L199" s="420"/>
    </row>
    <row r="200" spans="1:12" ht="14.25">
      <c r="A200" s="420"/>
      <c r="B200" s="420"/>
      <c r="C200" s="420"/>
      <c r="D200" s="420"/>
      <c r="E200" s="420"/>
      <c r="F200" s="420"/>
      <c r="G200" s="420"/>
      <c r="H200" s="420"/>
      <c r="I200" s="420"/>
      <c r="J200" s="420"/>
      <c r="K200" s="420"/>
      <c r="L200" s="420"/>
    </row>
    <row r="201" spans="1:12" ht="14.25">
      <c r="A201" s="420"/>
      <c r="B201" s="420"/>
      <c r="C201" s="420"/>
      <c r="D201" s="420"/>
      <c r="E201" s="420"/>
      <c r="F201" s="420"/>
      <c r="G201" s="420"/>
      <c r="H201" s="420"/>
      <c r="I201" s="420"/>
      <c r="J201" s="420"/>
      <c r="K201" s="420"/>
      <c r="L201" s="420"/>
    </row>
    <row r="202" spans="1:12" ht="14.25">
      <c r="A202" s="420"/>
      <c r="B202" s="420"/>
      <c r="C202" s="420"/>
      <c r="D202" s="420"/>
      <c r="E202" s="420"/>
      <c r="F202" s="420"/>
      <c r="G202" s="420"/>
      <c r="H202" s="420"/>
      <c r="I202" s="420"/>
      <c r="J202" s="420"/>
      <c r="K202" s="420"/>
      <c r="L202" s="420"/>
    </row>
    <row r="203" spans="1:12" ht="14.25">
      <c r="A203" s="420"/>
      <c r="B203" s="420"/>
      <c r="C203" s="420"/>
      <c r="D203" s="420"/>
      <c r="E203" s="420"/>
      <c r="F203" s="420"/>
      <c r="G203" s="420"/>
      <c r="H203" s="420"/>
      <c r="I203" s="420"/>
      <c r="J203" s="420"/>
      <c r="K203" s="420"/>
      <c r="L203" s="420"/>
    </row>
    <row r="204" spans="1:12" ht="14.25">
      <c r="A204" s="420"/>
      <c r="B204" s="420"/>
      <c r="C204" s="420"/>
      <c r="D204" s="420"/>
      <c r="E204" s="420"/>
      <c r="F204" s="420"/>
      <c r="G204" s="420"/>
      <c r="H204" s="420"/>
      <c r="I204" s="420"/>
      <c r="J204" s="420"/>
      <c r="K204" s="420"/>
      <c r="L204" s="420"/>
    </row>
    <row r="205" spans="1:12" ht="14.25">
      <c r="A205" s="420"/>
      <c r="B205" s="420"/>
      <c r="C205" s="420"/>
      <c r="D205" s="420"/>
      <c r="E205" s="420"/>
      <c r="F205" s="420"/>
      <c r="G205" s="420"/>
      <c r="H205" s="420"/>
      <c r="I205" s="420"/>
      <c r="J205" s="420"/>
      <c r="K205" s="420"/>
      <c r="L205" s="420"/>
    </row>
    <row r="206" spans="1:12" ht="14.25">
      <c r="A206" s="420"/>
      <c r="B206" s="420"/>
      <c r="C206" s="420"/>
      <c r="D206" s="420"/>
      <c r="E206" s="420"/>
      <c r="F206" s="420"/>
      <c r="G206" s="420"/>
      <c r="H206" s="420"/>
      <c r="I206" s="420"/>
      <c r="J206" s="420"/>
      <c r="K206" s="420"/>
      <c r="L206" s="420"/>
    </row>
    <row r="207" spans="1:12" ht="14.25">
      <c r="A207" s="420"/>
      <c r="B207" s="420"/>
      <c r="C207" s="420"/>
      <c r="D207" s="420"/>
      <c r="E207" s="420"/>
      <c r="F207" s="420"/>
      <c r="G207" s="420"/>
      <c r="H207" s="420"/>
      <c r="I207" s="420"/>
      <c r="J207" s="420"/>
      <c r="K207" s="420"/>
      <c r="L207" s="420"/>
    </row>
    <row r="208" spans="1:12" ht="14.25">
      <c r="A208" s="420"/>
      <c r="B208" s="420"/>
      <c r="C208" s="420"/>
      <c r="D208" s="420"/>
      <c r="E208" s="420"/>
      <c r="F208" s="420"/>
      <c r="G208" s="420"/>
      <c r="H208" s="420"/>
      <c r="I208" s="420"/>
      <c r="J208" s="420"/>
      <c r="K208" s="420"/>
      <c r="L208" s="420"/>
    </row>
    <row r="209" spans="1:12" ht="14.25">
      <c r="A209" s="420"/>
      <c r="B209" s="420"/>
      <c r="C209" s="420"/>
      <c r="D209" s="420"/>
      <c r="E209" s="420"/>
      <c r="F209" s="420"/>
      <c r="G209" s="420"/>
      <c r="H209" s="420"/>
      <c r="I209" s="420"/>
      <c r="J209" s="420"/>
      <c r="K209" s="420"/>
      <c r="L209" s="420"/>
    </row>
    <row r="210" spans="1:12" ht="14.25">
      <c r="A210" s="420"/>
      <c r="B210" s="420"/>
      <c r="C210" s="420"/>
      <c r="D210" s="420"/>
      <c r="E210" s="420"/>
      <c r="F210" s="420"/>
      <c r="G210" s="420"/>
      <c r="H210" s="420"/>
      <c r="I210" s="420"/>
      <c r="J210" s="420"/>
      <c r="K210" s="420"/>
      <c r="L210" s="420"/>
    </row>
    <row r="211" spans="1:12" ht="14.25">
      <c r="A211" s="420"/>
      <c r="B211" s="420"/>
      <c r="C211" s="420"/>
      <c r="D211" s="420"/>
      <c r="E211" s="420"/>
      <c r="F211" s="420"/>
      <c r="G211" s="420"/>
      <c r="H211" s="420"/>
      <c r="I211" s="420"/>
      <c r="J211" s="420"/>
      <c r="K211" s="420"/>
      <c r="L211" s="420"/>
    </row>
    <row r="212" spans="1:12" ht="14.25">
      <c r="A212" s="420"/>
      <c r="B212" s="420"/>
      <c r="C212" s="420"/>
      <c r="D212" s="420"/>
      <c r="E212" s="420"/>
      <c r="F212" s="420"/>
      <c r="G212" s="420"/>
      <c r="H212" s="420"/>
      <c r="I212" s="420"/>
      <c r="J212" s="420"/>
      <c r="K212" s="420"/>
      <c r="L212" s="420"/>
    </row>
    <row r="213" spans="1:12" ht="14.25">
      <c r="A213" s="420"/>
      <c r="B213" s="420"/>
      <c r="C213" s="420"/>
      <c r="D213" s="420"/>
      <c r="E213" s="420"/>
      <c r="F213" s="420"/>
      <c r="G213" s="420"/>
      <c r="H213" s="420"/>
      <c r="I213" s="420"/>
      <c r="J213" s="420"/>
      <c r="K213" s="420"/>
      <c r="L213" s="420"/>
    </row>
    <row r="214" spans="1:12" ht="14.25">
      <c r="A214" s="420"/>
      <c r="B214" s="420"/>
      <c r="C214" s="420"/>
      <c r="D214" s="420"/>
      <c r="E214" s="420"/>
      <c r="F214" s="420"/>
      <c r="G214" s="420"/>
      <c r="H214" s="420"/>
      <c r="I214" s="420"/>
      <c r="J214" s="420"/>
      <c r="K214" s="420"/>
      <c r="L214" s="420"/>
    </row>
    <row r="215" spans="1:12" ht="14.25">
      <c r="A215" s="420"/>
      <c r="B215" s="420"/>
      <c r="C215" s="420"/>
      <c r="D215" s="420"/>
      <c r="E215" s="420"/>
      <c r="F215" s="420"/>
      <c r="G215" s="420"/>
      <c r="H215" s="420"/>
      <c r="I215" s="420"/>
      <c r="J215" s="420"/>
      <c r="K215" s="420"/>
      <c r="L215" s="420"/>
    </row>
    <row r="216" spans="1:12" ht="14.25">
      <c r="A216" s="420"/>
      <c r="B216" s="420"/>
      <c r="C216" s="420"/>
      <c r="D216" s="420"/>
      <c r="E216" s="420"/>
      <c r="F216" s="420"/>
      <c r="G216" s="420"/>
      <c r="H216" s="420"/>
      <c r="I216" s="420"/>
      <c r="J216" s="420"/>
      <c r="K216" s="420"/>
      <c r="L216" s="420"/>
    </row>
    <row r="217" spans="1:12" ht="14.25">
      <c r="A217" s="420"/>
      <c r="B217" s="420"/>
      <c r="C217" s="420"/>
      <c r="D217" s="420"/>
      <c r="E217" s="420"/>
      <c r="F217" s="420"/>
      <c r="G217" s="420"/>
      <c r="H217" s="420"/>
      <c r="I217" s="420"/>
      <c r="J217" s="420"/>
      <c r="K217" s="420"/>
      <c r="L217" s="420"/>
    </row>
    <row r="218" spans="1:12" ht="14.25">
      <c r="A218" s="420"/>
      <c r="B218" s="420"/>
      <c r="C218" s="420"/>
      <c r="D218" s="420"/>
      <c r="E218" s="420"/>
      <c r="F218" s="420"/>
      <c r="G218" s="420"/>
      <c r="H218" s="420"/>
      <c r="I218" s="420"/>
      <c r="J218" s="420"/>
      <c r="K218" s="420"/>
      <c r="L218" s="420"/>
    </row>
    <row r="219" spans="1:12" ht="14.25">
      <c r="A219" s="420"/>
      <c r="B219" s="420"/>
      <c r="C219" s="420"/>
      <c r="D219" s="420"/>
      <c r="E219" s="420"/>
      <c r="F219" s="420"/>
      <c r="G219" s="420"/>
      <c r="H219" s="420"/>
      <c r="I219" s="420"/>
      <c r="J219" s="420"/>
      <c r="K219" s="420"/>
      <c r="L219" s="420"/>
    </row>
    <row r="220" spans="1:12" ht="14.25">
      <c r="A220" s="420"/>
      <c r="B220" s="420"/>
      <c r="C220" s="420"/>
      <c r="D220" s="420"/>
      <c r="E220" s="420"/>
      <c r="F220" s="420"/>
      <c r="G220" s="420"/>
      <c r="H220" s="420"/>
      <c r="I220" s="420"/>
      <c r="J220" s="420"/>
      <c r="K220" s="420"/>
      <c r="L220" s="420"/>
    </row>
    <row r="221" spans="1:12" ht="14.25">
      <c r="A221" s="420"/>
      <c r="B221" s="420"/>
      <c r="C221" s="420"/>
      <c r="D221" s="420"/>
      <c r="E221" s="420"/>
      <c r="F221" s="420"/>
      <c r="G221" s="420"/>
      <c r="H221" s="420"/>
      <c r="I221" s="420"/>
      <c r="J221" s="420"/>
      <c r="K221" s="420"/>
      <c r="L221" s="420"/>
    </row>
    <row r="222" spans="1:12" ht="14.25">
      <c r="A222" s="420"/>
      <c r="B222" s="420"/>
      <c r="C222" s="420"/>
      <c r="D222" s="420"/>
      <c r="E222" s="420"/>
      <c r="F222" s="420"/>
      <c r="G222" s="420"/>
      <c r="H222" s="420"/>
      <c r="I222" s="420"/>
      <c r="J222" s="420"/>
      <c r="K222" s="420"/>
      <c r="L222" s="420"/>
    </row>
    <row r="223" spans="1:12" ht="14.25">
      <c r="A223" s="420"/>
      <c r="B223" s="420"/>
      <c r="C223" s="420"/>
      <c r="D223" s="420"/>
      <c r="E223" s="420"/>
      <c r="F223" s="420"/>
      <c r="G223" s="420"/>
      <c r="H223" s="420"/>
      <c r="I223" s="420"/>
      <c r="J223" s="420"/>
      <c r="K223" s="420"/>
      <c r="L223" s="420"/>
    </row>
    <row r="224" spans="1:12" ht="14.25">
      <c r="A224" s="420"/>
      <c r="B224" s="420"/>
      <c r="C224" s="420"/>
      <c r="D224" s="420"/>
      <c r="E224" s="420"/>
      <c r="F224" s="420"/>
      <c r="G224" s="420"/>
      <c r="H224" s="420"/>
      <c r="I224" s="420"/>
      <c r="J224" s="420"/>
      <c r="K224" s="420"/>
      <c r="L224" s="420"/>
    </row>
    <row r="225" spans="1:12" ht="14.25">
      <c r="A225" s="420"/>
      <c r="B225" s="420"/>
      <c r="C225" s="420"/>
      <c r="D225" s="420"/>
      <c r="E225" s="420"/>
      <c r="F225" s="420"/>
      <c r="G225" s="420"/>
      <c r="H225" s="420"/>
      <c r="I225" s="420"/>
      <c r="J225" s="420"/>
      <c r="K225" s="420"/>
      <c r="L225" s="420"/>
    </row>
    <row r="226" spans="1:12" ht="14.25">
      <c r="A226" s="420"/>
      <c r="B226" s="420"/>
      <c r="C226" s="420"/>
      <c r="D226" s="420"/>
      <c r="E226" s="420"/>
      <c r="F226" s="420"/>
      <c r="G226" s="420"/>
      <c r="H226" s="420"/>
      <c r="I226" s="420"/>
      <c r="J226" s="420"/>
      <c r="K226" s="420"/>
      <c r="L226" s="420"/>
    </row>
    <row r="227" spans="1:12" ht="14.25">
      <c r="A227" s="420"/>
      <c r="B227" s="420"/>
      <c r="C227" s="420"/>
      <c r="D227" s="420"/>
      <c r="E227" s="420"/>
      <c r="F227" s="420"/>
      <c r="G227" s="420"/>
      <c r="H227" s="420"/>
      <c r="I227" s="420"/>
      <c r="J227" s="420"/>
      <c r="K227" s="420"/>
      <c r="L227" s="420"/>
    </row>
    <row r="228" spans="1:12" ht="14.25">
      <c r="A228" s="420"/>
      <c r="B228" s="420"/>
      <c r="C228" s="420"/>
      <c r="D228" s="420"/>
      <c r="E228" s="420"/>
      <c r="F228" s="420"/>
      <c r="G228" s="420"/>
      <c r="H228" s="420"/>
      <c r="I228" s="420"/>
      <c r="J228" s="420"/>
      <c r="K228" s="420"/>
      <c r="L228" s="420"/>
    </row>
    <row r="229" spans="1:12" ht="14.25">
      <c r="A229" s="420"/>
      <c r="B229" s="420"/>
      <c r="C229" s="420"/>
      <c r="D229" s="420"/>
      <c r="E229" s="420"/>
      <c r="F229" s="420"/>
      <c r="G229" s="420"/>
      <c r="H229" s="420"/>
      <c r="I229" s="420"/>
      <c r="J229" s="420"/>
      <c r="K229" s="420"/>
      <c r="L229" s="420"/>
    </row>
    <row r="230" spans="1:12" ht="14.25">
      <c r="A230" s="420"/>
      <c r="B230" s="420"/>
      <c r="C230" s="420"/>
      <c r="D230" s="420"/>
      <c r="E230" s="420"/>
      <c r="F230" s="420"/>
      <c r="G230" s="420"/>
      <c r="H230" s="420"/>
      <c r="I230" s="420"/>
      <c r="J230" s="420"/>
      <c r="K230" s="420"/>
      <c r="L230" s="420"/>
    </row>
    <row r="231" spans="1:12" ht="14.25">
      <c r="A231" s="420"/>
      <c r="B231" s="420"/>
      <c r="C231" s="420"/>
      <c r="D231" s="420"/>
      <c r="E231" s="420"/>
      <c r="F231" s="420"/>
      <c r="G231" s="420"/>
      <c r="H231" s="420"/>
      <c r="I231" s="420"/>
      <c r="J231" s="420"/>
      <c r="K231" s="420"/>
      <c r="L231" s="420"/>
    </row>
    <row r="232" spans="1:12" ht="14.25">
      <c r="A232" s="420"/>
      <c r="B232" s="420"/>
      <c r="C232" s="420"/>
      <c r="D232" s="420"/>
      <c r="E232" s="420"/>
      <c r="F232" s="420"/>
      <c r="G232" s="420"/>
      <c r="H232" s="420"/>
      <c r="I232" s="420"/>
      <c r="J232" s="420"/>
      <c r="K232" s="420"/>
      <c r="L232" s="420"/>
    </row>
    <row r="233" spans="1:12" ht="14.25">
      <c r="A233" s="420"/>
      <c r="B233" s="420"/>
      <c r="C233" s="420"/>
      <c r="D233" s="420"/>
      <c r="E233" s="420"/>
      <c r="F233" s="420"/>
      <c r="G233" s="420"/>
      <c r="H233" s="420"/>
      <c r="I233" s="420"/>
      <c r="J233" s="420"/>
      <c r="K233" s="420"/>
      <c r="L233" s="420"/>
    </row>
    <row r="234" spans="1:12" ht="14.25">
      <c r="A234" s="420"/>
      <c r="B234" s="420"/>
      <c r="C234" s="420"/>
      <c r="D234" s="420"/>
      <c r="E234" s="420"/>
      <c r="F234" s="420"/>
      <c r="G234" s="420"/>
      <c r="H234" s="420"/>
      <c r="I234" s="420"/>
      <c r="J234" s="420"/>
      <c r="K234" s="420"/>
      <c r="L234" s="420"/>
    </row>
    <row r="235" spans="1:12" ht="14.25">
      <c r="A235" s="420"/>
      <c r="B235" s="420"/>
      <c r="C235" s="420"/>
      <c r="D235" s="420"/>
      <c r="E235" s="420"/>
      <c r="F235" s="420"/>
      <c r="G235" s="420"/>
      <c r="H235" s="420"/>
      <c r="I235" s="420"/>
      <c r="J235" s="420"/>
      <c r="K235" s="420"/>
      <c r="L235" s="420"/>
    </row>
    <row r="236" spans="1:12" ht="14.25">
      <c r="A236" s="420"/>
      <c r="B236" s="420"/>
      <c r="C236" s="420"/>
      <c r="D236" s="420"/>
      <c r="E236" s="420"/>
      <c r="F236" s="420"/>
      <c r="G236" s="420"/>
      <c r="H236" s="420"/>
      <c r="I236" s="420"/>
      <c r="J236" s="420"/>
      <c r="K236" s="420"/>
      <c r="L236" s="420"/>
    </row>
    <row r="237" spans="1:12" ht="14.25">
      <c r="A237" s="420"/>
      <c r="B237" s="420"/>
      <c r="C237" s="420"/>
      <c r="D237" s="420"/>
      <c r="E237" s="420"/>
      <c r="F237" s="420"/>
      <c r="G237" s="420"/>
      <c r="H237" s="420"/>
      <c r="I237" s="420"/>
      <c r="J237" s="420"/>
      <c r="K237" s="420"/>
      <c r="L237" s="420"/>
    </row>
    <row r="238" spans="1:12" ht="14.25">
      <c r="A238" s="420"/>
      <c r="B238" s="420"/>
      <c r="C238" s="420"/>
      <c r="D238" s="420"/>
      <c r="E238" s="420"/>
      <c r="F238" s="420"/>
      <c r="G238" s="420"/>
      <c r="H238" s="420"/>
      <c r="I238" s="420"/>
      <c r="J238" s="420"/>
      <c r="K238" s="420"/>
      <c r="L238" s="420"/>
    </row>
    <row r="239" spans="1:12" ht="14.25">
      <c r="A239" s="420"/>
      <c r="B239" s="420"/>
      <c r="C239" s="420"/>
      <c r="D239" s="420"/>
      <c r="E239" s="420"/>
      <c r="F239" s="420"/>
      <c r="G239" s="420"/>
      <c r="H239" s="420"/>
      <c r="I239" s="420"/>
      <c r="J239" s="420"/>
      <c r="K239" s="420"/>
      <c r="L239" s="420"/>
    </row>
    <row r="240" spans="1:12" ht="14.25">
      <c r="A240" s="420"/>
      <c r="B240" s="420"/>
      <c r="C240" s="420"/>
      <c r="D240" s="420"/>
      <c r="E240" s="420"/>
      <c r="F240" s="420"/>
      <c r="G240" s="420"/>
      <c r="H240" s="420"/>
      <c r="I240" s="420"/>
      <c r="J240" s="420"/>
      <c r="K240" s="420"/>
      <c r="L240" s="420"/>
    </row>
    <row r="241" spans="1:12" ht="14.25">
      <c r="A241" s="420"/>
      <c r="B241" s="420"/>
      <c r="C241" s="420"/>
      <c r="D241" s="420"/>
      <c r="E241" s="420"/>
      <c r="F241" s="420"/>
      <c r="G241" s="420"/>
      <c r="H241" s="420"/>
      <c r="I241" s="420"/>
      <c r="J241" s="420"/>
      <c r="K241" s="420"/>
      <c r="L241" s="420"/>
    </row>
    <row r="242" spans="1:12" ht="14.25">
      <c r="A242" s="420"/>
      <c r="B242" s="420"/>
      <c r="C242" s="420"/>
      <c r="D242" s="420"/>
      <c r="E242" s="420"/>
      <c r="F242" s="420"/>
      <c r="G242" s="420"/>
      <c r="H242" s="420"/>
      <c r="I242" s="420"/>
      <c r="J242" s="420"/>
      <c r="K242" s="420"/>
      <c r="L242" s="420"/>
    </row>
    <row r="243" spans="1:12" ht="14.25">
      <c r="A243" s="420"/>
      <c r="B243" s="420"/>
      <c r="C243" s="420"/>
      <c r="D243" s="420"/>
      <c r="E243" s="420"/>
      <c r="F243" s="420"/>
      <c r="G243" s="420"/>
      <c r="H243" s="420"/>
      <c r="I243" s="420"/>
      <c r="J243" s="420"/>
      <c r="K243" s="420"/>
      <c r="L243" s="420"/>
    </row>
    <row r="244" spans="1:12" ht="14.25">
      <c r="A244" s="420"/>
      <c r="B244" s="420"/>
      <c r="C244" s="420"/>
      <c r="D244" s="420"/>
      <c r="E244" s="420"/>
      <c r="F244" s="420"/>
      <c r="G244" s="420"/>
      <c r="H244" s="420"/>
      <c r="I244" s="420"/>
      <c r="J244" s="420"/>
      <c r="K244" s="420"/>
      <c r="L244" s="420"/>
    </row>
    <row r="245" spans="1:12" ht="14.25">
      <c r="A245" s="420"/>
      <c r="B245" s="420"/>
      <c r="C245" s="420"/>
      <c r="D245" s="420"/>
      <c r="E245" s="420"/>
      <c r="F245" s="420"/>
      <c r="G245" s="420"/>
      <c r="H245" s="420"/>
      <c r="I245" s="420"/>
      <c r="J245" s="420"/>
      <c r="K245" s="420"/>
      <c r="L245" s="420"/>
    </row>
    <row r="246" spans="1:12" ht="14.25">
      <c r="A246" s="420"/>
      <c r="B246" s="420"/>
      <c r="C246" s="420"/>
      <c r="D246" s="420"/>
      <c r="E246" s="420"/>
      <c r="F246" s="420"/>
      <c r="G246" s="420"/>
      <c r="H246" s="420"/>
      <c r="I246" s="420"/>
      <c r="J246" s="420"/>
      <c r="K246" s="420"/>
      <c r="L246" s="420"/>
    </row>
    <row r="247" spans="1:12" ht="14.25">
      <c r="A247" s="420"/>
      <c r="B247" s="420"/>
      <c r="C247" s="420"/>
      <c r="D247" s="420"/>
      <c r="E247" s="420"/>
      <c r="F247" s="420"/>
      <c r="G247" s="420"/>
      <c r="H247" s="420"/>
      <c r="I247" s="420"/>
      <c r="J247" s="420"/>
      <c r="K247" s="420"/>
      <c r="L247" s="420"/>
    </row>
    <row r="248" spans="1:12" ht="14.25">
      <c r="A248" s="420"/>
      <c r="B248" s="420"/>
      <c r="C248" s="420"/>
      <c r="D248" s="420"/>
      <c r="E248" s="420"/>
      <c r="F248" s="420"/>
      <c r="G248" s="420"/>
      <c r="H248" s="420"/>
      <c r="I248" s="420"/>
      <c r="J248" s="420"/>
      <c r="K248" s="420"/>
      <c r="L248" s="420"/>
    </row>
    <row r="249" spans="1:12" ht="14.25">
      <c r="A249" s="420"/>
      <c r="B249" s="420"/>
      <c r="C249" s="420"/>
      <c r="D249" s="420"/>
      <c r="E249" s="420"/>
      <c r="F249" s="420"/>
      <c r="G249" s="420"/>
      <c r="H249" s="420"/>
      <c r="I249" s="420"/>
      <c r="J249" s="420"/>
      <c r="K249" s="420"/>
      <c r="L249" s="420"/>
    </row>
    <row r="250" spans="1:12" ht="14.25">
      <c r="A250" s="420"/>
      <c r="B250" s="420"/>
      <c r="C250" s="420"/>
      <c r="D250" s="420"/>
      <c r="E250" s="420"/>
      <c r="F250" s="420"/>
      <c r="G250" s="420"/>
      <c r="H250" s="420"/>
      <c r="I250" s="420"/>
      <c r="J250" s="420"/>
      <c r="K250" s="420"/>
      <c r="L250" s="420"/>
    </row>
    <row r="251" spans="1:12" ht="14.25">
      <c r="A251" s="420"/>
      <c r="B251" s="420"/>
      <c r="C251" s="420"/>
      <c r="D251" s="420"/>
      <c r="E251" s="420"/>
      <c r="F251" s="420"/>
      <c r="G251" s="420"/>
      <c r="H251" s="420"/>
      <c r="I251" s="420"/>
      <c r="J251" s="420"/>
      <c r="K251" s="420"/>
      <c r="L251" s="420"/>
    </row>
    <row r="252" spans="1:12" ht="14.25">
      <c r="A252" s="420"/>
      <c r="B252" s="420"/>
      <c r="C252" s="420"/>
      <c r="D252" s="420"/>
      <c r="E252" s="420"/>
      <c r="F252" s="420"/>
      <c r="G252" s="420"/>
      <c r="H252" s="420"/>
      <c r="I252" s="420"/>
      <c r="J252" s="420"/>
      <c r="K252" s="420"/>
      <c r="L252" s="420"/>
    </row>
    <row r="253" spans="1:12" ht="14.25">
      <c r="A253" s="420"/>
      <c r="B253" s="420"/>
      <c r="C253" s="420"/>
      <c r="D253" s="420"/>
      <c r="E253" s="420"/>
      <c r="F253" s="420"/>
      <c r="G253" s="420"/>
      <c r="H253" s="420"/>
      <c r="I253" s="420"/>
      <c r="J253" s="420"/>
      <c r="K253" s="420"/>
      <c r="L253" s="420"/>
    </row>
    <row r="254" spans="1:12" ht="14.25">
      <c r="A254" s="420"/>
      <c r="B254" s="420"/>
      <c r="C254" s="420"/>
      <c r="D254" s="420"/>
      <c r="E254" s="420"/>
      <c r="F254" s="420"/>
      <c r="G254" s="420"/>
      <c r="H254" s="420"/>
      <c r="I254" s="420"/>
      <c r="J254" s="420"/>
      <c r="K254" s="420"/>
      <c r="L254" s="420"/>
    </row>
    <row r="255" spans="1:12" ht="14.25">
      <c r="A255" s="420"/>
      <c r="B255" s="420"/>
      <c r="C255" s="420"/>
      <c r="D255" s="420"/>
      <c r="E255" s="420"/>
      <c r="F255" s="420"/>
      <c r="G255" s="420"/>
      <c r="H255" s="420"/>
      <c r="I255" s="420"/>
      <c r="J255" s="420"/>
      <c r="K255" s="420"/>
      <c r="L255" s="420"/>
    </row>
    <row r="256" spans="1:12" ht="14.25">
      <c r="A256" s="420"/>
      <c r="B256" s="420"/>
      <c r="C256" s="420"/>
      <c r="D256" s="420"/>
      <c r="E256" s="420"/>
      <c r="F256" s="420"/>
      <c r="G256" s="420"/>
      <c r="H256" s="420"/>
      <c r="I256" s="420"/>
      <c r="J256" s="420"/>
      <c r="K256" s="420"/>
      <c r="L256" s="420"/>
    </row>
    <row r="257" spans="1:12" ht="14.25">
      <c r="A257" s="420"/>
      <c r="B257" s="420"/>
      <c r="C257" s="420"/>
      <c r="D257" s="420"/>
      <c r="E257" s="420"/>
      <c r="F257" s="420"/>
      <c r="G257" s="420"/>
      <c r="H257" s="420"/>
      <c r="I257" s="420"/>
      <c r="J257" s="420"/>
      <c r="K257" s="420"/>
      <c r="L257" s="420"/>
    </row>
    <row r="258" spans="1:12" ht="14.25">
      <c r="A258" s="420"/>
      <c r="B258" s="420"/>
      <c r="C258" s="420"/>
      <c r="D258" s="420"/>
      <c r="E258" s="420"/>
      <c r="F258" s="420"/>
      <c r="G258" s="420"/>
      <c r="H258" s="420"/>
      <c r="I258" s="420"/>
      <c r="J258" s="420"/>
      <c r="K258" s="420"/>
      <c r="L258" s="420"/>
    </row>
    <row r="259" spans="1:12" ht="14.25">
      <c r="A259" s="420"/>
      <c r="B259" s="420"/>
      <c r="C259" s="420"/>
      <c r="D259" s="420"/>
      <c r="E259" s="420"/>
      <c r="F259" s="420"/>
      <c r="G259" s="420"/>
      <c r="H259" s="420"/>
      <c r="I259" s="420"/>
      <c r="J259" s="420"/>
      <c r="K259" s="420"/>
      <c r="L259" s="420"/>
    </row>
    <row r="260" spans="1:12" ht="14.25">
      <c r="A260" s="420"/>
      <c r="B260" s="420"/>
      <c r="C260" s="420"/>
      <c r="D260" s="420"/>
      <c r="E260" s="420"/>
      <c r="F260" s="420"/>
      <c r="G260" s="420"/>
      <c r="H260" s="420"/>
      <c r="I260" s="420"/>
      <c r="J260" s="420"/>
      <c r="K260" s="420"/>
      <c r="L260" s="420"/>
    </row>
    <row r="261" spans="1:12" ht="14.25">
      <c r="A261" s="420"/>
      <c r="B261" s="420"/>
      <c r="C261" s="420"/>
      <c r="D261" s="420"/>
      <c r="E261" s="420"/>
      <c r="F261" s="420"/>
      <c r="G261" s="420"/>
      <c r="H261" s="420"/>
      <c r="I261" s="420"/>
      <c r="J261" s="420"/>
      <c r="K261" s="420"/>
      <c r="L261" s="420"/>
    </row>
    <row r="262" spans="1:12" ht="14.25">
      <c r="A262" s="420"/>
      <c r="B262" s="420"/>
      <c r="C262" s="420"/>
      <c r="D262" s="420"/>
      <c r="E262" s="420"/>
      <c r="F262" s="420"/>
      <c r="G262" s="420"/>
      <c r="H262" s="420"/>
      <c r="I262" s="420"/>
      <c r="J262" s="420"/>
      <c r="K262" s="420"/>
      <c r="L262" s="420"/>
    </row>
    <row r="263" spans="1:12" ht="14.25">
      <c r="A263" s="420"/>
      <c r="B263" s="420"/>
      <c r="C263" s="420"/>
      <c r="D263" s="420"/>
      <c r="E263" s="420"/>
      <c r="F263" s="420"/>
      <c r="G263" s="420"/>
      <c r="H263" s="420"/>
      <c r="I263" s="420"/>
      <c r="J263" s="420"/>
      <c r="K263" s="420"/>
      <c r="L263" s="420"/>
    </row>
    <row r="264" spans="1:12" ht="14.25">
      <c r="A264" s="420"/>
      <c r="B264" s="420"/>
      <c r="C264" s="420"/>
      <c r="D264" s="420"/>
      <c r="E264" s="420"/>
      <c r="F264" s="420"/>
      <c r="G264" s="420"/>
      <c r="H264" s="420"/>
      <c r="I264" s="420"/>
      <c r="J264" s="420"/>
      <c r="K264" s="420"/>
      <c r="L264" s="420"/>
    </row>
    <row r="265" spans="1:12" ht="14.25">
      <c r="A265" s="420"/>
      <c r="B265" s="420"/>
      <c r="C265" s="420"/>
      <c r="D265" s="420"/>
      <c r="E265" s="420"/>
      <c r="F265" s="420"/>
      <c r="G265" s="420"/>
      <c r="H265" s="420"/>
      <c r="I265" s="420"/>
      <c r="J265" s="420"/>
      <c r="K265" s="420"/>
      <c r="L265" s="420"/>
    </row>
    <row r="266" spans="1:12" ht="14.25">
      <c r="A266" s="420"/>
      <c r="B266" s="420"/>
      <c r="C266" s="420"/>
      <c r="D266" s="420"/>
      <c r="E266" s="420"/>
      <c r="F266" s="420"/>
      <c r="G266" s="420"/>
      <c r="H266" s="420"/>
      <c r="I266" s="420"/>
      <c r="J266" s="420"/>
      <c r="K266" s="420"/>
      <c r="L266" s="420"/>
    </row>
    <row r="267" spans="1:12" ht="14.25">
      <c r="A267" s="420"/>
      <c r="B267" s="420"/>
      <c r="C267" s="420"/>
      <c r="D267" s="420"/>
      <c r="E267" s="420"/>
      <c r="F267" s="420"/>
      <c r="G267" s="420"/>
      <c r="H267" s="420"/>
      <c r="I267" s="420"/>
      <c r="J267" s="420"/>
      <c r="K267" s="420"/>
      <c r="L267" s="420"/>
    </row>
    <row r="268" spans="1:12" ht="14.25">
      <c r="A268" s="420"/>
      <c r="B268" s="420"/>
      <c r="C268" s="420"/>
      <c r="D268" s="420"/>
      <c r="E268" s="420"/>
      <c r="F268" s="420"/>
      <c r="G268" s="420"/>
      <c r="H268" s="420"/>
      <c r="I268" s="420"/>
      <c r="J268" s="420"/>
      <c r="K268" s="420"/>
      <c r="L268" s="420"/>
    </row>
    <row r="269" spans="1:12" ht="14.25">
      <c r="A269" s="420"/>
      <c r="B269" s="420"/>
      <c r="C269" s="420"/>
      <c r="D269" s="420"/>
      <c r="E269" s="420"/>
      <c r="F269" s="420"/>
      <c r="G269" s="420"/>
      <c r="H269" s="420"/>
      <c r="I269" s="420"/>
      <c r="J269" s="420"/>
      <c r="K269" s="420"/>
      <c r="L269" s="420"/>
    </row>
    <row r="270" spans="1:12" ht="14.25">
      <c r="A270" s="420"/>
      <c r="B270" s="420"/>
      <c r="C270" s="420"/>
      <c r="D270" s="420"/>
      <c r="E270" s="420"/>
      <c r="F270" s="420"/>
      <c r="G270" s="420"/>
      <c r="H270" s="420"/>
      <c r="I270" s="420"/>
      <c r="J270" s="420"/>
      <c r="K270" s="420"/>
      <c r="L270" s="420"/>
    </row>
    <row r="271" spans="1:12" ht="14.25">
      <c r="A271" s="420"/>
      <c r="B271" s="420"/>
      <c r="C271" s="420"/>
      <c r="D271" s="420"/>
      <c r="E271" s="420"/>
      <c r="F271" s="420"/>
      <c r="G271" s="420"/>
      <c r="H271" s="420"/>
      <c r="I271" s="420"/>
      <c r="J271" s="420"/>
      <c r="K271" s="420"/>
      <c r="L271" s="420"/>
    </row>
    <row r="272" spans="1:12" ht="14.25">
      <c r="A272" s="420"/>
      <c r="B272" s="420"/>
      <c r="C272" s="420"/>
      <c r="D272" s="420"/>
      <c r="E272" s="420"/>
      <c r="F272" s="420"/>
      <c r="G272" s="420"/>
      <c r="H272" s="420"/>
      <c r="I272" s="420"/>
      <c r="J272" s="420"/>
      <c r="K272" s="420"/>
      <c r="L272" s="420"/>
    </row>
    <row r="273" spans="1:12" ht="14.25">
      <c r="A273" s="420"/>
      <c r="B273" s="420"/>
      <c r="C273" s="420"/>
      <c r="D273" s="420"/>
      <c r="E273" s="420"/>
      <c r="F273" s="420"/>
      <c r="G273" s="420"/>
      <c r="H273" s="420"/>
      <c r="I273" s="420"/>
      <c r="J273" s="420"/>
      <c r="K273" s="420"/>
      <c r="L273" s="420"/>
    </row>
    <row r="274" spans="1:12" ht="14.25">
      <c r="A274" s="420"/>
      <c r="B274" s="420"/>
      <c r="C274" s="420"/>
      <c r="D274" s="420"/>
      <c r="E274" s="420"/>
      <c r="F274" s="420"/>
      <c r="G274" s="420"/>
      <c r="H274" s="420"/>
      <c r="I274" s="420"/>
      <c r="J274" s="420"/>
      <c r="K274" s="420"/>
      <c r="L274" s="420"/>
    </row>
    <row r="275" spans="1:12" ht="14.25">
      <c r="A275" s="420"/>
      <c r="B275" s="420"/>
      <c r="C275" s="420"/>
      <c r="D275" s="420"/>
      <c r="E275" s="420"/>
      <c r="F275" s="420"/>
      <c r="G275" s="420"/>
      <c r="H275" s="420"/>
      <c r="I275" s="420"/>
      <c r="J275" s="420"/>
      <c r="K275" s="420"/>
      <c r="L275" s="420"/>
    </row>
    <row r="276" spans="1:12" ht="14.25">
      <c r="A276" s="420"/>
      <c r="B276" s="420"/>
      <c r="C276" s="420"/>
      <c r="D276" s="420"/>
      <c r="E276" s="420"/>
      <c r="F276" s="420"/>
      <c r="G276" s="420"/>
      <c r="H276" s="420"/>
      <c r="I276" s="420"/>
      <c r="J276" s="420"/>
      <c r="K276" s="420"/>
      <c r="L276" s="420"/>
    </row>
    <row r="277" spans="1:12" ht="14.25">
      <c r="A277" s="420"/>
      <c r="B277" s="420"/>
      <c r="C277" s="420"/>
      <c r="D277" s="420"/>
      <c r="E277" s="420"/>
      <c r="F277" s="420"/>
      <c r="G277" s="420"/>
      <c r="H277" s="420"/>
      <c r="I277" s="420"/>
      <c r="J277" s="420"/>
      <c r="K277" s="420"/>
      <c r="L277" s="420"/>
    </row>
    <row r="278" spans="1:12" ht="14.25">
      <c r="A278" s="420"/>
      <c r="B278" s="420"/>
      <c r="C278" s="420"/>
      <c r="D278" s="420"/>
      <c r="E278" s="420"/>
      <c r="F278" s="420"/>
      <c r="G278" s="420"/>
      <c r="H278" s="420"/>
      <c r="I278" s="420"/>
      <c r="J278" s="420"/>
      <c r="K278" s="420"/>
      <c r="L278" s="420"/>
    </row>
    <row r="279" spans="1:12" ht="14.25">
      <c r="A279" s="420"/>
      <c r="B279" s="420"/>
      <c r="C279" s="420"/>
      <c r="D279" s="420"/>
      <c r="E279" s="420"/>
      <c r="F279" s="420"/>
      <c r="G279" s="420"/>
      <c r="H279" s="420"/>
      <c r="I279" s="420"/>
      <c r="J279" s="420"/>
      <c r="K279" s="420"/>
      <c r="L279" s="420"/>
    </row>
    <row r="280" spans="1:12" ht="14.25">
      <c r="A280" s="420"/>
      <c r="B280" s="420"/>
      <c r="C280" s="420"/>
      <c r="D280" s="420"/>
      <c r="E280" s="420"/>
      <c r="F280" s="420"/>
      <c r="G280" s="420"/>
      <c r="H280" s="420"/>
      <c r="I280" s="420"/>
      <c r="J280" s="420"/>
      <c r="K280" s="420"/>
      <c r="L280" s="420"/>
    </row>
    <row r="281" spans="1:12" ht="14.25">
      <c r="A281" s="420"/>
      <c r="B281" s="420"/>
      <c r="C281" s="420"/>
      <c r="D281" s="420"/>
      <c r="E281" s="420"/>
      <c r="F281" s="420"/>
      <c r="G281" s="420"/>
      <c r="H281" s="420"/>
      <c r="I281" s="420"/>
      <c r="J281" s="420"/>
      <c r="K281" s="420"/>
      <c r="L281" s="420"/>
    </row>
    <row r="282" spans="1:12" ht="14.25">
      <c r="A282" s="420"/>
      <c r="B282" s="420"/>
      <c r="C282" s="420"/>
      <c r="D282" s="420"/>
      <c r="E282" s="420"/>
      <c r="F282" s="420"/>
      <c r="G282" s="420"/>
      <c r="H282" s="420"/>
      <c r="I282" s="420"/>
      <c r="J282" s="420"/>
      <c r="K282" s="420"/>
      <c r="L282" s="420"/>
    </row>
    <row r="283" spans="1:12" ht="14.25">
      <c r="A283" s="420"/>
      <c r="B283" s="420"/>
      <c r="C283" s="420"/>
      <c r="D283" s="420"/>
      <c r="E283" s="420"/>
      <c r="F283" s="420"/>
      <c r="G283" s="420"/>
      <c r="H283" s="420"/>
      <c r="I283" s="420"/>
      <c r="J283" s="420"/>
      <c r="K283" s="420"/>
      <c r="L283" s="420"/>
    </row>
    <row r="284" spans="1:12" ht="14.25">
      <c r="A284" s="420"/>
      <c r="B284" s="420"/>
      <c r="C284" s="420"/>
      <c r="D284" s="420"/>
      <c r="E284" s="420"/>
      <c r="F284" s="420"/>
      <c r="G284" s="420"/>
      <c r="H284" s="420"/>
      <c r="I284" s="420"/>
      <c r="J284" s="420"/>
      <c r="K284" s="420"/>
      <c r="L284" s="420"/>
    </row>
    <row r="285" spans="1:12" ht="14.25">
      <c r="A285" s="420"/>
      <c r="B285" s="420"/>
      <c r="C285" s="420"/>
      <c r="D285" s="420"/>
      <c r="E285" s="420"/>
      <c r="F285" s="420"/>
      <c r="G285" s="420"/>
      <c r="H285" s="420"/>
      <c r="I285" s="420"/>
      <c r="J285" s="420"/>
      <c r="K285" s="420"/>
      <c r="L285" s="420"/>
    </row>
    <row r="286" spans="1:12" ht="14.25">
      <c r="A286" s="420"/>
      <c r="B286" s="420"/>
      <c r="C286" s="420"/>
      <c r="D286" s="420"/>
      <c r="E286" s="420"/>
      <c r="F286" s="420"/>
      <c r="G286" s="420"/>
      <c r="H286" s="420"/>
      <c r="I286" s="420"/>
      <c r="J286" s="420"/>
      <c r="K286" s="420"/>
      <c r="L286" s="420"/>
    </row>
    <row r="287" spans="1:12" ht="14.25">
      <c r="A287" s="420"/>
      <c r="B287" s="420"/>
      <c r="C287" s="420"/>
      <c r="D287" s="420"/>
      <c r="E287" s="420"/>
      <c r="F287" s="420"/>
      <c r="G287" s="420"/>
      <c r="H287" s="420"/>
      <c r="I287" s="420"/>
      <c r="J287" s="420"/>
      <c r="K287" s="420"/>
      <c r="L287" s="420"/>
    </row>
    <row r="288" spans="1:12" ht="14.25">
      <c r="A288" s="420"/>
      <c r="B288" s="420"/>
      <c r="C288" s="420"/>
      <c r="D288" s="420"/>
      <c r="E288" s="420"/>
      <c r="F288" s="420"/>
      <c r="G288" s="420"/>
      <c r="H288" s="420"/>
      <c r="I288" s="420"/>
      <c r="J288" s="420"/>
      <c r="K288" s="420"/>
      <c r="L288" s="420"/>
    </row>
    <row r="289" spans="1:12" ht="14.25">
      <c r="A289" s="420"/>
      <c r="B289" s="420"/>
      <c r="C289" s="420"/>
      <c r="D289" s="420"/>
      <c r="E289" s="420"/>
      <c r="F289" s="420"/>
      <c r="G289" s="420"/>
      <c r="H289" s="420"/>
      <c r="I289" s="420"/>
      <c r="J289" s="420"/>
      <c r="K289" s="420"/>
      <c r="L289" s="420"/>
    </row>
    <row r="290" spans="1:12" ht="14.25">
      <c r="A290" s="420"/>
      <c r="B290" s="420"/>
      <c r="C290" s="420"/>
      <c r="D290" s="420"/>
      <c r="E290" s="420"/>
      <c r="F290" s="420"/>
      <c r="G290" s="420"/>
      <c r="H290" s="420"/>
      <c r="I290" s="420"/>
      <c r="J290" s="420"/>
      <c r="K290" s="420"/>
      <c r="L290" s="420"/>
    </row>
    <row r="291" spans="1:12" ht="14.25">
      <c r="A291" s="420"/>
      <c r="B291" s="420"/>
      <c r="C291" s="420"/>
      <c r="D291" s="420"/>
      <c r="E291" s="420"/>
      <c r="F291" s="420"/>
      <c r="G291" s="420"/>
      <c r="H291" s="420"/>
      <c r="I291" s="420"/>
      <c r="J291" s="420"/>
      <c r="K291" s="420"/>
      <c r="L291" s="420"/>
    </row>
    <row r="292" spans="1:12" ht="14.25">
      <c r="A292" s="420"/>
      <c r="B292" s="420"/>
      <c r="C292" s="420"/>
      <c r="D292" s="420"/>
      <c r="E292" s="420"/>
      <c r="F292" s="420"/>
      <c r="G292" s="420"/>
      <c r="H292" s="420"/>
      <c r="I292" s="420"/>
      <c r="J292" s="420"/>
      <c r="K292" s="420"/>
      <c r="L292" s="420"/>
    </row>
    <row r="293" spans="1:12" ht="14.25">
      <c r="A293" s="420"/>
      <c r="B293" s="420"/>
      <c r="C293" s="420"/>
      <c r="D293" s="420"/>
      <c r="E293" s="420"/>
      <c r="F293" s="420"/>
      <c r="G293" s="420"/>
      <c r="H293" s="420"/>
      <c r="I293" s="420"/>
      <c r="J293" s="420"/>
      <c r="K293" s="420"/>
      <c r="L293" s="420"/>
    </row>
    <row r="294" spans="1:12" ht="14.25">
      <c r="A294" s="420"/>
      <c r="B294" s="420"/>
      <c r="C294" s="420"/>
      <c r="D294" s="420"/>
      <c r="E294" s="420"/>
      <c r="F294" s="420"/>
      <c r="G294" s="420"/>
      <c r="H294" s="420"/>
      <c r="I294" s="420"/>
      <c r="J294" s="420"/>
      <c r="K294" s="420"/>
      <c r="L294" s="420"/>
    </row>
    <row r="295" spans="1:12" ht="14.25">
      <c r="A295" s="420"/>
      <c r="B295" s="420"/>
      <c r="C295" s="420"/>
      <c r="D295" s="420"/>
      <c r="E295" s="420"/>
      <c r="F295" s="420"/>
      <c r="G295" s="420"/>
      <c r="H295" s="420"/>
      <c r="I295" s="420"/>
      <c r="J295" s="420"/>
      <c r="K295" s="420"/>
      <c r="L295" s="420"/>
    </row>
    <row r="296" spans="1:12" ht="14.25">
      <c r="A296" s="420"/>
      <c r="B296" s="420"/>
      <c r="C296" s="420"/>
      <c r="D296" s="420"/>
      <c r="E296" s="420"/>
      <c r="F296" s="420"/>
      <c r="G296" s="420"/>
      <c r="H296" s="420"/>
      <c r="I296" s="420"/>
      <c r="J296" s="420"/>
      <c r="K296" s="420"/>
      <c r="L296" s="420"/>
    </row>
    <row r="297" spans="1:12" ht="14.25">
      <c r="A297" s="420"/>
      <c r="B297" s="420"/>
      <c r="C297" s="420"/>
      <c r="D297" s="420"/>
      <c r="E297" s="420"/>
      <c r="F297" s="420"/>
      <c r="G297" s="420"/>
      <c r="H297" s="420"/>
      <c r="I297" s="420"/>
      <c r="J297" s="420"/>
      <c r="K297" s="420"/>
      <c r="L297" s="420"/>
    </row>
    <row r="298" spans="1:12" ht="14.25">
      <c r="A298" s="420"/>
      <c r="B298" s="420"/>
      <c r="C298" s="420"/>
      <c r="D298" s="420"/>
      <c r="E298" s="420"/>
      <c r="F298" s="420"/>
      <c r="G298" s="420"/>
      <c r="H298" s="420"/>
      <c r="I298" s="420"/>
      <c r="J298" s="420"/>
      <c r="K298" s="420"/>
      <c r="L298" s="420"/>
    </row>
    <row r="299" spans="1:12" ht="14.25">
      <c r="A299" s="420"/>
      <c r="B299" s="420"/>
      <c r="C299" s="420"/>
      <c r="D299" s="420"/>
      <c r="E299" s="420"/>
      <c r="F299" s="420"/>
      <c r="G299" s="420"/>
      <c r="H299" s="420"/>
      <c r="I299" s="420"/>
      <c r="J299" s="420"/>
      <c r="K299" s="420"/>
      <c r="L299" s="420"/>
    </row>
    <row r="300" spans="1:12" ht="14.25">
      <c r="A300" s="420"/>
      <c r="B300" s="420"/>
      <c r="C300" s="420"/>
      <c r="D300" s="420"/>
      <c r="E300" s="420"/>
      <c r="F300" s="420"/>
      <c r="G300" s="420"/>
      <c r="H300" s="420"/>
      <c r="I300" s="420"/>
      <c r="J300" s="420"/>
      <c r="K300" s="420"/>
      <c r="L300" s="420"/>
    </row>
    <row r="301" spans="1:12" ht="14.25">
      <c r="A301" s="420"/>
      <c r="B301" s="420"/>
      <c r="C301" s="420"/>
      <c r="D301" s="420"/>
      <c r="E301" s="420"/>
      <c r="F301" s="420"/>
      <c r="G301" s="420"/>
      <c r="H301" s="420"/>
      <c r="I301" s="420"/>
      <c r="J301" s="420"/>
      <c r="K301" s="420"/>
      <c r="L301" s="420"/>
    </row>
    <row r="302" spans="1:12" ht="14.25">
      <c r="A302" s="420"/>
      <c r="B302" s="420"/>
      <c r="C302" s="420"/>
      <c r="D302" s="420"/>
      <c r="E302" s="420"/>
      <c r="F302" s="420"/>
      <c r="G302" s="420"/>
      <c r="H302" s="420"/>
      <c r="I302" s="420"/>
      <c r="J302" s="420"/>
      <c r="K302" s="420"/>
      <c r="L302" s="420"/>
    </row>
    <row r="303" spans="1:12" ht="14.25">
      <c r="A303" s="420"/>
      <c r="B303" s="420"/>
      <c r="C303" s="420"/>
      <c r="D303" s="420"/>
      <c r="E303" s="420"/>
      <c r="F303" s="420"/>
      <c r="G303" s="420"/>
      <c r="H303" s="420"/>
      <c r="I303" s="420"/>
      <c r="J303" s="420"/>
      <c r="K303" s="420"/>
      <c r="L303" s="420"/>
    </row>
    <row r="304" spans="1:12" ht="14.25">
      <c r="A304" s="420"/>
      <c r="B304" s="420"/>
      <c r="C304" s="420"/>
      <c r="D304" s="420"/>
      <c r="E304" s="420"/>
      <c r="F304" s="420"/>
      <c r="G304" s="420"/>
      <c r="H304" s="420"/>
      <c r="I304" s="420"/>
      <c r="J304" s="420"/>
      <c r="K304" s="420"/>
      <c r="L304" s="420"/>
    </row>
    <row r="305" spans="1:12" ht="14.25">
      <c r="A305" s="420"/>
      <c r="B305" s="420"/>
      <c r="C305" s="420"/>
      <c r="D305" s="420"/>
      <c r="E305" s="420"/>
      <c r="F305" s="420"/>
      <c r="G305" s="420"/>
      <c r="H305" s="420"/>
      <c r="I305" s="420"/>
      <c r="J305" s="420"/>
      <c r="K305" s="420"/>
      <c r="L305" s="420"/>
    </row>
    <row r="306" spans="1:12" ht="14.25">
      <c r="A306" s="420"/>
      <c r="B306" s="420"/>
      <c r="C306" s="420"/>
      <c r="D306" s="420"/>
      <c r="E306" s="420"/>
      <c r="F306" s="420"/>
      <c r="G306" s="420"/>
      <c r="H306" s="420"/>
      <c r="I306" s="420"/>
      <c r="J306" s="420"/>
      <c r="K306" s="420"/>
      <c r="L306" s="420"/>
    </row>
    <row r="307" spans="1:12" ht="14.25">
      <c r="A307" s="420"/>
      <c r="B307" s="420"/>
      <c r="C307" s="420"/>
      <c r="D307" s="420"/>
      <c r="E307" s="420"/>
      <c r="F307" s="420"/>
      <c r="G307" s="420"/>
      <c r="H307" s="420"/>
      <c r="I307" s="420"/>
      <c r="J307" s="420"/>
      <c r="K307" s="420"/>
      <c r="L307" s="420"/>
    </row>
    <row r="308" spans="1:12" ht="14.25">
      <c r="A308" s="420"/>
      <c r="B308" s="420"/>
      <c r="C308" s="420"/>
      <c r="D308" s="420"/>
      <c r="E308" s="420"/>
      <c r="F308" s="420"/>
      <c r="G308" s="420"/>
      <c r="H308" s="420"/>
      <c r="I308" s="420"/>
      <c r="J308" s="420"/>
      <c r="K308" s="420"/>
      <c r="L308" s="420"/>
    </row>
    <row r="309" spans="1:12" ht="14.25">
      <c r="A309" s="420"/>
      <c r="B309" s="420"/>
      <c r="C309" s="420"/>
      <c r="D309" s="420"/>
      <c r="E309" s="420"/>
      <c r="F309" s="420"/>
      <c r="G309" s="420"/>
      <c r="H309" s="420"/>
      <c r="I309" s="420"/>
      <c r="J309" s="420"/>
      <c r="K309" s="420"/>
      <c r="L309" s="420"/>
    </row>
    <row r="310" spans="1:12" ht="14.25">
      <c r="A310" s="420"/>
      <c r="B310" s="420"/>
      <c r="C310" s="420"/>
      <c r="D310" s="420"/>
      <c r="E310" s="420"/>
      <c r="F310" s="420"/>
      <c r="G310" s="420"/>
      <c r="H310" s="420"/>
      <c r="I310" s="420"/>
      <c r="J310" s="420"/>
      <c r="K310" s="420"/>
      <c r="L310" s="420"/>
    </row>
    <row r="311" spans="1:12" ht="14.25">
      <c r="A311" s="420"/>
      <c r="B311" s="420"/>
      <c r="C311" s="420"/>
      <c r="D311" s="420"/>
      <c r="E311" s="420"/>
      <c r="F311" s="420"/>
      <c r="G311" s="420"/>
      <c r="H311" s="420"/>
      <c r="I311" s="420"/>
      <c r="J311" s="420"/>
      <c r="K311" s="420"/>
      <c r="L311" s="420"/>
    </row>
    <row r="312" spans="1:12" ht="14.25">
      <c r="A312" s="420"/>
      <c r="B312" s="420"/>
      <c r="C312" s="420"/>
      <c r="D312" s="420"/>
      <c r="E312" s="420"/>
      <c r="F312" s="420"/>
      <c r="G312" s="420"/>
      <c r="H312" s="420"/>
      <c r="I312" s="420"/>
      <c r="J312" s="420"/>
      <c r="K312" s="420"/>
      <c r="L312" s="420"/>
    </row>
    <row r="313" spans="1:12" ht="14.25">
      <c r="A313" s="420"/>
      <c r="B313" s="420"/>
      <c r="C313" s="420"/>
      <c r="D313" s="420"/>
      <c r="E313" s="420"/>
      <c r="F313" s="420"/>
      <c r="G313" s="420"/>
      <c r="H313" s="420"/>
      <c r="I313" s="420"/>
      <c r="J313" s="420"/>
      <c r="K313" s="420"/>
      <c r="L313" s="420"/>
    </row>
    <row r="314" spans="1:12" ht="14.25">
      <c r="A314" s="420"/>
      <c r="B314" s="420"/>
      <c r="C314" s="420"/>
      <c r="D314" s="420"/>
      <c r="E314" s="420"/>
      <c r="F314" s="420"/>
      <c r="G314" s="420"/>
      <c r="H314" s="420"/>
      <c r="I314" s="420"/>
      <c r="J314" s="420"/>
      <c r="K314" s="420"/>
      <c r="L314" s="420"/>
    </row>
    <row r="315" spans="1:12" ht="14.25">
      <c r="A315" s="420"/>
      <c r="B315" s="420"/>
      <c r="C315" s="420"/>
      <c r="D315" s="420"/>
      <c r="E315" s="420"/>
      <c r="F315" s="420"/>
      <c r="G315" s="420"/>
      <c r="H315" s="420"/>
      <c r="I315" s="420"/>
      <c r="J315" s="420"/>
      <c r="K315" s="420"/>
      <c r="L315" s="420"/>
    </row>
    <row r="316" spans="1:12" ht="14.25">
      <c r="A316" s="420"/>
      <c r="B316" s="420"/>
      <c r="C316" s="420"/>
      <c r="D316" s="420"/>
      <c r="E316" s="420"/>
      <c r="F316" s="420"/>
      <c r="G316" s="420"/>
      <c r="H316" s="420"/>
      <c r="I316" s="420"/>
      <c r="J316" s="420"/>
      <c r="K316" s="420"/>
      <c r="L316" s="420"/>
    </row>
    <row r="317" spans="1:12" ht="14.25">
      <c r="A317" s="420"/>
      <c r="B317" s="420"/>
      <c r="C317" s="420"/>
      <c r="D317" s="420"/>
      <c r="E317" s="420"/>
      <c r="F317" s="420"/>
      <c r="G317" s="420"/>
      <c r="H317" s="420"/>
      <c r="I317" s="420"/>
      <c r="J317" s="420"/>
      <c r="K317" s="420"/>
      <c r="L317" s="420"/>
    </row>
    <row r="318" spans="1:12" ht="14.25">
      <c r="A318" s="420"/>
      <c r="B318" s="420"/>
      <c r="C318" s="420"/>
      <c r="D318" s="420"/>
      <c r="E318" s="420"/>
      <c r="F318" s="420"/>
      <c r="G318" s="420"/>
      <c r="H318" s="420"/>
      <c r="I318" s="420"/>
      <c r="J318" s="420"/>
      <c r="K318" s="420"/>
      <c r="L318" s="420"/>
    </row>
    <row r="319" spans="1:12" ht="14.25">
      <c r="A319" s="420"/>
      <c r="B319" s="420"/>
      <c r="C319" s="420"/>
      <c r="D319" s="420"/>
      <c r="E319" s="420"/>
      <c r="F319" s="420"/>
      <c r="G319" s="420"/>
      <c r="H319" s="420"/>
      <c r="I319" s="420"/>
      <c r="J319" s="420"/>
      <c r="K319" s="420"/>
      <c r="L319" s="420"/>
    </row>
    <row r="320" spans="1:12" ht="14.25">
      <c r="A320" s="420"/>
      <c r="B320" s="420"/>
      <c r="C320" s="420"/>
      <c r="D320" s="420"/>
      <c r="E320" s="420"/>
      <c r="F320" s="420"/>
      <c r="G320" s="420"/>
      <c r="H320" s="420"/>
      <c r="I320" s="420"/>
      <c r="J320" s="420"/>
      <c r="K320" s="420"/>
      <c r="L320" s="420"/>
    </row>
    <row r="321" spans="1:12" ht="14.25">
      <c r="A321" s="420"/>
      <c r="B321" s="420"/>
      <c r="C321" s="420"/>
      <c r="D321" s="420"/>
      <c r="E321" s="420"/>
      <c r="F321" s="420"/>
      <c r="G321" s="420"/>
      <c r="H321" s="420"/>
      <c r="I321" s="420"/>
      <c r="J321" s="420"/>
      <c r="K321" s="420"/>
      <c r="L321" s="420"/>
    </row>
    <row r="322" spans="1:12" ht="14.25">
      <c r="A322" s="420"/>
      <c r="B322" s="420"/>
      <c r="C322" s="420"/>
      <c r="D322" s="420"/>
      <c r="E322" s="420"/>
      <c r="F322" s="420"/>
      <c r="G322" s="420"/>
      <c r="H322" s="420"/>
      <c r="I322" s="420"/>
      <c r="J322" s="420"/>
      <c r="K322" s="420"/>
      <c r="L322" s="420"/>
    </row>
    <row r="323" spans="1:12" ht="14.25">
      <c r="A323" s="420"/>
      <c r="B323" s="420"/>
      <c r="C323" s="420"/>
      <c r="D323" s="420"/>
      <c r="E323" s="420"/>
      <c r="F323" s="420"/>
      <c r="G323" s="420"/>
      <c r="H323" s="420"/>
      <c r="I323" s="420"/>
      <c r="J323" s="420"/>
      <c r="K323" s="420"/>
      <c r="L323" s="420"/>
    </row>
    <row r="324" spans="1:12" ht="14.25">
      <c r="A324" s="420"/>
      <c r="B324" s="420"/>
      <c r="C324" s="420"/>
      <c r="D324" s="420"/>
      <c r="E324" s="420"/>
      <c r="F324" s="420"/>
      <c r="G324" s="420"/>
      <c r="H324" s="420"/>
      <c r="I324" s="420"/>
      <c r="J324" s="420"/>
      <c r="K324" s="420"/>
      <c r="L324" s="420"/>
    </row>
    <row r="325" spans="1:12" ht="14.25">
      <c r="A325" s="420"/>
      <c r="B325" s="420"/>
      <c r="C325" s="420"/>
      <c r="D325" s="420"/>
      <c r="E325" s="420"/>
      <c r="F325" s="420"/>
      <c r="G325" s="420"/>
      <c r="H325" s="420"/>
      <c r="I325" s="420"/>
      <c r="J325" s="420"/>
      <c r="K325" s="420"/>
      <c r="L325" s="420"/>
    </row>
    <row r="326" spans="1:12" ht="14.25">
      <c r="A326" s="420"/>
      <c r="B326" s="420"/>
      <c r="C326" s="420"/>
      <c r="D326" s="420"/>
      <c r="E326" s="420"/>
      <c r="F326" s="420"/>
      <c r="G326" s="420"/>
      <c r="H326" s="420"/>
      <c r="I326" s="420"/>
      <c r="J326" s="420"/>
      <c r="K326" s="420"/>
      <c r="L326" s="420"/>
    </row>
    <row r="327" spans="1:12" ht="14.25">
      <c r="A327" s="420"/>
      <c r="B327" s="420"/>
      <c r="C327" s="420"/>
      <c r="D327" s="420"/>
      <c r="E327" s="420"/>
      <c r="F327" s="420"/>
      <c r="G327" s="420"/>
      <c r="H327" s="420"/>
      <c r="I327" s="420"/>
      <c r="J327" s="420"/>
      <c r="K327" s="420"/>
      <c r="L327" s="420"/>
    </row>
    <row r="328" spans="1:12" ht="14.25">
      <c r="A328" s="420"/>
      <c r="B328" s="420"/>
      <c r="C328" s="420"/>
      <c r="D328" s="420"/>
      <c r="E328" s="420"/>
      <c r="F328" s="420"/>
      <c r="G328" s="420"/>
      <c r="H328" s="420"/>
      <c r="I328" s="420"/>
      <c r="J328" s="420"/>
      <c r="K328" s="420"/>
      <c r="L328" s="420"/>
    </row>
    <row r="329" spans="1:12" ht="14.25">
      <c r="A329" s="420"/>
      <c r="B329" s="420"/>
      <c r="C329" s="420"/>
      <c r="D329" s="420"/>
      <c r="E329" s="420"/>
      <c r="F329" s="420"/>
      <c r="G329" s="420"/>
      <c r="H329" s="420"/>
      <c r="I329" s="420"/>
      <c r="J329" s="420"/>
      <c r="K329" s="420"/>
      <c r="L329" s="420"/>
    </row>
    <row r="330" spans="1:12" ht="14.25">
      <c r="A330" s="420"/>
      <c r="B330" s="420"/>
      <c r="C330" s="420"/>
      <c r="D330" s="420"/>
      <c r="E330" s="420"/>
      <c r="F330" s="420"/>
      <c r="G330" s="420"/>
      <c r="H330" s="420"/>
      <c r="I330" s="420"/>
      <c r="J330" s="420"/>
      <c r="K330" s="420"/>
      <c r="L330" s="420"/>
    </row>
    <row r="331" spans="1:12" ht="14.25">
      <c r="A331" s="420"/>
      <c r="B331" s="420"/>
      <c r="C331" s="420"/>
      <c r="D331" s="420"/>
      <c r="E331" s="420"/>
      <c r="F331" s="420"/>
      <c r="G331" s="420"/>
      <c r="H331" s="420"/>
      <c r="I331" s="420"/>
      <c r="J331" s="420"/>
      <c r="K331" s="420"/>
      <c r="L331" s="420"/>
    </row>
    <row r="332" spans="1:12" ht="14.25">
      <c r="A332" s="420"/>
      <c r="B332" s="420"/>
      <c r="C332" s="420"/>
      <c r="D332" s="420"/>
      <c r="E332" s="420"/>
      <c r="F332" s="420"/>
      <c r="G332" s="420"/>
      <c r="H332" s="420"/>
      <c r="I332" s="420"/>
      <c r="J332" s="420"/>
      <c r="K332" s="420"/>
      <c r="L332" s="420"/>
    </row>
    <row r="333" spans="1:12" ht="14.25">
      <c r="A333" s="420"/>
      <c r="B333" s="420"/>
      <c r="C333" s="420"/>
      <c r="D333" s="420"/>
      <c r="E333" s="420"/>
      <c r="F333" s="420"/>
      <c r="G333" s="420"/>
      <c r="H333" s="420"/>
      <c r="I333" s="420"/>
      <c r="J333" s="420"/>
      <c r="K333" s="420"/>
      <c r="L333" s="420"/>
    </row>
    <row r="334" spans="1:12" ht="14.25">
      <c r="A334" s="420"/>
      <c r="B334" s="420"/>
      <c r="C334" s="420"/>
      <c r="D334" s="420"/>
      <c r="E334" s="420"/>
      <c r="F334" s="420"/>
      <c r="G334" s="420"/>
      <c r="H334" s="420"/>
      <c r="I334" s="420"/>
      <c r="J334" s="420"/>
      <c r="K334" s="420"/>
      <c r="L334" s="420"/>
    </row>
    <row r="335" spans="1:12" ht="14.25">
      <c r="A335" s="420"/>
      <c r="B335" s="420"/>
      <c r="C335" s="420"/>
      <c r="D335" s="420"/>
      <c r="E335" s="420"/>
      <c r="F335" s="420"/>
      <c r="G335" s="420"/>
      <c r="H335" s="420"/>
      <c r="I335" s="420"/>
      <c r="J335" s="420"/>
      <c r="K335" s="420"/>
      <c r="L335" s="420"/>
    </row>
    <row r="336" spans="1:12" ht="14.25">
      <c r="A336" s="420"/>
      <c r="B336" s="420"/>
      <c r="C336" s="420"/>
      <c r="D336" s="420"/>
      <c r="E336" s="420"/>
      <c r="F336" s="420"/>
      <c r="G336" s="420"/>
      <c r="H336" s="420"/>
      <c r="I336" s="420"/>
      <c r="J336" s="420"/>
      <c r="K336" s="420"/>
      <c r="L336" s="420"/>
    </row>
    <row r="337" spans="1:12" ht="14.25">
      <c r="A337" s="420"/>
      <c r="B337" s="420"/>
      <c r="C337" s="420"/>
      <c r="D337" s="420"/>
      <c r="E337" s="420"/>
      <c r="F337" s="420"/>
      <c r="G337" s="420"/>
      <c r="H337" s="420"/>
      <c r="I337" s="420"/>
      <c r="J337" s="420"/>
      <c r="K337" s="420"/>
      <c r="L337" s="420"/>
    </row>
    <row r="338" spans="1:12" ht="14.25">
      <c r="A338" s="420"/>
      <c r="B338" s="420"/>
      <c r="C338" s="420"/>
      <c r="D338" s="420"/>
      <c r="E338" s="420"/>
      <c r="F338" s="420"/>
      <c r="G338" s="420"/>
      <c r="H338" s="420"/>
      <c r="I338" s="420"/>
      <c r="J338" s="420"/>
      <c r="K338" s="420"/>
      <c r="L338" s="420"/>
    </row>
    <row r="339" spans="1:12" ht="14.25">
      <c r="A339" s="420"/>
      <c r="B339" s="420"/>
      <c r="C339" s="420"/>
      <c r="D339" s="420"/>
      <c r="E339" s="420"/>
      <c r="F339" s="420"/>
      <c r="G339" s="420"/>
      <c r="H339" s="420"/>
      <c r="I339" s="420"/>
      <c r="J339" s="420"/>
      <c r="K339" s="420"/>
      <c r="L339" s="420"/>
    </row>
    <row r="340" spans="1:12" ht="14.25">
      <c r="A340" s="420"/>
      <c r="B340" s="420"/>
      <c r="C340" s="420"/>
      <c r="D340" s="420"/>
      <c r="E340" s="420"/>
      <c r="F340" s="420"/>
      <c r="G340" s="420"/>
      <c r="H340" s="420"/>
      <c r="I340" s="420"/>
      <c r="J340" s="420"/>
      <c r="K340" s="420"/>
      <c r="L340" s="420"/>
    </row>
    <row r="341" spans="1:12" ht="14.25">
      <c r="A341" s="420"/>
      <c r="B341" s="420"/>
      <c r="C341" s="420"/>
      <c r="D341" s="420"/>
      <c r="E341" s="420"/>
      <c r="F341" s="420"/>
      <c r="G341" s="420"/>
      <c r="H341" s="420"/>
      <c r="I341" s="420"/>
      <c r="J341" s="420"/>
      <c r="K341" s="420"/>
      <c r="L341" s="420"/>
    </row>
    <row r="342" spans="1:12" ht="14.25">
      <c r="A342" s="420"/>
      <c r="B342" s="420"/>
      <c r="C342" s="420"/>
      <c r="D342" s="420"/>
      <c r="E342" s="420"/>
      <c r="F342" s="420"/>
      <c r="G342" s="420"/>
      <c r="H342" s="420"/>
      <c r="I342" s="420"/>
      <c r="J342" s="420"/>
      <c r="K342" s="420"/>
      <c r="L342" s="420"/>
    </row>
    <row r="343" spans="1:12" ht="14.25">
      <c r="A343" s="420"/>
      <c r="B343" s="420"/>
      <c r="C343" s="420"/>
      <c r="D343" s="420"/>
      <c r="E343" s="420"/>
      <c r="F343" s="420"/>
      <c r="G343" s="420"/>
      <c r="H343" s="420"/>
      <c r="I343" s="420"/>
      <c r="J343" s="420"/>
      <c r="K343" s="420"/>
      <c r="L343" s="420"/>
    </row>
    <row r="344" spans="1:12" ht="14.25">
      <c r="A344" s="420"/>
      <c r="B344" s="420"/>
      <c r="C344" s="420"/>
      <c r="D344" s="420"/>
      <c r="E344" s="420"/>
      <c r="F344" s="420"/>
      <c r="G344" s="420"/>
      <c r="H344" s="420"/>
      <c r="I344" s="420"/>
      <c r="J344" s="420"/>
      <c r="K344" s="420"/>
      <c r="L344" s="420"/>
    </row>
    <row r="345" spans="1:12" ht="14.25">
      <c r="A345" s="420"/>
      <c r="B345" s="420"/>
      <c r="C345" s="420"/>
      <c r="D345" s="420"/>
      <c r="E345" s="420"/>
      <c r="F345" s="420"/>
      <c r="G345" s="420"/>
      <c r="H345" s="420"/>
      <c r="I345" s="420"/>
      <c r="J345" s="420"/>
      <c r="K345" s="420"/>
      <c r="L345" s="420"/>
    </row>
    <row r="346" spans="1:12" ht="14.25">
      <c r="A346" s="420"/>
      <c r="B346" s="420"/>
      <c r="C346" s="420"/>
      <c r="D346" s="420"/>
      <c r="E346" s="420"/>
      <c r="F346" s="420"/>
      <c r="G346" s="420"/>
      <c r="H346" s="420"/>
      <c r="I346" s="420"/>
      <c r="J346" s="420"/>
      <c r="K346" s="420"/>
      <c r="L346" s="420"/>
    </row>
    <row r="347" spans="1:12" ht="14.25">
      <c r="A347" s="420"/>
      <c r="B347" s="420"/>
      <c r="C347" s="420"/>
      <c r="D347" s="420"/>
      <c r="E347" s="420"/>
      <c r="F347" s="420"/>
      <c r="G347" s="420"/>
      <c r="H347" s="420"/>
      <c r="I347" s="420"/>
      <c r="J347" s="420"/>
      <c r="K347" s="420"/>
      <c r="L347" s="420"/>
    </row>
    <row r="348" spans="1:12" ht="14.25">
      <c r="A348" s="420"/>
      <c r="B348" s="420"/>
      <c r="C348" s="420"/>
      <c r="D348" s="420"/>
      <c r="E348" s="420"/>
      <c r="F348" s="420"/>
      <c r="G348" s="420"/>
      <c r="H348" s="420"/>
      <c r="I348" s="420"/>
      <c r="J348" s="420"/>
      <c r="K348" s="420"/>
      <c r="L348" s="420"/>
    </row>
    <row r="349" spans="1:12" ht="14.25">
      <c r="A349" s="420"/>
      <c r="B349" s="420"/>
      <c r="C349" s="420"/>
      <c r="D349" s="420"/>
      <c r="E349" s="420"/>
      <c r="F349" s="420"/>
      <c r="G349" s="420"/>
      <c r="H349" s="420"/>
      <c r="I349" s="420"/>
      <c r="J349" s="420"/>
      <c r="K349" s="420"/>
      <c r="L349" s="420"/>
    </row>
    <row r="350" spans="1:12" ht="14.25">
      <c r="A350" s="420"/>
      <c r="B350" s="420"/>
      <c r="C350" s="420"/>
      <c r="D350" s="420"/>
      <c r="E350" s="420"/>
      <c r="F350" s="420"/>
      <c r="G350" s="420"/>
      <c r="H350" s="420"/>
      <c r="I350" s="420"/>
      <c r="J350" s="420"/>
      <c r="K350" s="420"/>
      <c r="L350" s="420"/>
    </row>
    <row r="351" spans="1:12" ht="14.25">
      <c r="A351" s="420"/>
      <c r="B351" s="420"/>
      <c r="C351" s="420"/>
      <c r="D351" s="420"/>
      <c r="E351" s="420"/>
      <c r="F351" s="420"/>
      <c r="G351" s="420"/>
      <c r="H351" s="420"/>
      <c r="I351" s="420"/>
      <c r="J351" s="420"/>
      <c r="K351" s="420"/>
      <c r="L351" s="420"/>
    </row>
    <row r="352" spans="1:12" ht="14.25">
      <c r="A352" s="420"/>
      <c r="B352" s="420"/>
      <c r="C352" s="420"/>
      <c r="D352" s="420"/>
      <c r="E352" s="420"/>
      <c r="F352" s="420"/>
      <c r="G352" s="420"/>
      <c r="H352" s="420"/>
      <c r="I352" s="420"/>
      <c r="J352" s="420"/>
      <c r="K352" s="420"/>
      <c r="L352" s="420"/>
    </row>
    <row r="353" spans="1:12" ht="14.25">
      <c r="A353" s="420"/>
      <c r="B353" s="420"/>
      <c r="C353" s="420"/>
      <c r="D353" s="420"/>
      <c r="E353" s="420"/>
      <c r="F353" s="420"/>
      <c r="G353" s="420"/>
      <c r="H353" s="420"/>
      <c r="I353" s="420"/>
      <c r="J353" s="420"/>
      <c r="K353" s="420"/>
      <c r="L353" s="420"/>
    </row>
    <row r="354" spans="1:12" ht="14.25">
      <c r="A354" s="420"/>
      <c r="B354" s="420"/>
      <c r="C354" s="420"/>
      <c r="D354" s="420"/>
      <c r="E354" s="420"/>
      <c r="F354" s="420"/>
      <c r="G354" s="420"/>
      <c r="H354" s="420"/>
      <c r="I354" s="420"/>
      <c r="J354" s="420"/>
      <c r="K354" s="420"/>
      <c r="L354" s="420"/>
    </row>
  </sheetData>
  <sheetProtection sheet="1"/>
  <mergeCells count="57">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0:C50"/>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 ref="F148:G14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M78" sqref="M78"/>
    </sheetView>
  </sheetViews>
  <sheetFormatPr defaultColWidth="8.796875" defaultRowHeight="15.75"/>
  <cols>
    <col min="1" max="1" width="64.09765625" style="422" customWidth="1"/>
    <col min="2" max="16384" width="8.796875" style="422" customWidth="1"/>
  </cols>
  <sheetData>
    <row r="1" ht="16.5">
      <c r="A1" s="421" t="s">
        <v>601</v>
      </c>
    </row>
    <row r="3" ht="31.5">
      <c r="A3" s="423" t="s">
        <v>602</v>
      </c>
    </row>
    <row r="4" ht="15.75">
      <c r="A4" s="424" t="s">
        <v>603</v>
      </c>
    </row>
    <row r="7" ht="31.5">
      <c r="A7" s="423" t="s">
        <v>604</v>
      </c>
    </row>
    <row r="8" ht="15.75">
      <c r="A8" s="424" t="s">
        <v>605</v>
      </c>
    </row>
    <row r="11" ht="15.75">
      <c r="A11" s="422" t="s">
        <v>606</v>
      </c>
    </row>
    <row r="12" ht="15.75">
      <c r="A12" s="424" t="s">
        <v>607</v>
      </c>
    </row>
    <row r="15" ht="15.75">
      <c r="A15" s="422" t="s">
        <v>608</v>
      </c>
    </row>
    <row r="16" ht="15.75">
      <c r="A16" s="424" t="s">
        <v>609</v>
      </c>
    </row>
    <row r="19" ht="15.75">
      <c r="A19" s="422" t="s">
        <v>610</v>
      </c>
    </row>
    <row r="20" ht="15.75">
      <c r="A20" s="424" t="s">
        <v>611</v>
      </c>
    </row>
    <row r="23" ht="15.75">
      <c r="A23" s="422" t="s">
        <v>612</v>
      </c>
    </row>
    <row r="24" ht="15.75">
      <c r="A24" s="424" t="s">
        <v>613</v>
      </c>
    </row>
    <row r="27" ht="15.75">
      <c r="A27" s="422" t="s">
        <v>614</v>
      </c>
    </row>
    <row r="28" ht="15.75">
      <c r="A28" s="424" t="s">
        <v>615</v>
      </c>
    </row>
    <row r="31" ht="15.75">
      <c r="A31" s="422" t="s">
        <v>616</v>
      </c>
    </row>
    <row r="32" ht="15.75">
      <c r="A32" s="424" t="s">
        <v>617</v>
      </c>
    </row>
    <row r="35" ht="15.75">
      <c r="A35" s="422" t="s">
        <v>618</v>
      </c>
    </row>
    <row r="36" ht="15.75">
      <c r="A36" s="424" t="s">
        <v>619</v>
      </c>
    </row>
    <row r="39" ht="15.75">
      <c r="A39" s="422" t="s">
        <v>620</v>
      </c>
    </row>
    <row r="40" ht="15.75">
      <c r="A40" s="424" t="s">
        <v>621</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237"/>
  <sheetViews>
    <sheetView zoomScalePageLayoutView="0" workbookViewId="0" topLeftCell="A1">
      <selection activeCell="W2" sqref="W2"/>
    </sheetView>
  </sheetViews>
  <sheetFormatPr defaultColWidth="8.796875" defaultRowHeight="15.75"/>
  <cols>
    <col min="1" max="1" width="74" style="68" customWidth="1"/>
    <col min="2" max="16384" width="8.796875" style="68" customWidth="1"/>
  </cols>
  <sheetData>
    <row r="1" ht="15.75">
      <c r="A1" s="827" t="s">
        <v>974</v>
      </c>
    </row>
    <row r="2" ht="15.75">
      <c r="A2" s="68" t="s">
        <v>975</v>
      </c>
    </row>
    <row r="4" ht="15.75">
      <c r="A4" s="827" t="s">
        <v>842</v>
      </c>
    </row>
    <row r="5" ht="15.75">
      <c r="A5" s="826" t="s">
        <v>843</v>
      </c>
    </row>
    <row r="7" ht="15.75">
      <c r="A7" s="827" t="s">
        <v>840</v>
      </c>
    </row>
    <row r="8" ht="15.75">
      <c r="A8" s="826" t="s">
        <v>841</v>
      </c>
    </row>
    <row r="10" ht="15.75">
      <c r="A10" s="827" t="s">
        <v>839</v>
      </c>
    </row>
    <row r="11" ht="15.75">
      <c r="A11" s="826" t="s">
        <v>844</v>
      </c>
    </row>
    <row r="12" ht="15.75">
      <c r="A12" s="826" t="s">
        <v>845</v>
      </c>
    </row>
    <row r="13" ht="15.75">
      <c r="A13" s="826" t="s">
        <v>846</v>
      </c>
    </row>
    <row r="14" ht="15.75">
      <c r="A14" s="826" t="s">
        <v>847</v>
      </c>
    </row>
    <row r="15" ht="15.75">
      <c r="A15" s="826" t="s">
        <v>848</v>
      </c>
    </row>
    <row r="17" ht="15.75">
      <c r="A17" s="327" t="s">
        <v>849</v>
      </c>
    </row>
    <row r="18" ht="15.75">
      <c r="A18" s="726" t="s">
        <v>828</v>
      </c>
    </row>
    <row r="19" ht="15.75">
      <c r="A19" s="774" t="s">
        <v>829</v>
      </c>
    </row>
    <row r="21" ht="15.75">
      <c r="A21" s="327" t="s">
        <v>850</v>
      </c>
    </row>
    <row r="22" ht="15.75">
      <c r="A22" s="726" t="s">
        <v>827</v>
      </c>
    </row>
    <row r="24" ht="15.75">
      <c r="A24" s="327" t="s">
        <v>851</v>
      </c>
    </row>
    <row r="25" ht="15.75">
      <c r="A25" s="726" t="s">
        <v>806</v>
      </c>
    </row>
    <row r="27" ht="15.75">
      <c r="A27" s="327" t="s">
        <v>852</v>
      </c>
    </row>
    <row r="28" ht="15.75">
      <c r="A28" s="68" t="s">
        <v>798</v>
      </c>
    </row>
    <row r="30" ht="15.75">
      <c r="A30" s="327" t="s">
        <v>853</v>
      </c>
    </row>
    <row r="31" ht="15.75">
      <c r="A31" s="726" t="s">
        <v>796</v>
      </c>
    </row>
    <row r="33" ht="15.75">
      <c r="A33" s="327" t="s">
        <v>854</v>
      </c>
    </row>
    <row r="34" ht="15.75">
      <c r="A34" s="693" t="s">
        <v>773</v>
      </c>
    </row>
    <row r="36" ht="15.75">
      <c r="A36" s="327" t="s">
        <v>855</v>
      </c>
    </row>
    <row r="37" ht="15.75">
      <c r="A37" s="678" t="s">
        <v>856</v>
      </c>
    </row>
    <row r="39" ht="15.75">
      <c r="A39" s="327" t="s">
        <v>857</v>
      </c>
    </row>
    <row r="40" ht="15.75">
      <c r="A40" s="675" t="s">
        <v>858</v>
      </c>
    </row>
    <row r="42" ht="15.75">
      <c r="A42" s="327" t="s">
        <v>859</v>
      </c>
    </row>
    <row r="43" ht="15.75">
      <c r="A43" s="676" t="s">
        <v>860</v>
      </c>
    </row>
    <row r="45" ht="15.75">
      <c r="A45" s="327" t="s">
        <v>861</v>
      </c>
    </row>
    <row r="46" ht="15.75">
      <c r="A46" s="68" t="s">
        <v>862</v>
      </c>
    </row>
    <row r="48" ht="15.75">
      <c r="A48" s="327" t="s">
        <v>863</v>
      </c>
    </row>
    <row r="49" ht="15.75">
      <c r="A49" s="675" t="s">
        <v>864</v>
      </c>
    </row>
    <row r="51" ht="15.75">
      <c r="A51" s="327" t="s">
        <v>865</v>
      </c>
    </row>
    <row r="52" ht="15.75">
      <c r="A52" s="68" t="s">
        <v>866</v>
      </c>
    </row>
    <row r="53" ht="15.75">
      <c r="A53" s="68" t="s">
        <v>867</v>
      </c>
    </row>
    <row r="54" ht="15.75">
      <c r="A54" s="68" t="s">
        <v>868</v>
      </c>
    </row>
    <row r="55" ht="15.75">
      <c r="A55" s="68" t="s">
        <v>869</v>
      </c>
    </row>
    <row r="56" ht="15.75">
      <c r="A56" s="68" t="s">
        <v>870</v>
      </c>
    </row>
    <row r="57" ht="15.75">
      <c r="A57" s="68" t="s">
        <v>871</v>
      </c>
    </row>
    <row r="58" ht="15.75">
      <c r="A58" s="68" t="s">
        <v>872</v>
      </c>
    </row>
    <row r="59" ht="15.75">
      <c r="A59" s="68" t="s">
        <v>873</v>
      </c>
    </row>
    <row r="60" ht="15.75">
      <c r="A60" s="68" t="s">
        <v>874</v>
      </c>
    </row>
    <row r="61" ht="15.75">
      <c r="A61" s="68" t="s">
        <v>875</v>
      </c>
    </row>
    <row r="62" ht="15.75">
      <c r="A62" s="68" t="s">
        <v>876</v>
      </c>
    </row>
    <row r="63" ht="15.75">
      <c r="A63" s="68" t="s">
        <v>877</v>
      </c>
    </row>
    <row r="64" ht="15.75">
      <c r="A64" s="68" t="s">
        <v>878</v>
      </c>
    </row>
    <row r="65" ht="15.75">
      <c r="A65" s="68" t="s">
        <v>879</v>
      </c>
    </row>
    <row r="66" ht="15.75">
      <c r="A66" s="68" t="s">
        <v>880</v>
      </c>
    </row>
    <row r="67" ht="15.75">
      <c r="A67" s="68" t="s">
        <v>881</v>
      </c>
    </row>
    <row r="68" ht="15.75">
      <c r="A68" s="68" t="s">
        <v>882</v>
      </c>
    </row>
    <row r="69" ht="15.75">
      <c r="A69" s="68" t="s">
        <v>883</v>
      </c>
    </row>
    <row r="70" ht="15.75">
      <c r="A70" s="68" t="s">
        <v>884</v>
      </c>
    </row>
    <row r="71" ht="15.75">
      <c r="A71" s="68" t="s">
        <v>885</v>
      </c>
    </row>
    <row r="72" ht="15.75">
      <c r="A72" s="68" t="s">
        <v>886</v>
      </c>
    </row>
    <row r="73" ht="15.75">
      <c r="A73" s="68" t="s">
        <v>887</v>
      </c>
    </row>
    <row r="74" ht="15.75">
      <c r="A74" s="68" t="s">
        <v>888</v>
      </c>
    </row>
    <row r="75" ht="15.75">
      <c r="A75" s="68" t="s">
        <v>889</v>
      </c>
    </row>
    <row r="76" ht="15.75">
      <c r="A76" s="68" t="s">
        <v>890</v>
      </c>
    </row>
    <row r="77" ht="15.75">
      <c r="A77" s="68" t="s">
        <v>891</v>
      </c>
    </row>
    <row r="78" ht="15.75">
      <c r="A78" s="68" t="s">
        <v>892</v>
      </c>
    </row>
    <row r="79" ht="15.75">
      <c r="A79" s="68" t="s">
        <v>893</v>
      </c>
    </row>
    <row r="80" ht="15.75">
      <c r="A80" s="68" t="s">
        <v>894</v>
      </c>
    </row>
    <row r="82" ht="15.75">
      <c r="A82" s="327" t="s">
        <v>895</v>
      </c>
    </row>
    <row r="83" ht="15.75">
      <c r="A83" s="68" t="s">
        <v>896</v>
      </c>
    </row>
    <row r="85" ht="15.75">
      <c r="A85" s="327" t="s">
        <v>897</v>
      </c>
    </row>
    <row r="86" ht="15.75">
      <c r="A86" s="68" t="s">
        <v>898</v>
      </c>
    </row>
    <row r="88" ht="15.75">
      <c r="A88" s="327" t="s">
        <v>899</v>
      </c>
    </row>
    <row r="89" ht="15.75">
      <c r="A89" s="482" t="s">
        <v>900</v>
      </c>
    </row>
    <row r="91" ht="15.75">
      <c r="A91" s="327" t="s">
        <v>901</v>
      </c>
    </row>
    <row r="92" ht="15.75">
      <c r="A92" s="68" t="s">
        <v>902</v>
      </c>
    </row>
    <row r="93" ht="15.75">
      <c r="A93" s="68" t="s">
        <v>903</v>
      </c>
    </row>
    <row r="95" ht="15.75">
      <c r="A95" s="327" t="s">
        <v>904</v>
      </c>
    </row>
    <row r="96" ht="15.75">
      <c r="A96" s="482" t="s">
        <v>905</v>
      </c>
    </row>
    <row r="97" ht="15.75">
      <c r="A97" s="482" t="s">
        <v>906</v>
      </c>
    </row>
    <row r="98" ht="31.5">
      <c r="A98" s="481" t="s">
        <v>907</v>
      </c>
    </row>
    <row r="99" ht="15.75">
      <c r="A99" s="482" t="s">
        <v>908</v>
      </c>
    </row>
    <row r="100" ht="15.75">
      <c r="A100" s="482" t="s">
        <v>909</v>
      </c>
    </row>
    <row r="101" ht="15.75">
      <c r="A101" s="482" t="s">
        <v>910</v>
      </c>
    </row>
    <row r="102" ht="15.75">
      <c r="A102" s="482" t="s">
        <v>911</v>
      </c>
    </row>
    <row r="103" ht="15.75">
      <c r="A103" s="482" t="s">
        <v>912</v>
      </c>
    </row>
    <row r="104" ht="15.75">
      <c r="A104" s="482" t="s">
        <v>913</v>
      </c>
    </row>
    <row r="105" ht="15.75">
      <c r="A105" s="482" t="s">
        <v>914</v>
      </c>
    </row>
    <row r="106" ht="15.75">
      <c r="A106" s="482" t="s">
        <v>915</v>
      </c>
    </row>
    <row r="107" ht="15.75">
      <c r="A107" s="482" t="s">
        <v>916</v>
      </c>
    </row>
    <row r="108" ht="15.75">
      <c r="A108" s="482" t="s">
        <v>917</v>
      </c>
    </row>
    <row r="109" ht="15.75">
      <c r="A109" s="482" t="s">
        <v>918</v>
      </c>
    </row>
    <row r="110" ht="15.75">
      <c r="A110" s="482" t="s">
        <v>919</v>
      </c>
    </row>
    <row r="111" ht="15.75">
      <c r="A111" s="482" t="s">
        <v>920</v>
      </c>
    </row>
    <row r="112" ht="15.75">
      <c r="A112" s="482" t="s">
        <v>921</v>
      </c>
    </row>
    <row r="113" ht="15.75">
      <c r="A113" s="482" t="s">
        <v>922</v>
      </c>
    </row>
    <row r="114" ht="15.75">
      <c r="A114" s="482" t="s">
        <v>923</v>
      </c>
    </row>
    <row r="115" ht="15.75">
      <c r="A115" s="482" t="s">
        <v>924</v>
      </c>
    </row>
    <row r="116" ht="15.75">
      <c r="A116" s="482" t="s">
        <v>925</v>
      </c>
    </row>
    <row r="117" ht="15.75">
      <c r="A117" s="482" t="s">
        <v>926</v>
      </c>
    </row>
    <row r="118" ht="15.75">
      <c r="A118" s="482" t="s">
        <v>927</v>
      </c>
    </row>
    <row r="120" ht="15.75">
      <c r="A120" s="327" t="s">
        <v>928</v>
      </c>
    </row>
    <row r="121" ht="37.5" customHeight="1">
      <c r="A121" s="294" t="s">
        <v>929</v>
      </c>
    </row>
    <row r="122" ht="15.75" customHeight="1"/>
    <row r="123" ht="15.75">
      <c r="A123" s="327" t="s">
        <v>930</v>
      </c>
    </row>
    <row r="124" ht="15.75">
      <c r="A124" s="68" t="s">
        <v>931</v>
      </c>
    </row>
    <row r="125" ht="15.75">
      <c r="A125" s="68" t="s">
        <v>932</v>
      </c>
    </row>
    <row r="126" ht="15.75">
      <c r="A126" s="68" t="s">
        <v>933</v>
      </c>
    </row>
    <row r="128" ht="15.75">
      <c r="A128" s="330" t="s">
        <v>934</v>
      </c>
    </row>
    <row r="129" ht="15.75">
      <c r="A129" s="68" t="s">
        <v>935</v>
      </c>
    </row>
    <row r="131" ht="15.75">
      <c r="A131" s="327" t="s">
        <v>936</v>
      </c>
    </row>
    <row r="132" ht="15.75">
      <c r="A132" s="328" t="s">
        <v>937</v>
      </c>
    </row>
    <row r="133" ht="15.75">
      <c r="A133" s="328" t="s">
        <v>938</v>
      </c>
    </row>
    <row r="134" ht="15.75">
      <c r="A134" s="328" t="s">
        <v>939</v>
      </c>
    </row>
    <row r="135" ht="15.75">
      <c r="A135" s="326" t="s">
        <v>940</v>
      </c>
    </row>
    <row r="137" ht="15.75">
      <c r="A137" s="305" t="s">
        <v>941</v>
      </c>
    </row>
    <row r="138" ht="15.75">
      <c r="A138" s="68" t="s">
        <v>263</v>
      </c>
    </row>
    <row r="139" ht="15.75">
      <c r="A139" s="68" t="s">
        <v>942</v>
      </c>
    </row>
    <row r="140" ht="15.75">
      <c r="A140" s="68" t="s">
        <v>943</v>
      </c>
    </row>
    <row r="141" ht="15.75">
      <c r="A141" s="68" t="s">
        <v>944</v>
      </c>
    </row>
    <row r="142" ht="15.75">
      <c r="A142" s="68" t="s">
        <v>945</v>
      </c>
    </row>
    <row r="143" ht="15.75">
      <c r="A143" s="68" t="s">
        <v>946</v>
      </c>
    </row>
    <row r="144" ht="15.75">
      <c r="A144" s="68" t="s">
        <v>947</v>
      </c>
    </row>
    <row r="145" ht="15.75">
      <c r="A145" s="68" t="s">
        <v>948</v>
      </c>
    </row>
    <row r="146" ht="15.75">
      <c r="A146" s="68" t="s">
        <v>949</v>
      </c>
    </row>
    <row r="147" ht="15.75">
      <c r="A147" s="68" t="s">
        <v>950</v>
      </c>
    </row>
    <row r="148" ht="15.75">
      <c r="A148" s="68" t="s">
        <v>951</v>
      </c>
    </row>
    <row r="149" ht="31.5">
      <c r="A149" s="294" t="s">
        <v>952</v>
      </c>
    </row>
    <row r="150" ht="15.75">
      <c r="A150" s="294" t="s">
        <v>953</v>
      </c>
    </row>
    <row r="151" ht="15.75">
      <c r="A151" s="307" t="s">
        <v>954</v>
      </c>
    </row>
    <row r="152" ht="15.75">
      <c r="A152" s="308" t="s">
        <v>955</v>
      </c>
    </row>
    <row r="154" ht="15.75">
      <c r="A154" s="305" t="s">
        <v>956</v>
      </c>
    </row>
    <row r="155" ht="15.75">
      <c r="A155" s="68" t="s">
        <v>957</v>
      </c>
    </row>
    <row r="156" ht="15.75">
      <c r="A156" s="68" t="s">
        <v>958</v>
      </c>
    </row>
    <row r="158" ht="15.75">
      <c r="A158" s="305" t="s">
        <v>959</v>
      </c>
    </row>
    <row r="159" ht="15.75">
      <c r="A159" s="68" t="s">
        <v>960</v>
      </c>
    </row>
    <row r="161" ht="15.75">
      <c r="A161" s="305" t="s">
        <v>961</v>
      </c>
    </row>
    <row r="162" ht="15.75">
      <c r="A162" s="68" t="s">
        <v>962</v>
      </c>
    </row>
    <row r="164" ht="15.75">
      <c r="A164" s="305" t="s">
        <v>963</v>
      </c>
    </row>
    <row r="165" ht="15.75">
      <c r="A165" s="68" t="s">
        <v>964</v>
      </c>
    </row>
    <row r="166" ht="15.75">
      <c r="A166" s="68" t="s">
        <v>965</v>
      </c>
    </row>
    <row r="168" ht="15.75">
      <c r="A168" s="68" t="s">
        <v>966</v>
      </c>
    </row>
    <row r="169" ht="15.75">
      <c r="A169" s="68" t="s">
        <v>967</v>
      </c>
    </row>
    <row r="170" ht="15.75">
      <c r="A170" s="68" t="s">
        <v>968</v>
      </c>
    </row>
    <row r="171" ht="15.75">
      <c r="A171" s="68" t="s">
        <v>969</v>
      </c>
    </row>
    <row r="173" ht="15.75">
      <c r="A173" s="305" t="s">
        <v>970</v>
      </c>
    </row>
    <row r="174" ht="15.75">
      <c r="A174" s="68" t="s">
        <v>257</v>
      </c>
    </row>
    <row r="175" ht="15.75">
      <c r="A175" s="68" t="s">
        <v>258</v>
      </c>
    </row>
    <row r="177" ht="15.75">
      <c r="A177" s="305" t="s">
        <v>971</v>
      </c>
    </row>
    <row r="178" ht="15.75" customHeight="1">
      <c r="A178" s="68" t="s">
        <v>256</v>
      </c>
    </row>
    <row r="180" ht="15.75">
      <c r="A180" s="305" t="s">
        <v>212</v>
      </c>
    </row>
    <row r="181" ht="15.75">
      <c r="A181" s="68" t="s">
        <v>213</v>
      </c>
    </row>
    <row r="182" ht="31.5">
      <c r="A182" s="294" t="s">
        <v>229</v>
      </c>
    </row>
    <row r="183" ht="15.75">
      <c r="A183" s="68" t="s">
        <v>214</v>
      </c>
    </row>
    <row r="184" ht="15.75">
      <c r="A184" s="68" t="s">
        <v>215</v>
      </c>
    </row>
    <row r="185" ht="15.75">
      <c r="A185" s="68" t="s">
        <v>216</v>
      </c>
    </row>
    <row r="186" ht="15.75">
      <c r="A186" s="68" t="s">
        <v>217</v>
      </c>
    </row>
    <row r="187" ht="31.5">
      <c r="A187" s="294" t="s">
        <v>198</v>
      </c>
    </row>
    <row r="188" ht="31.5">
      <c r="A188" s="294" t="s">
        <v>225</v>
      </c>
    </row>
    <row r="189" ht="31.5">
      <c r="A189" s="294" t="s">
        <v>218</v>
      </c>
    </row>
    <row r="190" ht="15.75">
      <c r="A190" s="294" t="s">
        <v>219</v>
      </c>
    </row>
    <row r="191" ht="15.75" customHeight="1">
      <c r="A191" s="294" t="s">
        <v>220</v>
      </c>
    </row>
    <row r="192" ht="15.75" customHeight="1">
      <c r="A192" s="68" t="s">
        <v>221</v>
      </c>
    </row>
    <row r="193" ht="15.75" customHeight="1">
      <c r="A193" s="68" t="s">
        <v>222</v>
      </c>
    </row>
    <row r="194" ht="15.75" customHeight="1">
      <c r="A194" s="68" t="s">
        <v>223</v>
      </c>
    </row>
    <row r="195" ht="15.75" customHeight="1">
      <c r="A195" s="68" t="s">
        <v>228</v>
      </c>
    </row>
    <row r="196" ht="34.5" customHeight="1">
      <c r="A196" s="294" t="s">
        <v>226</v>
      </c>
    </row>
    <row r="197" ht="15.75" customHeight="1">
      <c r="A197" s="294" t="s">
        <v>192</v>
      </c>
    </row>
    <row r="198" ht="33.75" customHeight="1">
      <c r="A198" s="294" t="s">
        <v>199</v>
      </c>
    </row>
    <row r="199" ht="15.75" customHeight="1">
      <c r="A199" s="294" t="s">
        <v>193</v>
      </c>
    </row>
    <row r="200" ht="15.75" customHeight="1">
      <c r="A200" s="294" t="s">
        <v>194</v>
      </c>
    </row>
    <row r="201" ht="15.75" customHeight="1">
      <c r="A201" s="294" t="s">
        <v>195</v>
      </c>
    </row>
    <row r="202" ht="31.5">
      <c r="A202" s="294" t="s">
        <v>196</v>
      </c>
    </row>
    <row r="203" ht="31.5">
      <c r="A203" s="294" t="s">
        <v>200</v>
      </c>
    </row>
    <row r="204" ht="31.5">
      <c r="A204" s="294" t="s">
        <v>197</v>
      </c>
    </row>
    <row r="205" ht="31.5">
      <c r="A205" s="294" t="s">
        <v>972</v>
      </c>
    </row>
    <row r="206" ht="15.75">
      <c r="A206" s="294" t="s">
        <v>206</v>
      </c>
    </row>
    <row r="208" ht="15.75">
      <c r="A208" s="305" t="s">
        <v>154</v>
      </c>
    </row>
    <row r="209" ht="47.25">
      <c r="A209" s="294" t="s">
        <v>201</v>
      </c>
    </row>
    <row r="210" ht="15.75">
      <c r="A210" s="68" t="s">
        <v>155</v>
      </c>
    </row>
    <row r="211" ht="15.75">
      <c r="A211" s="68" t="s">
        <v>159</v>
      </c>
    </row>
    <row r="212" ht="15.75">
      <c r="A212" s="68" t="s">
        <v>160</v>
      </c>
    </row>
    <row r="213" ht="15.75">
      <c r="A213" s="68" t="s">
        <v>156</v>
      </c>
    </row>
    <row r="214" ht="15.75">
      <c r="A214" s="68" t="s">
        <v>157</v>
      </c>
    </row>
    <row r="215" ht="15.75">
      <c r="A215" s="68" t="s">
        <v>158</v>
      </c>
    </row>
    <row r="216" ht="15.75">
      <c r="A216" s="294" t="s">
        <v>161</v>
      </c>
    </row>
    <row r="217" ht="15.75">
      <c r="A217" s="68" t="s">
        <v>162</v>
      </c>
    </row>
    <row r="218" ht="15.75">
      <c r="A218" s="68" t="s">
        <v>163</v>
      </c>
    </row>
    <row r="219" ht="15.75">
      <c r="A219" s="68" t="s">
        <v>202</v>
      </c>
    </row>
    <row r="220" ht="15.75">
      <c r="A220" s="68" t="s">
        <v>164</v>
      </c>
    </row>
    <row r="221" ht="15.75">
      <c r="A221" s="68" t="s">
        <v>203</v>
      </c>
    </row>
    <row r="222" ht="15.75">
      <c r="A222" s="68" t="s">
        <v>165</v>
      </c>
    </row>
    <row r="223" ht="15.75">
      <c r="A223" s="68" t="s">
        <v>204</v>
      </c>
    </row>
    <row r="224" ht="15.75">
      <c r="A224" s="68" t="s">
        <v>166</v>
      </c>
    </row>
    <row r="225" ht="15.75">
      <c r="A225" s="68" t="s">
        <v>169</v>
      </c>
    </row>
    <row r="226" ht="15.75">
      <c r="A226" s="68" t="s">
        <v>205</v>
      </c>
    </row>
    <row r="227" ht="15.75">
      <c r="A227" s="68" t="s">
        <v>184</v>
      </c>
    </row>
    <row r="228" ht="15.75">
      <c r="A228" s="68" t="s">
        <v>185</v>
      </c>
    </row>
    <row r="229" ht="15.75">
      <c r="A229" s="68" t="s">
        <v>186</v>
      </c>
    </row>
    <row r="230" ht="15.75">
      <c r="A230" s="68" t="s">
        <v>170</v>
      </c>
    </row>
    <row r="231" ht="15.75">
      <c r="A231" s="68" t="s">
        <v>171</v>
      </c>
    </row>
    <row r="232" ht="15.75">
      <c r="A232" s="68" t="s">
        <v>172</v>
      </c>
    </row>
    <row r="233" ht="15.75">
      <c r="A233" s="68" t="s">
        <v>181</v>
      </c>
    </row>
    <row r="234" ht="15.75">
      <c r="A234" s="68" t="s">
        <v>182</v>
      </c>
    </row>
    <row r="235" ht="15.75">
      <c r="A235" s="68" t="s">
        <v>183</v>
      </c>
    </row>
    <row r="236" ht="15.75">
      <c r="A236" s="68" t="s">
        <v>191</v>
      </c>
    </row>
    <row r="237" ht="15.75">
      <c r="A237" s="68" t="s">
        <v>207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Q66" sqref="Q66"/>
    </sheetView>
  </sheetViews>
  <sheetFormatPr defaultColWidth="8.796875" defaultRowHeight="15.75"/>
  <cols>
    <col min="1" max="1" width="13.69921875" style="0" customWidth="1"/>
    <col min="2" max="2" width="16" style="0" customWidth="1"/>
  </cols>
  <sheetData>
    <row r="1" ht="15.75">
      <c r="J1" s="651" t="s">
        <v>716</v>
      </c>
    </row>
    <row r="2" spans="1:10" ht="54" customHeight="1">
      <c r="A2" s="853" t="s">
        <v>302</v>
      </c>
      <c r="B2" s="854"/>
      <c r="C2" s="854"/>
      <c r="D2" s="854"/>
      <c r="E2" s="854"/>
      <c r="F2" s="854"/>
      <c r="J2" s="651" t="s">
        <v>717</v>
      </c>
    </row>
    <row r="3" ht="15.75">
      <c r="J3" s="651" t="s">
        <v>718</v>
      </c>
    </row>
    <row r="4" spans="1:10" ht="15.75">
      <c r="A4" s="422" t="s">
        <v>714</v>
      </c>
      <c r="B4" s="683"/>
      <c r="C4" s="650"/>
      <c r="J4" s="651" t="s">
        <v>719</v>
      </c>
    </row>
    <row r="5" spans="1:10" ht="15.75">
      <c r="A5" s="422"/>
      <c r="B5" s="650"/>
      <c r="J5" s="651" t="s">
        <v>720</v>
      </c>
    </row>
    <row r="6" spans="1:10" ht="15.75">
      <c r="A6" s="422" t="s">
        <v>715</v>
      </c>
      <c r="B6" s="683"/>
      <c r="J6" s="651" t="s">
        <v>721</v>
      </c>
    </row>
    <row r="7" spans="1:10" ht="15.75">
      <c r="A7" s="313"/>
      <c r="B7" s="313"/>
      <c r="C7" s="313"/>
      <c r="D7" s="315"/>
      <c r="E7" s="313"/>
      <c r="F7" s="313"/>
      <c r="J7" s="651" t="s">
        <v>722</v>
      </c>
    </row>
    <row r="8" spans="1:10" ht="15.75">
      <c r="A8" s="314" t="s">
        <v>303</v>
      </c>
      <c r="B8" s="683"/>
      <c r="C8" s="316"/>
      <c r="D8" s="314" t="s">
        <v>713</v>
      </c>
      <c r="E8" s="313"/>
      <c r="F8" s="313"/>
      <c r="J8" s="651" t="s">
        <v>723</v>
      </c>
    </row>
    <row r="9" spans="1:10" ht="15.75">
      <c r="A9" s="314"/>
      <c r="B9" s="317"/>
      <c r="C9" s="318"/>
      <c r="D9" s="314">
        <f>IF(B8="","",CONCATENATE("Latest date for notice to be published in your newspaper: ",G19," ",G23,", ",G24))</f>
      </c>
      <c r="E9" s="313"/>
      <c r="F9" s="313"/>
      <c r="J9" s="651" t="s">
        <v>724</v>
      </c>
    </row>
    <row r="10" spans="1:10" ht="15.75">
      <c r="A10" s="314" t="s">
        <v>304</v>
      </c>
      <c r="B10" s="683"/>
      <c r="C10" s="319"/>
      <c r="D10" s="314"/>
      <c r="E10" s="313"/>
      <c r="F10" s="313"/>
      <c r="J10" s="651" t="s">
        <v>725</v>
      </c>
    </row>
    <row r="11" spans="1:10" ht="15.75">
      <c r="A11" s="314"/>
      <c r="B11" s="314"/>
      <c r="C11" s="314"/>
      <c r="D11" s="314"/>
      <c r="E11" s="313"/>
      <c r="F11" s="313"/>
      <c r="J11" s="651" t="s">
        <v>726</v>
      </c>
    </row>
    <row r="12" spans="1:10" ht="15.75">
      <c r="A12" s="314" t="s">
        <v>305</v>
      </c>
      <c r="B12" s="684"/>
      <c r="C12" s="685"/>
      <c r="D12" s="685"/>
      <c r="E12" s="686"/>
      <c r="F12" s="313"/>
      <c r="J12" s="651" t="s">
        <v>727</v>
      </c>
    </row>
    <row r="13" spans="1:6" ht="15.75">
      <c r="A13" s="314"/>
      <c r="B13" s="314"/>
      <c r="C13" s="314"/>
      <c r="D13" s="314"/>
      <c r="E13" s="313"/>
      <c r="F13" s="313"/>
    </row>
    <row r="14" spans="1:6" ht="15.75">
      <c r="A14" s="314"/>
      <c r="B14" s="314"/>
      <c r="C14" s="314"/>
      <c r="D14" s="314"/>
      <c r="E14" s="313"/>
      <c r="F14" s="313"/>
    </row>
    <row r="15" spans="1:6" ht="15.75">
      <c r="A15" s="314" t="s">
        <v>306</v>
      </c>
      <c r="B15" s="684"/>
      <c r="C15" s="685"/>
      <c r="D15" s="685"/>
      <c r="E15" s="686"/>
      <c r="F15" s="313"/>
    </row>
    <row r="18" spans="1:6" ht="15.75">
      <c r="A18" s="855" t="s">
        <v>307</v>
      </c>
      <c r="B18" s="855"/>
      <c r="C18" s="314"/>
      <c r="D18" s="314"/>
      <c r="E18" s="314"/>
      <c r="F18" s="313"/>
    </row>
    <row r="19" spans="1:7" ht="15.75">
      <c r="A19" s="314"/>
      <c r="B19" s="314"/>
      <c r="C19" s="314"/>
      <c r="D19" s="314"/>
      <c r="E19" s="314"/>
      <c r="F19" s="313"/>
      <c r="G19" s="651">
        <f ca="1">IF(B8="","",INDIRECT(G20))</f>
      </c>
    </row>
    <row r="20" spans="1:7" ht="15.75">
      <c r="A20" s="314" t="s">
        <v>303</v>
      </c>
      <c r="B20" s="317" t="s">
        <v>308</v>
      </c>
      <c r="C20" s="314"/>
      <c r="D20" s="314"/>
      <c r="E20" s="314"/>
      <c r="G20" s="652">
        <f>IF(B8="","",CONCATENATE("J",G22))</f>
      </c>
    </row>
    <row r="21" spans="1:7" ht="15.75">
      <c r="A21" s="314"/>
      <c r="B21" s="314"/>
      <c r="C21" s="314"/>
      <c r="D21" s="314"/>
      <c r="E21" s="314"/>
      <c r="G21" s="653">
        <f>B8-10</f>
        <v>-10</v>
      </c>
    </row>
    <row r="22" spans="1:7" ht="15.75">
      <c r="A22" s="314" t="s">
        <v>304</v>
      </c>
      <c r="B22" s="314" t="s">
        <v>309</v>
      </c>
      <c r="C22" s="314"/>
      <c r="D22" s="314"/>
      <c r="E22" s="314"/>
      <c r="G22" s="654">
        <f>IF(B8="","",MONTH(G21))</f>
      </c>
    </row>
    <row r="23" spans="1:7" ht="15.75">
      <c r="A23" s="314"/>
      <c r="B23" s="314"/>
      <c r="C23" s="314"/>
      <c r="D23" s="314"/>
      <c r="E23" s="314"/>
      <c r="G23" s="655">
        <f>IF(B8="","",DAY(G21))</f>
      </c>
    </row>
    <row r="24" spans="1:7" ht="15.75">
      <c r="A24" s="314" t="s">
        <v>305</v>
      </c>
      <c r="B24" s="314" t="s">
        <v>311</v>
      </c>
      <c r="C24" s="314"/>
      <c r="D24" s="314"/>
      <c r="E24" s="314"/>
      <c r="G24" s="656">
        <f>IF(B8="","",YEAR(G21))</f>
      </c>
    </row>
    <row r="25" spans="1:5" ht="15.75">
      <c r="A25" s="314"/>
      <c r="B25" s="314"/>
      <c r="C25" s="314"/>
      <c r="D25" s="314"/>
      <c r="E25" s="314"/>
    </row>
    <row r="26" spans="1:5" ht="15.75">
      <c r="A26" s="314" t="s">
        <v>306</v>
      </c>
      <c r="B26" s="314" t="s">
        <v>310</v>
      </c>
      <c r="C26" s="314"/>
      <c r="D26" s="314"/>
      <c r="E26" s="3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AQ27" sqref="AQ27"/>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75">
      <c r="B1" s="865" t="s">
        <v>66</v>
      </c>
      <c r="C1" s="865"/>
      <c r="D1" s="865"/>
      <c r="E1" s="865"/>
      <c r="F1" s="865"/>
      <c r="G1" s="865"/>
      <c r="H1" s="3">
        <f>inputPrYr!D6</f>
        <v>0</v>
      </c>
    </row>
    <row r="2" spans="3:7" s="3" customFormat="1" ht="15.75">
      <c r="C2" s="132"/>
      <c r="D2" s="132"/>
      <c r="E2" s="132"/>
      <c r="F2" s="132"/>
      <c r="G2" s="51"/>
    </row>
    <row r="3" spans="2:8" s="3" customFormat="1" ht="15.75">
      <c r="B3" s="858" t="str">
        <f>CONCATENATE("To the Clerk of ",inputPrYr!D4,", State of Kansas")</f>
        <v>To the Clerk of , State of Kansas</v>
      </c>
      <c r="C3" s="873"/>
      <c r="D3" s="873"/>
      <c r="E3" s="873"/>
      <c r="F3" s="873"/>
      <c r="G3" s="873"/>
      <c r="H3" s="873"/>
    </row>
    <row r="4" spans="2:7" s="3" customFormat="1" ht="15.75">
      <c r="B4" s="858" t="s">
        <v>123</v>
      </c>
      <c r="C4" s="839"/>
      <c r="D4" s="839"/>
      <c r="E4" s="839"/>
      <c r="F4" s="839"/>
      <c r="G4" s="839"/>
    </row>
    <row r="5" spans="2:7" s="3" customFormat="1" ht="15.75">
      <c r="B5" s="838">
        <f>inputPrYr!D3</f>
        <v>0</v>
      </c>
      <c r="C5" s="839"/>
      <c r="D5" s="839"/>
      <c r="E5" s="839"/>
      <c r="F5" s="839"/>
      <c r="G5" s="839"/>
    </row>
    <row r="6" spans="2:7" s="3" customFormat="1" ht="15.75">
      <c r="B6" s="872" t="s">
        <v>121</v>
      </c>
      <c r="C6" s="873"/>
      <c r="D6" s="873"/>
      <c r="E6" s="873"/>
      <c r="F6" s="873"/>
      <c r="G6" s="873"/>
    </row>
    <row r="7" spans="2:7" s="3" customFormat="1" ht="15.75" customHeight="1">
      <c r="B7" s="858" t="s">
        <v>122</v>
      </c>
      <c r="C7" s="874"/>
      <c r="D7" s="874"/>
      <c r="E7" s="874"/>
      <c r="F7" s="874"/>
      <c r="G7" s="874"/>
    </row>
    <row r="8" spans="2:7" s="3" customFormat="1" ht="15.75" customHeight="1">
      <c r="B8" s="858" t="str">
        <f>CONCATENATE("maximum expenditures for the various funds for the year ",H1,"; and (3) the")</f>
        <v>maximum expenditures for the various funds for the year 0; and (3) the</v>
      </c>
      <c r="C8" s="839"/>
      <c r="D8" s="839"/>
      <c r="E8" s="839"/>
      <c r="F8" s="839"/>
      <c r="G8" s="839"/>
    </row>
    <row r="9" spans="2:7" s="3" customFormat="1" ht="15.75" customHeight="1">
      <c r="B9" s="858" t="str">
        <f>CONCATENATE("Amount(s) of ",H1-1," Ad Valorem Tax are within statutory limitations for the ",H1," Budget.")</f>
        <v>Amount(s) of -1 Ad Valorem Tax are within statutory limitations for the 0 Budget.</v>
      </c>
      <c r="C9" s="839"/>
      <c r="D9" s="839"/>
      <c r="E9" s="839"/>
      <c r="F9" s="839"/>
      <c r="G9" s="839"/>
    </row>
    <row r="10" spans="5:7" s="3" customFormat="1" ht="15.75" customHeight="1">
      <c r="E10" s="54"/>
      <c r="F10" s="54"/>
      <c r="G10" s="54"/>
    </row>
    <row r="11" spans="4:7" s="3" customFormat="1" ht="15.75">
      <c r="D11" s="8"/>
      <c r="E11" s="869" t="str">
        <f>CONCATENATE("",H1," Adopted Budget")</f>
        <v>0 Adopted Budget</v>
      </c>
      <c r="F11" s="870"/>
      <c r="G11" s="871"/>
    </row>
    <row r="12" spans="2:7" s="3" customFormat="1" ht="15.75">
      <c r="B12" s="11"/>
      <c r="D12" s="54"/>
      <c r="E12" s="233" t="s">
        <v>239</v>
      </c>
      <c r="F12" s="866" t="str">
        <f>CONCATENATE("Amount of ",H1-1," Ad Valorem Tax")</f>
        <v>Amount of -1 Ad Valorem Tax</v>
      </c>
      <c r="G12" s="12" t="s">
        <v>240</v>
      </c>
    </row>
    <row r="13" spans="4:7" s="3" customFormat="1" ht="15.75">
      <c r="D13" s="12" t="s">
        <v>241</v>
      </c>
      <c r="E13" s="470" t="s">
        <v>174</v>
      </c>
      <c r="F13" s="867"/>
      <c r="G13" s="143" t="s">
        <v>242</v>
      </c>
    </row>
    <row r="14" spans="2:7" s="3" customFormat="1" ht="15.75">
      <c r="B14" s="59" t="s">
        <v>243</v>
      </c>
      <c r="C14" s="9"/>
      <c r="D14" s="15" t="s">
        <v>244</v>
      </c>
      <c r="E14" s="471" t="s">
        <v>631</v>
      </c>
      <c r="F14" s="868"/>
      <c r="G14" s="15" t="s">
        <v>246</v>
      </c>
    </row>
    <row r="15" spans="2:7" s="3" customFormat="1" ht="15.75">
      <c r="B15" s="16" t="str">
        <f>CONCATENATE("Computation to Determine Limit for ",H1,"")</f>
        <v>Computation to Determine Limit for 0</v>
      </c>
      <c r="C15" s="17"/>
      <c r="D15" s="12">
        <v>2</v>
      </c>
      <c r="E15" s="8"/>
      <c r="F15" s="8"/>
      <c r="G15" s="234"/>
    </row>
    <row r="16" spans="2:7" s="3" customFormat="1" ht="15.75">
      <c r="B16" s="16" t="s">
        <v>711</v>
      </c>
      <c r="C16" s="17"/>
      <c r="D16" s="148">
        <v>3</v>
      </c>
      <c r="E16" s="8"/>
      <c r="F16" s="8"/>
      <c r="G16" s="235"/>
    </row>
    <row r="17" spans="2:7" s="3" customFormat="1" ht="15.75">
      <c r="B17" s="53" t="s">
        <v>137</v>
      </c>
      <c r="C17" s="17"/>
      <c r="D17" s="148">
        <v>4</v>
      </c>
      <c r="E17" s="8"/>
      <c r="F17" s="8"/>
      <c r="G17" s="235"/>
    </row>
    <row r="18" spans="2:7" s="3" customFormat="1" ht="15.75">
      <c r="B18" s="53" t="s">
        <v>114</v>
      </c>
      <c r="C18" s="17"/>
      <c r="D18" s="148">
        <v>5</v>
      </c>
      <c r="E18" s="8"/>
      <c r="F18" s="8"/>
      <c r="G18" s="235"/>
    </row>
    <row r="19" spans="2:7" s="3" customFormat="1" ht="15.75">
      <c r="B19" s="53">
        <f>IF(inputPrYr!E21="","","Computation to Determine State Library Grant")</f>
      </c>
      <c r="C19" s="17"/>
      <c r="D19" s="148">
        <f>IF(inputPrYr!D21="","",'Library Grant'!F40)</f>
      </c>
      <c r="E19" s="8"/>
      <c r="F19" s="8"/>
      <c r="G19" s="235"/>
    </row>
    <row r="20" spans="2:7" s="3" customFormat="1" ht="15.75">
      <c r="B20" s="236" t="s">
        <v>247</v>
      </c>
      <c r="C20" s="133" t="s">
        <v>248</v>
      </c>
      <c r="D20" s="166"/>
      <c r="G20" s="237"/>
    </row>
    <row r="21" spans="2:7" s="3" customFormat="1" ht="15.75">
      <c r="B21" s="72" t="str">
        <f>inputPrYr!B19</f>
        <v>General</v>
      </c>
      <c r="C21" s="238" t="str">
        <f>inputPrYr!C19</f>
        <v>79-1962</v>
      </c>
      <c r="D21" s="239" t="str">
        <f>IF(gen!C63&gt;0,gen!C63,"  ")</f>
        <v>  </v>
      </c>
      <c r="E21" s="658" t="str">
        <f>IF(gen!$E$52&lt;&gt;0,gen!$E$52,"  ")</f>
        <v>  </v>
      </c>
      <c r="F21" s="658">
        <f>IF(gen!$E$59&lt;&gt;0,gen!$E$59,0)</f>
        <v>0</v>
      </c>
      <c r="G21" s="659" t="str">
        <f>IF(AND(gen!E59=0,$C$40&gt;=0)," ",IF(AND(F21&gt;0,$C$40=0)," ",IF(AND(F21&gt;0,$C$40&gt;0),ROUND(F21/$C$40*1000,3))))</f>
        <v> </v>
      </c>
    </row>
    <row r="22" spans="2:7" s="3" customFormat="1" ht="15.75">
      <c r="B22" s="72" t="s">
        <v>259</v>
      </c>
      <c r="C22" s="238" t="str">
        <f>inputPrYr!C20</f>
        <v>10-113</v>
      </c>
      <c r="D22" s="239" t="str">
        <f>IF('DebtSvs-Library'!C87&gt;0,'DebtSvs-Library'!C87,"  ")</f>
        <v>  </v>
      </c>
      <c r="E22" s="658" t="str">
        <f>IF('DebtSvs-Library'!E35&lt;&gt;0,'DebtSvs-Library'!E35,"  ")</f>
        <v>  </v>
      </c>
      <c r="F22" s="658" t="str">
        <f>IF('DebtSvs-Library'!E42&lt;&gt;0,'DebtSvs-Library'!E42,"  ")</f>
        <v>  </v>
      </c>
      <c r="G22" s="659" t="str">
        <f>IF(AND('DebtSvs-Library'!E42=0,$C$40&gt;=0)," ",IF(AND(F22&gt;0,$C$40=0)," ",IF(AND(F22&gt;0,$C$40&gt;0),ROUND(F22/$C$40*1000,3))))</f>
        <v> </v>
      </c>
    </row>
    <row r="23" spans="2:7" s="3" customFormat="1" ht="15.75">
      <c r="B23" s="72" t="str">
        <f>inputPrYr!B21</f>
        <v>Library</v>
      </c>
      <c r="C23" s="238" t="str">
        <f>inputPrYr!C21</f>
        <v>12-1220</v>
      </c>
      <c r="D23" s="239" t="str">
        <f>IF('DebtSvs-Library'!C87&gt;0,'DebtSvs-Library'!C87,"  ")</f>
        <v>  </v>
      </c>
      <c r="E23" s="658" t="str">
        <f>IF('DebtSvs-Library'!E77&lt;&gt;0,'DebtSvs-Library'!E77,"  ")</f>
        <v>  </v>
      </c>
      <c r="F23" s="658" t="str">
        <f>IF('DebtSvs-Library'!E84&lt;&gt;0,'DebtSvs-Library'!E84,"  ")</f>
        <v>  </v>
      </c>
      <c r="G23" s="659" t="str">
        <f>IF(AND('DebtSvs-Library'!E84=0,$C$40&gt;=0)," ",IF(AND(F23&gt;0,$C$40=0)," ",IF(AND(F23&gt;0,$C$40&gt;0),ROUND(F23/$C$40*1000,3))))</f>
        <v> </v>
      </c>
    </row>
    <row r="24" spans="2:7" s="3" customFormat="1" ht="15.75">
      <c r="B24" s="72" t="str">
        <f>IF(inputPrYr!$B22&gt;"  ",inputPrYr!$B22,"  ")</f>
        <v>Road</v>
      </c>
      <c r="C24" s="238" t="str">
        <f>IF(inputPrYr!C22&gt;0,inputPrYr!C22,"  ")</f>
        <v>68-518c</v>
      </c>
      <c r="D24" s="239" t="str">
        <f>IF(road!C69&gt;0,road!C69,"  ")</f>
        <v>  </v>
      </c>
      <c r="E24" s="658" t="str">
        <f>IF(road!$E$45&lt;&gt;0,road!$E$45,"  ")</f>
        <v>  </v>
      </c>
      <c r="F24" s="658" t="str">
        <f>IF(road!$E$52&lt;&gt;0,road!$E$52,"  ")</f>
        <v>  </v>
      </c>
      <c r="G24" s="659" t="str">
        <f>IF(AND(road!E52=0,$C$40&gt;=0)," ",IF(AND(F24&gt;0,$C$40=0)," ",IF(AND(F24&gt;0,$C$40&gt;0),ROUND(F24/$C$40*1000,3))))</f>
        <v> </v>
      </c>
    </row>
    <row r="25" spans="2:7" s="3" customFormat="1" ht="15.75">
      <c r="B25" s="72" t="str">
        <f>IF(inputPrYr!$B23&gt;"  ",inputPrYr!$B23,"  ")</f>
        <v>  </v>
      </c>
      <c r="C25" s="238" t="str">
        <f>IF(inputPrYr!C23&gt;0,inputPrYr!C23,"  ")</f>
        <v>  </v>
      </c>
      <c r="D25" s="239" t="str">
        <f>IF(levypage9!C85&gt;0,levypage9!C85,"  ")</f>
        <v>  </v>
      </c>
      <c r="E25" s="658" t="str">
        <f>IF(levypage9!$E$35&lt;&gt;0,levypage9!$E$35,"  ")</f>
        <v>  </v>
      </c>
      <c r="F25" s="658" t="str">
        <f>IF(levypage9!$E$42&lt;&gt;0,levypage9!$E$42,"  ")</f>
        <v>  </v>
      </c>
      <c r="G25" s="659" t="str">
        <f>IF(AND(levypage9!E42=0,$C$40&gt;=0)," ",IF(AND(F25&gt;0,$C$40=0)," ",IF(AND(F25&gt;0,$C$40&gt;0),ROUND(F25/$C$40*1000,3))))</f>
        <v> </v>
      </c>
    </row>
    <row r="26" spans="2:7" s="3" customFormat="1" ht="15.75">
      <c r="B26" s="72" t="str">
        <f>IF(inputPrYr!$B24&gt;"  ",inputPrYr!$B24,"  ")</f>
        <v>  </v>
      </c>
      <c r="C26" s="238" t="str">
        <f>IF(inputPrYr!C24&gt;0,inputPrYr!C24,"  ")</f>
        <v>  </v>
      </c>
      <c r="D26" s="239" t="str">
        <f>IF(levypage9!C85&gt;0,levypage9!C85,"  ")</f>
        <v>  </v>
      </c>
      <c r="E26" s="658" t="str">
        <f>IF(levypage9!$E$77&lt;&gt;0,levypage9!$E$77,"  ")</f>
        <v>  </v>
      </c>
      <c r="F26" s="658" t="str">
        <f>IF(levypage9!$E$84&lt;&gt;0,levypage9!$E$84,"  ")</f>
        <v>  </v>
      </c>
      <c r="G26" s="659" t="str">
        <f>IF(AND(levypage9!E84=0,$C$40&gt;=0)," ",IF(AND(F26&gt;0,$C$40=0)," ",IF(AND(F26&gt;0,$C$40&gt;0),ROUND(F26/$C$40*1000,3))))</f>
        <v> </v>
      </c>
    </row>
    <row r="27" spans="2:7" s="3" customFormat="1" ht="15.75">
      <c r="B27" s="72" t="str">
        <f>IF(inputPrYr!$B25&gt;"  ",inputPrYr!$B25,"  ")</f>
        <v>  </v>
      </c>
      <c r="C27" s="238" t="str">
        <f>IF(inputPrYr!C25&gt;0,inputPrYr!C25,"  ")</f>
        <v>  </v>
      </c>
      <c r="D27" s="239" t="str">
        <f>IF(levypage10!C85&gt;0,levypage10!C85,"  ")</f>
        <v>  </v>
      </c>
      <c r="E27" s="658" t="str">
        <f>IF(levypage10!$E$35&lt;&gt;0,levypage10!$E$35,"  ")</f>
        <v>  </v>
      </c>
      <c r="F27" s="658" t="str">
        <f>IF(levypage10!$E$42&lt;&gt;0,levypage10!$E$42,"  ")</f>
        <v>  </v>
      </c>
      <c r="G27" s="659" t="str">
        <f>IF(AND(levypage10!$E$42=0,$C$40&gt;=0)," ",IF(AND(F27&gt;0,$C$40=0)," ",IF(AND(F27&gt;0,$C$40&gt;0),ROUND(F27/$C$40*1000,3))))</f>
        <v> </v>
      </c>
    </row>
    <row r="28" spans="2:7" s="3" customFormat="1" ht="15.75">
      <c r="B28" s="72" t="str">
        <f>IF(inputPrYr!$B26&gt;"  ",inputPrYr!$B26,"  ")</f>
        <v>  </v>
      </c>
      <c r="C28" s="238" t="str">
        <f>IF(inputPrYr!C26&gt;0,inputPrYr!C26,"  ")</f>
        <v>  </v>
      </c>
      <c r="D28" s="239" t="str">
        <f>IF(levypage10!C85&gt;0,levypage10!C85,"  ")</f>
        <v>  </v>
      </c>
      <c r="E28" s="658" t="str">
        <f>IF(levypage10!$E$77&lt;&gt;0,levypage10!$E$77,"  ")</f>
        <v>  </v>
      </c>
      <c r="F28" s="658" t="str">
        <f>IF(levypage10!$E$84&lt;&gt;0,levypage10!$E$84,"  ")</f>
        <v>  </v>
      </c>
      <c r="G28" s="659" t="str">
        <f>IF(AND(levypage10!$E$84=0,$C$40&gt;=0)," ",IF(AND(F28&gt;0,$C$40=0)," ",IF(AND(F28&gt;0,$C$40&gt;0),ROUND(F28/$C$40*1000,3))))</f>
        <v> </v>
      </c>
    </row>
    <row r="29" spans="2:7" s="3" customFormat="1" ht="15.75">
      <c r="B29" s="72" t="str">
        <f>IF(inputPrYr!$B27&gt;"  ",inputPrYr!$B27,"  ")</f>
        <v>  </v>
      </c>
      <c r="C29" s="238" t="str">
        <f>IF(inputPrYr!C27&gt;0,inputPrYr!C27,"  ")</f>
        <v>  </v>
      </c>
      <c r="D29" s="239" t="str">
        <f>IF(levypage11!C85&gt;0,levypage11!C85,"  ")</f>
        <v>  </v>
      </c>
      <c r="E29" s="658" t="str">
        <f>IF(levypage11!$E$35&lt;&gt;0,levypage11!$E$35,"  ")</f>
        <v>  </v>
      </c>
      <c r="F29" s="658" t="str">
        <f>IF(levypage11!$E$42&lt;&gt;0,levypage11!$E$42,"  ")</f>
        <v>  </v>
      </c>
      <c r="G29" s="659" t="str">
        <f>IF(AND(levypage11!$E$42=0,$C$40&gt;=0)," ",IF(AND(F29&gt;0,$C$40=0)," ",IF(AND(F29&gt;0,$C$40&gt;0),ROUND(F29/$C$40*1000,3))))</f>
        <v> </v>
      </c>
    </row>
    <row r="30" spans="2:7" s="3" customFormat="1" ht="15.75">
      <c r="B30" s="72" t="str">
        <f>IF(inputPrYr!$B28&gt;"  ",inputPrYr!$B28,"  ")</f>
        <v>  </v>
      </c>
      <c r="C30" s="238" t="str">
        <f>IF(inputPrYr!C28&gt;0,inputPrYr!C28,"  ")</f>
        <v>  </v>
      </c>
      <c r="D30" s="239" t="str">
        <f>IF(levypage11!C85&gt;0,levypage11!C85,"  ")</f>
        <v>  </v>
      </c>
      <c r="E30" s="658" t="str">
        <f>IF(levypage11!$E$77&lt;&gt;0,levypage11!$E$77,"  ")</f>
        <v>  </v>
      </c>
      <c r="F30" s="658" t="str">
        <f>IF(levypage11!$E$84&lt;&gt;0,levypage11!$E$84,"  ")</f>
        <v>  </v>
      </c>
      <c r="G30" s="659" t="str">
        <f>IF(AND(levypage11!$E$84=0,$C$40&gt;=0)," ",IF(AND(F30&gt;0,$C$40=0)," ",IF(AND(F30&gt;0,$C$40&gt;0),ROUND(F30/$C$40*1000,3))))</f>
        <v> </v>
      </c>
    </row>
    <row r="31" spans="2:7" s="3" customFormat="1" ht="15.75">
      <c r="B31" s="240" t="str">
        <f>IF(inputPrYr!$B32&gt;"  ",inputPrYr!$B32,"  ")</f>
        <v>  </v>
      </c>
      <c r="C31" s="241"/>
      <c r="D31" s="242" t="str">
        <f>IF(nolevypage12!$C$65&gt;0,nolevypage12!$C$65,"  ")</f>
        <v>  </v>
      </c>
      <c r="E31" s="658" t="str">
        <f>IF(nolevypage12!$E$28&lt;&gt;0,nolevypage12!$E$28,"  ")</f>
        <v>  </v>
      </c>
      <c r="F31" s="658"/>
      <c r="G31" s="659"/>
    </row>
    <row r="32" spans="2:7" s="3" customFormat="1" ht="15.75">
      <c r="B32" s="243" t="str">
        <f>IF(inputPrYr!$B33&gt;"  ",inputPrYr!$B33,"  ")</f>
        <v>  </v>
      </c>
      <c r="C32" s="14"/>
      <c r="D32" s="242" t="str">
        <f>IF(nolevypage12!$C$65&gt;0,nolevypage12!$C$65,"  ")</f>
        <v>  </v>
      </c>
      <c r="E32" s="658" t="str">
        <f>IF(nolevypage12!$E$59&lt;&gt;0,nolevypage12!$E$59,"  ")</f>
        <v>  </v>
      </c>
      <c r="F32" s="658"/>
      <c r="G32" s="659"/>
    </row>
    <row r="33" spans="2:7" s="3" customFormat="1" ht="15.75">
      <c r="B33" s="240" t="str">
        <f>IF((inputPrYr!$B37&gt;"  "),(nonbud!$A3),"  ")</f>
        <v>  </v>
      </c>
      <c r="C33" s="14"/>
      <c r="D33" s="242" t="str">
        <f>IF(nonbud!$F$33&gt;0,nonbud!$F$33,"  ")</f>
        <v>  </v>
      </c>
      <c r="E33" s="658"/>
      <c r="F33" s="658"/>
      <c r="G33" s="659"/>
    </row>
    <row r="34" spans="2:7" s="3" customFormat="1" ht="15.75">
      <c r="B34" s="16" t="s">
        <v>249</v>
      </c>
      <c r="C34" s="241"/>
      <c r="D34" s="242" t="str">
        <f>IF(road!C69&gt;0,road!C69,"  ")</f>
        <v>  </v>
      </c>
      <c r="E34" s="221"/>
      <c r="F34" s="221"/>
      <c r="G34" s="659"/>
    </row>
    <row r="35" spans="2:7" s="3" customFormat="1" ht="16.5" thickBot="1">
      <c r="B35" s="244" t="s">
        <v>250</v>
      </c>
      <c r="C35" s="245"/>
      <c r="D35" s="146" t="s">
        <v>251</v>
      </c>
      <c r="E35" s="660">
        <f>SUM(E21:E34)</f>
        <v>0</v>
      </c>
      <c r="F35" s="660">
        <f>SUM(F21:F34)</f>
        <v>0</v>
      </c>
      <c r="G35" s="661">
        <f>IF(SUM(G21:G34)&gt;0,SUM(G21:G34),"")</f>
      </c>
    </row>
    <row r="36" spans="2:4" s="3" customFormat="1" ht="16.5" thickTop="1">
      <c r="B36" s="16" t="s">
        <v>136</v>
      </c>
      <c r="C36" s="237"/>
      <c r="D36" s="242">
        <f>summ!D49</f>
        <v>0</v>
      </c>
    </row>
    <row r="37" spans="2:7" s="3" customFormat="1" ht="15.75">
      <c r="B37" s="696" t="s">
        <v>180</v>
      </c>
      <c r="C37" s="234"/>
      <c r="D37" s="695">
        <f>IF(nhood!C38&gt;0,nhood!C38,"")</f>
      </c>
      <c r="E37" s="875" t="s">
        <v>830</v>
      </c>
      <c r="F37" s="876"/>
      <c r="G37" s="775" t="str">
        <f>IF(F35&gt;1000,IF(F35&gt;computation!J41,"Yes","No"),"No")</f>
        <v>No</v>
      </c>
    </row>
    <row r="38" spans="2:6" s="3" customFormat="1" ht="15.75">
      <c r="B38" s="262"/>
      <c r="C38" s="245"/>
      <c r="D38" s="694"/>
      <c r="E38" s="246"/>
      <c r="F38" s="247"/>
    </row>
    <row r="39" spans="2:7" s="3" customFormat="1" ht="15.75">
      <c r="B39" s="53" t="s">
        <v>91</v>
      </c>
      <c r="C39" s="861" t="s">
        <v>109</v>
      </c>
      <c r="D39" s="862"/>
      <c r="E39" s="248"/>
      <c r="G39" s="11" t="s">
        <v>252</v>
      </c>
    </row>
    <row r="40" spans="2:7" s="3" customFormat="1" ht="15.75">
      <c r="B40" s="16" t="s">
        <v>92</v>
      </c>
      <c r="C40" s="863"/>
      <c r="D40" s="864"/>
      <c r="E40" s="249"/>
      <c r="G40" s="11"/>
    </row>
    <row r="41" spans="2:7" s="3" customFormat="1" ht="15.75">
      <c r="B41" s="250"/>
      <c r="C41" s="856" t="str">
        <f>CONCATENATE("Nov. 1, ",H1-1," Valuation")</f>
        <v>Nov. 1, -1 Valuation</v>
      </c>
      <c r="D41" s="857"/>
      <c r="E41" s="248"/>
      <c r="G41" s="11"/>
    </row>
    <row r="42" spans="2:7" s="3" customFormat="1" ht="15.75">
      <c r="B42" s="250" t="s">
        <v>253</v>
      </c>
      <c r="E42" s="8"/>
      <c r="G42" s="11"/>
    </row>
    <row r="43" spans="2:7" s="3" customFormat="1" ht="15.75">
      <c r="B43" s="251"/>
      <c r="C43" s="251"/>
      <c r="E43" s="662" t="s">
        <v>728</v>
      </c>
      <c r="F43" s="662"/>
      <c r="G43" s="662"/>
    </row>
    <row r="44" spans="2:7" s="3" customFormat="1" ht="15.75">
      <c r="B44" s="252"/>
      <c r="C44" s="252"/>
      <c r="E44" s="663"/>
      <c r="F44" s="663"/>
      <c r="G44" s="663"/>
    </row>
    <row r="45" spans="2:7" s="3" customFormat="1" ht="15.75">
      <c r="B45" s="250" t="s">
        <v>118</v>
      </c>
      <c r="E45" s="662" t="s">
        <v>728</v>
      </c>
      <c r="F45" s="662"/>
      <c r="G45" s="662"/>
    </row>
    <row r="46" spans="2:7" s="3" customFormat="1" ht="15.75">
      <c r="B46" s="251"/>
      <c r="C46" s="251"/>
      <c r="D46" s="11"/>
      <c r="E46" s="662"/>
      <c r="F46" s="662"/>
      <c r="G46" s="662"/>
    </row>
    <row r="47" spans="2:7" s="3" customFormat="1" ht="15.75">
      <c r="B47" s="252"/>
      <c r="C47" s="252"/>
      <c r="D47" s="11"/>
      <c r="E47" s="662" t="s">
        <v>728</v>
      </c>
      <c r="F47" s="664"/>
      <c r="G47" s="664"/>
    </row>
    <row r="48" spans="2:8" ht="15.75">
      <c r="B48" s="250" t="s">
        <v>712</v>
      </c>
      <c r="C48" s="3"/>
      <c r="D48" s="11"/>
      <c r="E48" s="665"/>
      <c r="F48" s="662"/>
      <c r="G48" s="662"/>
      <c r="H48" s="77"/>
    </row>
    <row r="49" spans="2:8" ht="15.75">
      <c r="B49" s="251"/>
      <c r="C49" s="251"/>
      <c r="D49" s="11"/>
      <c r="E49" s="662" t="s">
        <v>728</v>
      </c>
      <c r="F49" s="664"/>
      <c r="G49" s="664"/>
      <c r="H49" s="77"/>
    </row>
    <row r="50" spans="2:8" ht="15.75">
      <c r="B50" s="54"/>
      <c r="C50" s="3"/>
      <c r="D50" s="11"/>
      <c r="E50" s="665"/>
      <c r="F50" s="662"/>
      <c r="G50" s="662"/>
      <c r="H50" s="77"/>
    </row>
    <row r="51" spans="2:8" ht="15.75">
      <c r="B51" s="479" t="s">
        <v>120</v>
      </c>
      <c r="C51" s="255">
        <f>H1-1</f>
        <v>-1</v>
      </c>
      <c r="D51" s="11"/>
      <c r="E51" s="662" t="s">
        <v>728</v>
      </c>
      <c r="F51" s="664"/>
      <c r="G51" s="664"/>
      <c r="H51" s="77"/>
    </row>
    <row r="52" spans="2:8" ht="15.75">
      <c r="B52" s="3"/>
      <c r="C52" s="3"/>
      <c r="D52" s="3"/>
      <c r="E52" s="662"/>
      <c r="F52" s="665"/>
      <c r="G52" s="662"/>
      <c r="H52" s="77"/>
    </row>
    <row r="53" spans="2:8" ht="15.75">
      <c r="B53" s="469"/>
      <c r="C53" s="3"/>
      <c r="D53" s="3"/>
      <c r="E53" s="662" t="s">
        <v>728</v>
      </c>
      <c r="F53" s="662"/>
      <c r="G53" s="662"/>
      <c r="H53" s="77"/>
    </row>
    <row r="54" spans="2:7" ht="15.75">
      <c r="B54" s="38" t="s">
        <v>255</v>
      </c>
      <c r="C54" s="3"/>
      <c r="D54" s="3"/>
      <c r="E54" s="859" t="s">
        <v>254</v>
      </c>
      <c r="F54" s="860"/>
      <c r="G54" s="860"/>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54" t="s">
        <v>0</v>
      </c>
      <c r="C58" s="253"/>
      <c r="D58" s="253"/>
      <c r="E58" s="253"/>
      <c r="F58" s="116"/>
      <c r="G58" s="3"/>
    </row>
    <row r="59" spans="2:7" ht="15.75">
      <c r="B59" s="254" t="s">
        <v>1</v>
      </c>
      <c r="C59" s="253"/>
      <c r="D59" s="253"/>
      <c r="E59" s="253"/>
      <c r="F59" s="116"/>
      <c r="G59" s="3"/>
    </row>
    <row r="60" spans="2:7" ht="15.75">
      <c r="B60" s="254"/>
      <c r="C60" s="253"/>
      <c r="D60" s="253"/>
      <c r="E60" s="253"/>
      <c r="F60" s="116"/>
      <c r="G60" s="3"/>
    </row>
    <row r="61" spans="2:7" ht="15.75">
      <c r="B61" s="3"/>
      <c r="C61" s="3"/>
      <c r="D61" s="3"/>
      <c r="E61" s="3"/>
      <c r="F61" s="3"/>
      <c r="G61" s="3"/>
    </row>
    <row r="62" spans="2:7" ht="15.75">
      <c r="B62" s="483"/>
      <c r="C62" s="484"/>
      <c r="D62" s="484"/>
      <c r="E62" s="484"/>
      <c r="F62" s="484"/>
      <c r="G62" s="484"/>
    </row>
    <row r="63" spans="2:7" ht="15.75">
      <c r="B63" s="483"/>
      <c r="C63" s="484"/>
      <c r="D63" s="484"/>
      <c r="E63" s="484"/>
      <c r="F63" s="484"/>
      <c r="G63" s="484"/>
    </row>
    <row r="64" spans="2:7" ht="15.75">
      <c r="B64" s="483"/>
      <c r="C64" s="484"/>
      <c r="D64" s="484"/>
      <c r="E64" s="485"/>
      <c r="F64" s="486"/>
      <c r="G64" s="484"/>
    </row>
  </sheetData>
  <sheetProtection sheet="1"/>
  <mergeCells count="15">
    <mergeCell ref="B1:G1"/>
    <mergeCell ref="F12:F14"/>
    <mergeCell ref="E11:G11"/>
    <mergeCell ref="B6:G6"/>
    <mergeCell ref="B7:G7"/>
    <mergeCell ref="E37:F37"/>
    <mergeCell ref="B3:H3"/>
    <mergeCell ref="C41:D41"/>
    <mergeCell ref="B8:G8"/>
    <mergeCell ref="B9:G9"/>
    <mergeCell ref="B5:G5"/>
    <mergeCell ref="B4:G4"/>
    <mergeCell ref="E54:G54"/>
    <mergeCell ref="C39:D39"/>
    <mergeCell ref="C40:D40"/>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L40" sqref="L40"/>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75">
      <c r="A1" s="3"/>
      <c r="B1" s="3"/>
      <c r="C1" s="2">
        <f>inputPrYr!D3</f>
        <v>0</v>
      </c>
      <c r="D1" s="3"/>
      <c r="E1" s="3"/>
      <c r="F1" s="3"/>
      <c r="G1" s="3"/>
      <c r="H1" s="3"/>
      <c r="I1" s="3"/>
      <c r="J1" s="3">
        <f>inputPrYr!D6</f>
        <v>0</v>
      </c>
    </row>
    <row r="2" spans="1:10" ht="15.75">
      <c r="A2" s="3"/>
      <c r="B2" s="3"/>
      <c r="C2" s="3"/>
      <c r="D2" s="3"/>
      <c r="E2" s="3"/>
      <c r="F2" s="3"/>
      <c r="G2" s="3"/>
      <c r="H2" s="3"/>
      <c r="I2" s="3"/>
      <c r="J2" s="3"/>
    </row>
    <row r="3" spans="1:10" ht="15.75">
      <c r="A3" s="877" t="str">
        <f>CONCATENATE("Computation to Determine Limit for ",J1,"")</f>
        <v>Computation to Determine Limit for 0</v>
      </c>
      <c r="B3" s="865"/>
      <c r="C3" s="865"/>
      <c r="D3" s="865"/>
      <c r="E3" s="865"/>
      <c r="F3" s="865"/>
      <c r="G3" s="865"/>
      <c r="H3" s="865"/>
      <c r="I3" s="865"/>
      <c r="J3" s="865"/>
    </row>
    <row r="4" spans="1:10" ht="15.75">
      <c r="A4" s="3"/>
      <c r="B4" s="3"/>
      <c r="C4" s="3"/>
      <c r="D4" s="3"/>
      <c r="E4" s="865"/>
      <c r="F4" s="865"/>
      <c r="G4" s="865"/>
      <c r="H4" s="112"/>
      <c r="I4" s="3"/>
      <c r="J4" s="223" t="s">
        <v>73</v>
      </c>
    </row>
    <row r="5" spans="1:10" ht="15.75">
      <c r="A5" s="224" t="s">
        <v>74</v>
      </c>
      <c r="B5" s="3" t="str">
        <f>CONCATENATE("Total tax levy amount in ",J1-1,"")</f>
        <v>Total tax levy amount in -1</v>
      </c>
      <c r="C5" s="3"/>
      <c r="D5" s="3"/>
      <c r="E5" s="44"/>
      <c r="F5" s="44"/>
      <c r="G5" s="44"/>
      <c r="H5" s="225" t="s">
        <v>11</v>
      </c>
      <c r="I5" s="44" t="s">
        <v>2</v>
      </c>
      <c r="J5" s="226">
        <f>inputPrYr!E29</f>
        <v>0</v>
      </c>
    </row>
    <row r="6" spans="1:10" ht="15.75">
      <c r="A6" s="224" t="s">
        <v>75</v>
      </c>
      <c r="B6" s="3" t="str">
        <f>CONCATENATE("Debt service levy in ",J1-1,"")</f>
        <v>Debt service levy in -1</v>
      </c>
      <c r="C6" s="3"/>
      <c r="D6" s="3"/>
      <c r="E6" s="44"/>
      <c r="F6" s="44"/>
      <c r="G6" s="44"/>
      <c r="H6" s="225" t="s">
        <v>76</v>
      </c>
      <c r="I6" s="44" t="s">
        <v>2</v>
      </c>
      <c r="J6" s="227">
        <f>inputPrYr!E20</f>
        <v>0</v>
      </c>
    </row>
    <row r="7" spans="1:10" ht="15.75">
      <c r="A7" s="224" t="s">
        <v>77</v>
      </c>
      <c r="B7" s="3" t="s">
        <v>784</v>
      </c>
      <c r="C7" s="3"/>
      <c r="D7" s="3"/>
      <c r="E7" s="44"/>
      <c r="F7" s="44"/>
      <c r="G7" s="44"/>
      <c r="H7" s="44"/>
      <c r="I7" s="44" t="s">
        <v>2</v>
      </c>
      <c r="J7" s="228">
        <f>J5-J6</f>
        <v>0</v>
      </c>
    </row>
    <row r="8" spans="1:10" ht="15.75">
      <c r="A8" s="3"/>
      <c r="B8" s="3"/>
      <c r="C8" s="3"/>
      <c r="D8" s="3"/>
      <c r="E8" s="44"/>
      <c r="F8" s="44"/>
      <c r="G8" s="44"/>
      <c r="H8" s="44"/>
      <c r="I8" s="44"/>
      <c r="J8" s="44"/>
    </row>
    <row r="9" spans="1:10" ht="15.75">
      <c r="A9" s="865" t="str">
        <f>CONCATENATE("",J1-1," Valuation Information for Valuation Adjustments")</f>
        <v>-1 Valuation Information for Valuation Adjustments</v>
      </c>
      <c r="B9" s="839"/>
      <c r="C9" s="839"/>
      <c r="D9" s="839"/>
      <c r="E9" s="839"/>
      <c r="F9" s="839"/>
      <c r="G9" s="839"/>
      <c r="H9" s="839"/>
      <c r="I9" s="839"/>
      <c r="J9" s="839"/>
    </row>
    <row r="10" spans="1:10" ht="15.75">
      <c r="A10" s="3"/>
      <c r="B10" s="3"/>
      <c r="C10" s="3"/>
      <c r="D10" s="3"/>
      <c r="E10" s="44"/>
      <c r="F10" s="44"/>
      <c r="G10" s="44"/>
      <c r="H10" s="44"/>
      <c r="I10" s="44"/>
      <c r="J10" s="44"/>
    </row>
    <row r="11" spans="1:10" ht="15.75">
      <c r="A11" s="224" t="s">
        <v>78</v>
      </c>
      <c r="B11" s="3" t="str">
        <f>CONCATENATE("New improvements for ",J1-1,":")</f>
        <v>New improvements for -1:</v>
      </c>
      <c r="C11" s="3"/>
      <c r="D11" s="3"/>
      <c r="E11" s="225"/>
      <c r="F11" s="225" t="s">
        <v>11</v>
      </c>
      <c r="G11" s="226">
        <f>inputOth!E8</f>
        <v>0</v>
      </c>
      <c r="H11" s="42"/>
      <c r="I11" s="44"/>
      <c r="J11" s="44"/>
    </row>
    <row r="12" spans="1:10" ht="15.75">
      <c r="A12" s="224"/>
      <c r="B12" s="224"/>
      <c r="C12" s="3"/>
      <c r="D12" s="3"/>
      <c r="E12" s="225"/>
      <c r="F12" s="225"/>
      <c r="G12" s="42"/>
      <c r="H12" s="42"/>
      <c r="I12" s="44"/>
      <c r="J12" s="44"/>
    </row>
    <row r="13" spans="1:10" ht="15.75">
      <c r="A13" s="224" t="s">
        <v>79</v>
      </c>
      <c r="B13" s="3" t="str">
        <f>CONCATENATE("Increase in personal property for ",J1-1,":")</f>
        <v>Increase in personal property for -1:</v>
      </c>
      <c r="C13" s="3"/>
      <c r="D13" s="3"/>
      <c r="E13" s="225"/>
      <c r="F13" s="225"/>
      <c r="G13" s="42"/>
      <c r="H13" s="42"/>
      <c r="I13" s="44"/>
      <c r="J13" s="44"/>
    </row>
    <row r="14" spans="1:10" ht="15.75">
      <c r="A14" s="3"/>
      <c r="B14" s="3" t="s">
        <v>80</v>
      </c>
      <c r="C14" s="3" t="str">
        <f>CONCATENATE("Personal property ",J1-1,"")</f>
        <v>Personal property -1</v>
      </c>
      <c r="D14" s="224" t="s">
        <v>11</v>
      </c>
      <c r="E14" s="226">
        <f>inputOth!E9</f>
        <v>0</v>
      </c>
      <c r="F14" s="225"/>
      <c r="G14" s="44"/>
      <c r="H14" s="44"/>
      <c r="I14" s="42"/>
      <c r="J14" s="44"/>
    </row>
    <row r="15" spans="1:10" ht="15.75">
      <c r="A15" s="224"/>
      <c r="B15" s="3" t="s">
        <v>81</v>
      </c>
      <c r="C15" s="3" t="str">
        <f>CONCATENATE("Personal property ",J1-2,"")</f>
        <v>Personal property -2</v>
      </c>
      <c r="D15" s="224" t="s">
        <v>76</v>
      </c>
      <c r="E15" s="228">
        <f>inputOth!E11</f>
        <v>0</v>
      </c>
      <c r="F15" s="225"/>
      <c r="G15" s="42"/>
      <c r="H15" s="42"/>
      <c r="I15" s="44"/>
      <c r="J15" s="44"/>
    </row>
    <row r="16" spans="1:10" ht="15.75">
      <c r="A16" s="224"/>
      <c r="B16" s="3" t="s">
        <v>82</v>
      </c>
      <c r="C16" s="3" t="s">
        <v>785</v>
      </c>
      <c r="D16" s="3"/>
      <c r="E16" s="44"/>
      <c r="F16" s="44" t="s">
        <v>11</v>
      </c>
      <c r="G16" s="226">
        <f>IF(E14&gt;E15,E14-E15,0)</f>
        <v>0</v>
      </c>
      <c r="H16" s="42"/>
      <c r="I16" s="44"/>
      <c r="J16" s="44"/>
    </row>
    <row r="17" spans="1:10" ht="15.75">
      <c r="A17" s="224"/>
      <c r="B17" s="224"/>
      <c r="C17" s="3"/>
      <c r="D17" s="3"/>
      <c r="E17" s="44"/>
      <c r="F17" s="44"/>
      <c r="G17" s="42" t="s">
        <v>90</v>
      </c>
      <c r="H17" s="42"/>
      <c r="I17" s="44"/>
      <c r="J17" s="44"/>
    </row>
    <row r="18" spans="1:10" ht="15.75">
      <c r="A18" s="224" t="s">
        <v>83</v>
      </c>
      <c r="B18" s="3" t="str">
        <f>CONCATENATE("Valuation of property that changed in use during ",J1-1,":")</f>
        <v>Valuation of property that changed in use during -1:</v>
      </c>
      <c r="C18" s="3"/>
      <c r="D18" s="3"/>
      <c r="E18" s="44"/>
      <c r="F18" s="225" t="s">
        <v>11</v>
      </c>
      <c r="G18" s="226">
        <f>inputOth!E10</f>
        <v>0</v>
      </c>
      <c r="H18" s="44"/>
      <c r="I18" s="44"/>
      <c r="J18" s="44"/>
    </row>
    <row r="19" spans="1:10" ht="15.75">
      <c r="A19" s="3" t="s">
        <v>239</v>
      </c>
      <c r="B19" s="3"/>
      <c r="C19" s="3"/>
      <c r="D19" s="224"/>
      <c r="E19" s="42"/>
      <c r="F19" s="42"/>
      <c r="G19" s="42"/>
      <c r="H19" s="44"/>
      <c r="I19" s="44"/>
      <c r="J19" s="44"/>
    </row>
    <row r="20" spans="1:10" ht="15.75">
      <c r="A20" s="224" t="s">
        <v>84</v>
      </c>
      <c r="B20" s="3" t="s">
        <v>786</v>
      </c>
      <c r="C20" s="3"/>
      <c r="D20" s="3"/>
      <c r="E20" s="44"/>
      <c r="F20" s="44"/>
      <c r="G20" s="226">
        <f>G11+G16+G18</f>
        <v>0</v>
      </c>
      <c r="H20" s="42"/>
      <c r="I20" s="44"/>
      <c r="J20" s="44"/>
    </row>
    <row r="21" spans="1:10" ht="15.75">
      <c r="A21" s="224"/>
      <c r="B21" s="224"/>
      <c r="C21" s="3"/>
      <c r="D21" s="3"/>
      <c r="E21" s="44"/>
      <c r="F21" s="44"/>
      <c r="G21" s="42"/>
      <c r="H21" s="42"/>
      <c r="I21" s="44"/>
      <c r="J21" s="44"/>
    </row>
    <row r="22" spans="1:10" ht="15.75">
      <c r="A22" s="224" t="s">
        <v>85</v>
      </c>
      <c r="B22" s="3" t="str">
        <f>CONCATENATE("Total estimated valuation July 1,",J1-1,"")</f>
        <v>Total estimated valuation July 1,-1</v>
      </c>
      <c r="C22" s="3"/>
      <c r="D22" s="3"/>
      <c r="E22" s="226">
        <f>inputOth!E7</f>
        <v>0</v>
      </c>
      <c r="F22" s="44"/>
      <c r="G22" s="44"/>
      <c r="H22" s="44"/>
      <c r="I22" s="225"/>
      <c r="J22" s="44"/>
    </row>
    <row r="23" spans="1:10" ht="15.75">
      <c r="A23" s="224"/>
      <c r="B23" s="224"/>
      <c r="C23" s="3"/>
      <c r="D23" s="3"/>
      <c r="E23" s="42"/>
      <c r="F23" s="44"/>
      <c r="G23" s="44"/>
      <c r="H23" s="44"/>
      <c r="I23" s="225"/>
      <c r="J23" s="44"/>
    </row>
    <row r="24" spans="1:10" ht="15.75">
      <c r="A24" s="224" t="s">
        <v>86</v>
      </c>
      <c r="B24" s="3" t="s">
        <v>787</v>
      </c>
      <c r="C24" s="3"/>
      <c r="D24" s="3"/>
      <c r="E24" s="44"/>
      <c r="F24" s="44"/>
      <c r="G24" s="226">
        <f>E22-G20</f>
        <v>0</v>
      </c>
      <c r="H24" s="42"/>
      <c r="I24" s="225"/>
      <c r="J24" s="44"/>
    </row>
    <row r="25" spans="1:10" ht="15.75">
      <c r="A25" s="224"/>
      <c r="B25" s="224"/>
      <c r="C25" s="3"/>
      <c r="D25" s="3"/>
      <c r="E25" s="3"/>
      <c r="F25" s="3"/>
      <c r="G25" s="229"/>
      <c r="H25" s="8"/>
      <c r="I25" s="224"/>
      <c r="J25" s="3"/>
    </row>
    <row r="26" spans="1:10" ht="15.75">
      <c r="A26" s="224" t="s">
        <v>87</v>
      </c>
      <c r="B26" s="3" t="s">
        <v>788</v>
      </c>
      <c r="C26" s="3"/>
      <c r="D26" s="3"/>
      <c r="E26" s="3"/>
      <c r="F26" s="3"/>
      <c r="G26" s="230">
        <f>IF(G20&gt;0,G20/G24,0)</f>
        <v>0</v>
      </c>
      <c r="H26" s="8"/>
      <c r="I26" s="3"/>
      <c r="J26" s="3"/>
    </row>
    <row r="27" spans="1:10" ht="15.75">
      <c r="A27" s="224"/>
      <c r="B27" s="224"/>
      <c r="C27" s="3"/>
      <c r="D27" s="3"/>
      <c r="E27" s="3"/>
      <c r="F27" s="3"/>
      <c r="G27" s="8"/>
      <c r="H27" s="8"/>
      <c r="I27" s="3"/>
      <c r="J27" s="3"/>
    </row>
    <row r="28" spans="1:10" ht="15.75">
      <c r="A28" s="224" t="s">
        <v>88</v>
      </c>
      <c r="B28" s="3" t="s">
        <v>789</v>
      </c>
      <c r="C28" s="3"/>
      <c r="D28" s="3"/>
      <c r="E28" s="3"/>
      <c r="F28" s="3"/>
      <c r="G28" s="8"/>
      <c r="H28" s="231" t="s">
        <v>11</v>
      </c>
      <c r="I28" s="3" t="s">
        <v>2</v>
      </c>
      <c r="J28" s="226">
        <f>ROUND(G26*J7,0)</f>
        <v>0</v>
      </c>
    </row>
    <row r="29" spans="1:10" ht="15.75">
      <c r="A29" s="224"/>
      <c r="B29" s="224"/>
      <c r="C29" s="3"/>
      <c r="D29" s="3"/>
      <c r="E29" s="3"/>
      <c r="F29" s="3"/>
      <c r="G29" s="8"/>
      <c r="H29" s="231"/>
      <c r="I29" s="3"/>
      <c r="J29" s="42"/>
    </row>
    <row r="30" spans="1:10" ht="16.5" thickBot="1">
      <c r="A30" s="224" t="s">
        <v>89</v>
      </c>
      <c r="B30" s="3" t="str">
        <f>CONCATENATE(J1," budget tax levy, excluding debt service,  prior to CPI adjustment (3 plus 11)")</f>
        <v>0 budget tax levy, excluding debt service,  prior to CPI adjustment (3 plus 11)</v>
      </c>
      <c r="C30" s="3"/>
      <c r="D30" s="3"/>
      <c r="E30" s="3"/>
      <c r="F30" s="3"/>
      <c r="G30" s="3"/>
      <c r="H30" s="3"/>
      <c r="I30" s="3" t="s">
        <v>2</v>
      </c>
      <c r="J30" s="232">
        <f>J7+J28</f>
        <v>0</v>
      </c>
    </row>
    <row r="31" spans="1:10" ht="16.5" thickTop="1">
      <c r="A31" s="3"/>
      <c r="B31" s="3"/>
      <c r="C31" s="3"/>
      <c r="D31" s="3"/>
      <c r="E31" s="3"/>
      <c r="F31" s="3"/>
      <c r="G31" s="3"/>
      <c r="H31" s="3"/>
      <c r="I31" s="3"/>
      <c r="J31" s="3"/>
    </row>
    <row r="32" spans="1:10" ht="15.75">
      <c r="A32" s="224" t="s">
        <v>101</v>
      </c>
      <c r="B32" s="3" t="str">
        <f>CONCATENATE("Debt service levy in this ",J1," budget")</f>
        <v>Debt service levy in this 0 budget</v>
      </c>
      <c r="C32" s="3"/>
      <c r="D32" s="3"/>
      <c r="E32" s="3"/>
      <c r="F32" s="3"/>
      <c r="G32" s="3"/>
      <c r="H32" s="3"/>
      <c r="I32" s="3"/>
      <c r="J32" s="226">
        <f>'DebtSvs-Library'!E42</f>
        <v>0</v>
      </c>
    </row>
    <row r="33" spans="1:10" ht="15.75">
      <c r="A33" s="224"/>
      <c r="B33" s="3"/>
      <c r="C33" s="3"/>
      <c r="D33" s="3"/>
      <c r="E33" s="3"/>
      <c r="F33" s="3"/>
      <c r="G33" s="3"/>
      <c r="H33" s="3"/>
      <c r="I33" s="3"/>
      <c r="J33" s="8"/>
    </row>
    <row r="34" spans="1:10" ht="16.5" thickBot="1">
      <c r="A34" s="224" t="s">
        <v>102</v>
      </c>
      <c r="B34" s="3" t="str">
        <f>CONCATENATE(J1," budget tax levy, including debt service, prior to CPI adjustment (12 plus 13)")</f>
        <v>0 budget tax levy, including debt service, prior to CPI adjustment (12 plus 13)</v>
      </c>
      <c r="C34" s="3"/>
      <c r="D34" s="3"/>
      <c r="E34" s="3"/>
      <c r="F34" s="3"/>
      <c r="G34" s="3"/>
      <c r="H34" s="3"/>
      <c r="I34" s="3"/>
      <c r="J34" s="232">
        <f>J30+J32</f>
        <v>0</v>
      </c>
    </row>
    <row r="35" spans="1:10" ht="16.5" thickTop="1">
      <c r="A35" s="703"/>
      <c r="B35" s="702"/>
      <c r="C35" s="702"/>
      <c r="D35" s="702"/>
      <c r="E35" s="702"/>
      <c r="F35" s="702"/>
      <c r="G35" s="702"/>
      <c r="H35" s="702"/>
      <c r="I35" s="702"/>
      <c r="J35" s="700"/>
    </row>
    <row r="36" spans="1:10" ht="15.75">
      <c r="A36" s="705" t="s">
        <v>778</v>
      </c>
      <c r="B36" s="702" t="str">
        <f>CONCATENATE("Consumer Price Index for all urban consumers for calendar year ",J1-2)</f>
        <v>Consumer Price Index for all urban consumers for calendar year -2</v>
      </c>
      <c r="C36" s="702"/>
      <c r="D36" s="702"/>
      <c r="E36" s="702"/>
      <c r="F36" s="702"/>
      <c r="G36" s="702"/>
      <c r="H36" s="702"/>
      <c r="I36" s="702"/>
      <c r="J36" s="833">
        <f>inputPrYr!D8</f>
        <v>0</v>
      </c>
    </row>
    <row r="37" spans="1:10" ht="15.75">
      <c r="A37" s="705"/>
      <c r="B37" s="702"/>
      <c r="C37" s="702"/>
      <c r="D37" s="702"/>
      <c r="E37" s="702"/>
      <c r="F37" s="702"/>
      <c r="G37" s="702"/>
      <c r="H37" s="702"/>
      <c r="I37" s="702"/>
      <c r="J37" s="706"/>
    </row>
    <row r="38" spans="1:10" ht="15.75">
      <c r="A38" s="705" t="s">
        <v>779</v>
      </c>
      <c r="B38" s="702" t="s">
        <v>780</v>
      </c>
      <c r="C38" s="702"/>
      <c r="D38" s="702"/>
      <c r="E38" s="702"/>
      <c r="F38" s="702"/>
      <c r="G38" s="702"/>
      <c r="H38" s="702"/>
      <c r="I38" s="701" t="s">
        <v>2</v>
      </c>
      <c r="J38" s="699">
        <f>ROUND(J7*J36,0)</f>
        <v>0</v>
      </c>
    </row>
    <row r="39" spans="1:10" ht="15.75">
      <c r="A39" s="703"/>
      <c r="B39" s="702"/>
      <c r="C39" s="702"/>
      <c r="D39" s="702"/>
      <c r="E39" s="702"/>
      <c r="F39" s="702"/>
      <c r="G39" s="702"/>
      <c r="H39" s="702"/>
      <c r="I39" s="702"/>
      <c r="J39" s="700"/>
    </row>
    <row r="40" spans="1:10" ht="15.75">
      <c r="A40" s="703" t="s">
        <v>781</v>
      </c>
      <c r="B40" s="702" t="str">
        <f>CONCATENATE("Maximum levy for budget year ",J1,", including debt service, not requiring 'notice of vote publication'")</f>
        <v>Maximum levy for budget year 0, including debt service, not requiring 'notice of vote publication'</v>
      </c>
      <c r="C40" s="702"/>
      <c r="D40" s="702"/>
      <c r="E40" s="702"/>
      <c r="F40" s="702"/>
      <c r="G40" s="702"/>
      <c r="H40" s="702"/>
      <c r="I40" s="702"/>
      <c r="J40" s="698"/>
    </row>
    <row r="41" spans="1:10" ht="19.5" thickBot="1">
      <c r="A41" s="697"/>
      <c r="B41" s="701" t="s">
        <v>831</v>
      </c>
      <c r="C41" s="697"/>
      <c r="D41" s="697"/>
      <c r="E41" s="697"/>
      <c r="F41" s="697"/>
      <c r="G41" s="697"/>
      <c r="H41" s="697"/>
      <c r="I41" s="701" t="s">
        <v>2</v>
      </c>
      <c r="J41" s="704">
        <f>J34+J38</f>
        <v>0</v>
      </c>
    </row>
    <row r="42" spans="1:10" ht="19.5" thickTop="1">
      <c r="A42" s="697"/>
      <c r="B42" s="707"/>
      <c r="C42" s="697"/>
      <c r="D42" s="697"/>
      <c r="E42" s="697"/>
      <c r="F42" s="697"/>
      <c r="G42" s="697"/>
      <c r="H42" s="697"/>
      <c r="I42" s="701"/>
      <c r="J42" s="700"/>
    </row>
    <row r="43" spans="1:10" ht="18.75">
      <c r="A43" s="697"/>
      <c r="B43" s="707"/>
      <c r="C43" s="697"/>
      <c r="D43" s="697"/>
      <c r="E43" s="697"/>
      <c r="F43" s="697"/>
      <c r="G43" s="697"/>
      <c r="H43" s="697"/>
      <c r="I43" s="701"/>
      <c r="J43" s="700"/>
    </row>
    <row r="44" spans="1:10" ht="15" customHeight="1">
      <c r="A44" s="880" t="str">
        <f>CONCATENATE("If the ",J1," adopted budget includes a total property tax levy exceeding the dollar amount in line 17")</f>
        <v>If the 0 adopted budget includes a total property tax levy exceeding the dollar amount in line 17</v>
      </c>
      <c r="B44" s="880"/>
      <c r="C44" s="880"/>
      <c r="D44" s="880"/>
      <c r="E44" s="880"/>
      <c r="F44" s="880"/>
      <c r="G44" s="880"/>
      <c r="H44" s="880"/>
      <c r="I44" s="880"/>
      <c r="J44" s="880"/>
    </row>
    <row r="45" spans="1:10" ht="31.5" customHeight="1">
      <c r="A45" s="879" t="s">
        <v>832</v>
      </c>
      <c r="B45" s="879"/>
      <c r="C45" s="879"/>
      <c r="D45" s="879"/>
      <c r="E45" s="879"/>
      <c r="F45" s="879"/>
      <c r="G45" s="879"/>
      <c r="H45" s="879"/>
      <c r="I45" s="879"/>
      <c r="J45" s="879"/>
    </row>
    <row r="46" spans="1:10" ht="15" customHeight="1">
      <c r="A46" s="878" t="s">
        <v>782</v>
      </c>
      <c r="B46" s="878"/>
      <c r="C46" s="878"/>
      <c r="D46" s="878"/>
      <c r="E46" s="878"/>
      <c r="F46" s="878"/>
      <c r="G46" s="878"/>
      <c r="H46" s="878"/>
      <c r="I46" s="878"/>
      <c r="J46" s="878"/>
    </row>
    <row r="47" spans="1:10" ht="15" customHeight="1">
      <c r="A47" s="878" t="s">
        <v>783</v>
      </c>
      <c r="B47" s="878"/>
      <c r="C47" s="878"/>
      <c r="D47" s="878"/>
      <c r="E47" s="878"/>
      <c r="F47" s="878"/>
      <c r="G47" s="878"/>
      <c r="H47" s="878"/>
      <c r="I47" s="878"/>
      <c r="J47" s="87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80"/>
  <sheetViews>
    <sheetView zoomScale="85" zoomScaleNormal="85" zoomScalePageLayoutView="0" workbookViewId="0" topLeftCell="A1">
      <selection activeCell="R110" sqref="R110"/>
    </sheetView>
  </sheetViews>
  <sheetFormatPr defaultColWidth="8.796875" defaultRowHeight="15.75"/>
  <cols>
    <col min="1" max="1" width="6.3984375" style="77" customWidth="1"/>
    <col min="2" max="2" width="17.796875" style="68" customWidth="1"/>
    <col min="3" max="3" width="17.3984375" style="68" customWidth="1"/>
    <col min="4" max="6" width="13.69921875" style="68" customWidth="1"/>
    <col min="7" max="8" width="13.59765625" style="68" customWidth="1"/>
    <col min="9" max="9" width="6.296875" style="68" customWidth="1"/>
    <col min="10" max="16384" width="8.796875" style="68" customWidth="1"/>
  </cols>
  <sheetData>
    <row r="1" spans="2:9" ht="15.75">
      <c r="B1" s="2">
        <f>inputPrYr!D3</f>
        <v>0</v>
      </c>
      <c r="C1" s="3"/>
      <c r="D1" s="3"/>
      <c r="E1" s="3"/>
      <c r="F1" s="3"/>
      <c r="G1" s="3"/>
      <c r="H1" s="4"/>
      <c r="I1" s="4">
        <f>inputPrYr!D6</f>
        <v>0</v>
      </c>
    </row>
    <row r="2" spans="2:9" ht="15.75">
      <c r="B2" s="2">
        <f>inputPrYr!D4</f>
        <v>0</v>
      </c>
      <c r="C2" s="3"/>
      <c r="D2" s="3"/>
      <c r="E2" s="3"/>
      <c r="F2" s="41"/>
      <c r="G2" s="41"/>
      <c r="H2" s="41"/>
      <c r="I2" s="77"/>
    </row>
    <row r="3" spans="2:9" ht="15.75">
      <c r="B3" s="2"/>
      <c r="C3" s="3"/>
      <c r="D3" s="3"/>
      <c r="E3" s="3"/>
      <c r="F3" s="41"/>
      <c r="G3" s="41"/>
      <c r="H3" s="41"/>
      <c r="I3" s="77"/>
    </row>
    <row r="4" spans="2:9" ht="15.75">
      <c r="B4" s="2"/>
      <c r="C4" s="3"/>
      <c r="D4" s="3"/>
      <c r="E4" s="3"/>
      <c r="F4" s="41"/>
      <c r="G4" s="41"/>
      <c r="H4" s="41"/>
      <c r="I4" s="77"/>
    </row>
    <row r="5" spans="2:9" ht="15.75">
      <c r="B5" s="3"/>
      <c r="C5" s="3"/>
      <c r="D5" s="3"/>
      <c r="E5" s="3"/>
      <c r="F5" s="3"/>
      <c r="G5" s="3"/>
      <c r="H5" s="3"/>
      <c r="I5" s="77"/>
    </row>
    <row r="6" spans="1:9" ht="15.75">
      <c r="A6" s="881" t="s">
        <v>812</v>
      </c>
      <c r="B6" s="881"/>
      <c r="C6" s="881"/>
      <c r="D6" s="881"/>
      <c r="E6" s="881"/>
      <c r="F6" s="881"/>
      <c r="G6" s="881"/>
      <c r="H6" s="881"/>
      <c r="I6" s="839"/>
    </row>
    <row r="7" spans="2:9" ht="15.75">
      <c r="B7" s="217"/>
      <c r="C7" s="127"/>
      <c r="D7" s="127"/>
      <c r="E7" s="127"/>
      <c r="F7" s="127"/>
      <c r="G7" s="41"/>
      <c r="H7" s="127"/>
      <c r="I7" s="127"/>
    </row>
    <row r="8" spans="2:9" ht="15.75">
      <c r="B8" s="3"/>
      <c r="C8" s="218"/>
      <c r="D8" s="219"/>
      <c r="E8" s="132"/>
      <c r="F8" s="3"/>
      <c r="G8" s="41"/>
      <c r="H8" s="8"/>
      <c r="I8" s="497"/>
    </row>
    <row r="9" spans="2:10" ht="21" customHeight="1">
      <c r="B9" s="158" t="s">
        <v>644</v>
      </c>
      <c r="C9" s="866" t="str">
        <f>CONCATENATE("Tax Levy Amount in ",I1-1," Budget")</f>
        <v>Tax Levy Amount in -1 Budget</v>
      </c>
      <c r="D9" s="869" t="str">
        <f>CONCATENATE("Allocation for Year ",I1,"")</f>
        <v>Allocation for Year 0</v>
      </c>
      <c r="E9" s="882"/>
      <c r="F9" s="882"/>
      <c r="G9" s="882"/>
      <c r="H9" s="883"/>
      <c r="I9" s="77"/>
      <c r="J9" s="496"/>
    </row>
    <row r="10" spans="2:10" ht="15.75" customHeight="1">
      <c r="B10" s="15" t="str">
        <f>CONCATENATE("for ",I1-1,"")</f>
        <v>for -1</v>
      </c>
      <c r="C10" s="884"/>
      <c r="D10" s="15" t="s">
        <v>71</v>
      </c>
      <c r="E10" s="15" t="s">
        <v>72</v>
      </c>
      <c r="F10" s="15" t="s">
        <v>106</v>
      </c>
      <c r="G10" s="770" t="s">
        <v>823</v>
      </c>
      <c r="H10" s="770" t="s">
        <v>824</v>
      </c>
      <c r="I10" s="77"/>
      <c r="J10" s="496"/>
    </row>
    <row r="11" spans="2:10" ht="15.75">
      <c r="B11" s="72" t="str">
        <f>inputPrYr!B19</f>
        <v>General</v>
      </c>
      <c r="C11" s="148" t="str">
        <f>IF(inputPrYr!E19&gt;0,inputPrYr!E19,"  ")</f>
        <v>  </v>
      </c>
      <c r="D11" s="148">
        <f>IF(inputPrYr!E19=0,0,D23-SUM(D12:D20))</f>
        <v>0</v>
      </c>
      <c r="E11" s="148">
        <f>IF(inputPrYr!E19=0,0,E25-SUM(E12:E20))</f>
        <v>0</v>
      </c>
      <c r="F11" s="148">
        <f>IF(inputPrYr!E19=0,0,F27-SUM(F12:F20))</f>
        <v>0</v>
      </c>
      <c r="G11" s="148">
        <f>IF(inputPrYr!E19=0,0,G29-SUM(G12:G20))</f>
        <v>0</v>
      </c>
      <c r="H11" s="148">
        <f>IF(inputPrYr!E19=0,0,H31-SUM(H12:H20))</f>
        <v>0</v>
      </c>
      <c r="I11" s="77"/>
      <c r="J11" s="496"/>
    </row>
    <row r="12" spans="2:10" ht="15.75">
      <c r="B12" s="72" t="str">
        <f>inputPrYr!B20</f>
        <v>Debt Service</v>
      </c>
      <c r="C12" s="148">
        <f>IF(inputPrYr!E20&gt;=0,inputPrYr!E20,"  ")</f>
        <v>0</v>
      </c>
      <c r="D12" s="148">
        <f>IF(inputPrYr!E20=0,0,ROUND(C12*$D$34,0))</f>
        <v>0</v>
      </c>
      <c r="E12" s="148">
        <f>IF(inputPrYr!$E$20=0,0,ROUND($C$12*$E$36,0))</f>
        <v>0</v>
      </c>
      <c r="F12" s="148">
        <f>IF(inputPrYr!E20=0,0,ROUND($C12*$F$38,0))</f>
        <v>0</v>
      </c>
      <c r="G12" s="148">
        <f>IF(inputPrYr!E20=0,0,ROUND($C12*$G$40,0))</f>
        <v>0</v>
      </c>
      <c r="H12" s="148">
        <f>IF(inputPrYr!E20=0,0,ROUND($C12*$H$42,0))</f>
        <v>0</v>
      </c>
      <c r="I12" s="77"/>
      <c r="J12" s="496"/>
    </row>
    <row r="13" spans="2:10" ht="15.75">
      <c r="B13" s="72" t="str">
        <f>inputPrYr!B21</f>
        <v>Library</v>
      </c>
      <c r="C13" s="148">
        <f>IF(inputPrYr!E21&gt;=0,inputPrYr!E21,"  ")</f>
        <v>0</v>
      </c>
      <c r="D13" s="148">
        <f>IF(inputPrYr!E21=0,0,ROUND(C13*$D$34,0))</f>
        <v>0</v>
      </c>
      <c r="E13" s="148">
        <f>IF(inputPrYr!$E$21=0,0,ROUND($C$13*$E$36,0))</f>
        <v>0</v>
      </c>
      <c r="F13" s="148">
        <f>IF(inputPrYr!E21=0,0,ROUND($C13*$F$38,0))</f>
        <v>0</v>
      </c>
      <c r="G13" s="148">
        <f>IF(inputPrYr!E21=0,0,ROUND($C13*$G$40,0))</f>
        <v>0</v>
      </c>
      <c r="H13" s="148">
        <f>IF(inputPrYr!E21=0,0,ROUND($C13*$H$42,0))</f>
        <v>0</v>
      </c>
      <c r="I13" s="77"/>
      <c r="J13" s="496"/>
    </row>
    <row r="14" spans="2:10" ht="15.75">
      <c r="B14" s="72" t="str">
        <f>IF(inputPrYr!$B22&gt;"  ",inputPrYr!$B22,"  ")</f>
        <v>Road</v>
      </c>
      <c r="C14" s="148">
        <f>IF(inputPrYr!E22&gt;=0,inputPrYr!E22,"  ")</f>
        <v>0</v>
      </c>
      <c r="D14" s="148">
        <f>IF(inputPrYr!E22=0,0,ROUND(C14*$D$34,0))</f>
        <v>0</v>
      </c>
      <c r="E14" s="148">
        <f>IF(inputPrYr!$E$22=0,0,ROUND($C$14*$E$36,0))</f>
        <v>0</v>
      </c>
      <c r="F14" s="148">
        <f>IF(inputPrYr!E22=0,0,ROUND($C14*$F$38,0))</f>
        <v>0</v>
      </c>
      <c r="G14" s="148">
        <f>IF(inputPrYr!E22=0,0,ROUND($C14*$G$40,0))</f>
        <v>0</v>
      </c>
      <c r="H14" s="148">
        <f>IF(inputPrYr!E22=0,0,ROUND($C14*$H$42,0))</f>
        <v>0</v>
      </c>
      <c r="I14" s="77"/>
      <c r="J14" s="496"/>
    </row>
    <row r="15" spans="2:10" ht="15.75">
      <c r="B15" s="72" t="str">
        <f>IF(inputPrYr!$B23&gt;"  ",inputPrYr!$B23,"  ")</f>
        <v>  </v>
      </c>
      <c r="C15" s="148">
        <f>IF(inputPrYr!E23&gt;=0,inputPrYr!E23,"  ")</f>
        <v>0</v>
      </c>
      <c r="D15" s="148">
        <f>IF(inputPrYr!E23=0,0,ROUND(C15*$D$34,0))</f>
        <v>0</v>
      </c>
      <c r="E15" s="148">
        <f>IF(inputPrYr!$E$23=0,0,ROUND($C$15*$E$36,0))</f>
        <v>0</v>
      </c>
      <c r="F15" s="148">
        <f>IF(inputPrYr!E23=0,0,ROUND($C15*$F$38,0))</f>
        <v>0</v>
      </c>
      <c r="G15" s="148">
        <f>IF(inputPrYr!E23=0,0,ROUND($C15*$G$40,0))</f>
        <v>0</v>
      </c>
      <c r="H15" s="148">
        <f>IF(inputPrYr!E23=0,0,ROUND($C15*$H$42,0))</f>
        <v>0</v>
      </c>
      <c r="I15" s="77"/>
      <c r="J15" s="496"/>
    </row>
    <row r="16" spans="2:10" ht="15.75">
      <c r="B16" s="72" t="str">
        <f>IF(inputPrYr!$B24&gt;"  ",inputPrYr!$B24,"  ")</f>
        <v>  </v>
      </c>
      <c r="C16" s="148">
        <f>IF(inputPrYr!E24&gt;=0,inputPrYr!E24,"  ")</f>
        <v>0</v>
      </c>
      <c r="D16" s="148">
        <f>IF(inputPrYr!E24=0,0,ROUND(C16*$D$34,0))</f>
        <v>0</v>
      </c>
      <c r="E16" s="148">
        <f>IF(inputPrYr!$E$24=0,0,ROUND($C$16*$E$36,0))</f>
        <v>0</v>
      </c>
      <c r="F16" s="148">
        <f>IF(inputPrYr!E24=0,0,ROUND($C16*$F$38,0))</f>
        <v>0</v>
      </c>
      <c r="G16" s="148">
        <f>IF(inputPrYr!E24=0,0,ROUND($C16*$G$40,0))</f>
        <v>0</v>
      </c>
      <c r="H16" s="148">
        <f>IF(inputPrYr!E24=0,0,ROUND($C16*$H$42,0))</f>
        <v>0</v>
      </c>
      <c r="I16" s="77"/>
      <c r="J16" s="496"/>
    </row>
    <row r="17" spans="2:10" ht="15.75">
      <c r="B17" s="72" t="str">
        <f>IF(inputPrYr!$B25&gt;"  ",inputPrYr!$B25,"  ")</f>
        <v>  </v>
      </c>
      <c r="C17" s="148">
        <f>IF(inputPrYr!E25&gt;=0,inputPrYr!E25,"  ")</f>
        <v>0</v>
      </c>
      <c r="D17" s="148">
        <f>IF(inputPrYr!E25=0,0,ROUND(C17*$D$34,0))</f>
        <v>0</v>
      </c>
      <c r="E17" s="148">
        <f>IF(inputPrYr!$E$25=0,0,ROUND($C$17*$E$36,0))</f>
        <v>0</v>
      </c>
      <c r="F17" s="148">
        <f>IF(inputPrYr!E25=0,0,ROUND($C17*$F$38,0))</f>
        <v>0</v>
      </c>
      <c r="G17" s="148">
        <f>IF(inputPrYr!E25=0,0,ROUND($C17*$G$40,0))</f>
        <v>0</v>
      </c>
      <c r="H17" s="148">
        <f>IF(inputPrYr!E25=0,0,ROUND($C17*$H$42,0))</f>
        <v>0</v>
      </c>
      <c r="I17" s="77"/>
      <c r="J17" s="496"/>
    </row>
    <row r="18" spans="2:10" ht="15.75">
      <c r="B18" s="72" t="str">
        <f>IF(inputPrYr!$B26&gt;"  ",inputPrYr!$B26,"  ")</f>
        <v>  </v>
      </c>
      <c r="C18" s="148">
        <f>IF(inputPrYr!E26&gt;=0,inputPrYr!E26,"  ")</f>
        <v>0</v>
      </c>
      <c r="D18" s="148">
        <f>IF(inputPrYr!E26=0,0,ROUND(C18*$D$34,0))</f>
        <v>0</v>
      </c>
      <c r="E18" s="148">
        <f>IF(inputPrYr!$E$26=0,0,ROUND($C$18*$E$36,0))</f>
        <v>0</v>
      </c>
      <c r="F18" s="148">
        <f>IF(inputPrYr!E26=0,0,ROUND($C18*$F$38,0))</f>
        <v>0</v>
      </c>
      <c r="G18" s="148">
        <f>IF(inputPrYr!E26=0,0,ROUND($C18*$G$40,0))</f>
        <v>0</v>
      </c>
      <c r="H18" s="148">
        <f>IF(inputPrYr!E26=0,0,ROUND($C18*$H$42,0))</f>
        <v>0</v>
      </c>
      <c r="I18" s="77"/>
      <c r="J18" s="496"/>
    </row>
    <row r="19" spans="2:10" ht="15.75">
      <c r="B19" s="72" t="str">
        <f>IF(inputPrYr!$B27&gt;"  ",inputPrYr!$B27,"  ")</f>
        <v>  </v>
      </c>
      <c r="C19" s="148">
        <f>IF(inputPrYr!E27&gt;=0,inputPrYr!E27,"  ")</f>
        <v>0</v>
      </c>
      <c r="D19" s="148">
        <f>IF(inputPrYr!E27=0,0,ROUND(C19*$D$34,0))</f>
        <v>0</v>
      </c>
      <c r="E19" s="148">
        <f>IF(inputPrYr!$E$27=0,0,ROUND($C$19*$E$36,0))</f>
        <v>0</v>
      </c>
      <c r="F19" s="148">
        <f>IF(inputPrYr!E27=0,0,ROUND($C19*$F$38,0))</f>
        <v>0</v>
      </c>
      <c r="G19" s="148">
        <f>IF(inputPrYr!E27=0,0,ROUND($C19*$G$40,0))</f>
        <v>0</v>
      </c>
      <c r="H19" s="148">
        <f>IF(inputPrYr!E27=0,0,ROUND($C19*$H$42,0))</f>
        <v>0</v>
      </c>
      <c r="I19" s="77"/>
      <c r="J19" s="496"/>
    </row>
    <row r="20" spans="2:10" ht="15.75">
      <c r="B20" s="72" t="str">
        <f>IF(inputPrYr!$B28&gt;"  ",inputPrYr!$B28,"  ")</f>
        <v>  </v>
      </c>
      <c r="C20" s="148">
        <f>IF(inputPrYr!E28&gt;=0,inputPrYr!E28,"  ")</f>
        <v>0</v>
      </c>
      <c r="D20" s="148">
        <f>IF(inputPrYr!E28=0,0,ROUND(C20*$D$34,0))</f>
        <v>0</v>
      </c>
      <c r="E20" s="148">
        <f>IF(inputPrYr!$E$28=0,0,ROUND($C$20*$E$36,0))</f>
        <v>0</v>
      </c>
      <c r="F20" s="148">
        <f>IF(inputPrYr!E28=0,0,ROUND($C20*$F$38,0))</f>
        <v>0</v>
      </c>
      <c r="G20" s="148">
        <f>IF(inputPrYr!E28=0,0,ROUND($C20*$G$40,0))</f>
        <v>0</v>
      </c>
      <c r="H20" s="148">
        <f>IF(inputPrYr!E28=0,0,ROUND($C20*$H$42,0))</f>
        <v>0</v>
      </c>
      <c r="I20" s="77"/>
      <c r="J20" s="496"/>
    </row>
    <row r="21" spans="2:10" ht="16.5" thickBot="1">
      <c r="B21" s="60" t="s">
        <v>237</v>
      </c>
      <c r="C21" s="657">
        <f aca="true" t="shared" si="0" ref="C21:H21">SUM(C11:C20)</f>
        <v>0</v>
      </c>
      <c r="D21" s="657">
        <f t="shared" si="0"/>
        <v>0</v>
      </c>
      <c r="E21" s="657">
        <f t="shared" si="0"/>
        <v>0</v>
      </c>
      <c r="F21" s="657">
        <f t="shared" si="0"/>
        <v>0</v>
      </c>
      <c r="G21" s="657">
        <f t="shared" si="0"/>
        <v>0</v>
      </c>
      <c r="H21" s="657">
        <f t="shared" si="0"/>
        <v>0</v>
      </c>
      <c r="I21" s="77"/>
      <c r="J21" s="496"/>
    </row>
    <row r="22" spans="2:9" ht="16.5" thickTop="1">
      <c r="B22" s="3"/>
      <c r="C22" s="3"/>
      <c r="D22" s="3"/>
      <c r="E22" s="3"/>
      <c r="F22" s="3"/>
      <c r="G22" s="3"/>
      <c r="H22" s="3"/>
      <c r="I22" s="77"/>
    </row>
    <row r="23" spans="2:9" ht="15.75">
      <c r="B23" s="766" t="s">
        <v>813</v>
      </c>
      <c r="C23" s="3"/>
      <c r="D23" s="67">
        <f>inputOth!E32</f>
        <v>0</v>
      </c>
      <c r="E23" s="3"/>
      <c r="F23" s="3"/>
      <c r="G23" s="3"/>
      <c r="H23" s="3"/>
      <c r="I23" s="77"/>
    </row>
    <row r="24" spans="2:9" ht="15.75">
      <c r="B24" s="765"/>
      <c r="C24" s="3"/>
      <c r="D24" s="3"/>
      <c r="E24" s="3"/>
      <c r="F24" s="3"/>
      <c r="G24" s="3"/>
      <c r="H24" s="3"/>
      <c r="I24" s="77"/>
    </row>
    <row r="25" spans="2:9" ht="15.75">
      <c r="B25" s="766" t="s">
        <v>814</v>
      </c>
      <c r="C25" s="3"/>
      <c r="D25" s="3"/>
      <c r="E25" s="67">
        <f>inputOth!E33</f>
        <v>0</v>
      </c>
      <c r="F25" s="3"/>
      <c r="G25" s="3"/>
      <c r="H25" s="3"/>
      <c r="I25" s="77"/>
    </row>
    <row r="26" spans="2:9" ht="15.75">
      <c r="B26" s="765"/>
      <c r="C26" s="3"/>
      <c r="D26" s="3"/>
      <c r="E26" s="3"/>
      <c r="F26" s="3"/>
      <c r="G26" s="3"/>
      <c r="H26" s="3"/>
      <c r="I26" s="77"/>
    </row>
    <row r="27" spans="2:9" ht="15.75">
      <c r="B27" s="766" t="s">
        <v>815</v>
      </c>
      <c r="C27" s="3"/>
      <c r="D27" s="3"/>
      <c r="E27" s="3"/>
      <c r="F27" s="67">
        <f>inputOth!E34</f>
        <v>0</v>
      </c>
      <c r="G27" s="13"/>
      <c r="H27" s="13"/>
      <c r="I27" s="77"/>
    </row>
    <row r="28" spans="2:9" ht="15.75">
      <c r="B28" s="765"/>
      <c r="C28" s="3"/>
      <c r="D28" s="3"/>
      <c r="E28" s="3"/>
      <c r="F28" s="13"/>
      <c r="G28" s="13"/>
      <c r="H28" s="13"/>
      <c r="I28" s="77"/>
    </row>
    <row r="29" spans="2:9" ht="15.75">
      <c r="B29" s="765" t="s">
        <v>816</v>
      </c>
      <c r="C29" s="3"/>
      <c r="D29" s="3"/>
      <c r="E29" s="3"/>
      <c r="F29" s="13"/>
      <c r="G29" s="67">
        <f>inputOth!E35</f>
        <v>0</v>
      </c>
      <c r="H29" s="13"/>
      <c r="I29" s="77"/>
    </row>
    <row r="30" spans="2:9" ht="15.75">
      <c r="B30" s="765"/>
      <c r="C30" s="3"/>
      <c r="D30" s="3"/>
      <c r="E30" s="3"/>
      <c r="F30" s="13"/>
      <c r="G30" s="13"/>
      <c r="H30" s="13"/>
      <c r="I30" s="77"/>
    </row>
    <row r="31" spans="2:9" ht="15.75">
      <c r="B31" s="765" t="s">
        <v>817</v>
      </c>
      <c r="C31" s="3"/>
      <c r="D31" s="3"/>
      <c r="E31" s="3"/>
      <c r="F31" s="13"/>
      <c r="G31" s="13"/>
      <c r="H31" s="67">
        <f>inputOth!E36</f>
        <v>0</v>
      </c>
      <c r="I31" s="77"/>
    </row>
    <row r="32" spans="2:9" ht="15.75">
      <c r="B32" s="3"/>
      <c r="C32" s="3"/>
      <c r="D32" s="3"/>
      <c r="E32" s="3"/>
      <c r="F32" s="3"/>
      <c r="G32" s="3"/>
      <c r="H32" s="3"/>
      <c r="I32" s="77"/>
    </row>
    <row r="33" spans="2:9" ht="15.75">
      <c r="B33" s="3"/>
      <c r="C33" s="3"/>
      <c r="D33" s="764"/>
      <c r="E33" s="764"/>
      <c r="F33" s="764"/>
      <c r="G33" s="764"/>
      <c r="H33" s="763"/>
      <c r="I33" s="77"/>
    </row>
    <row r="34" spans="2:9" ht="15.75">
      <c r="B34" s="11"/>
      <c r="C34" s="767" t="s">
        <v>818</v>
      </c>
      <c r="D34" s="762">
        <f>IF(C21=0,0,D23/C21)</f>
        <v>0</v>
      </c>
      <c r="E34" s="764"/>
      <c r="F34" s="764"/>
      <c r="G34" s="764"/>
      <c r="H34" s="764"/>
      <c r="I34" s="77"/>
    </row>
    <row r="35" spans="2:9" ht="15.75">
      <c r="B35" s="3"/>
      <c r="C35" s="3"/>
      <c r="D35" s="764"/>
      <c r="E35" s="764"/>
      <c r="F35" s="764"/>
      <c r="G35" s="764"/>
      <c r="H35" s="764"/>
      <c r="I35" s="77"/>
    </row>
    <row r="36" spans="2:9" ht="15.75">
      <c r="B36" s="11"/>
      <c r="C36" s="11"/>
      <c r="D36" s="768" t="s">
        <v>819</v>
      </c>
      <c r="E36" s="761">
        <f>IF(C21=0,0,E25/C21)</f>
        <v>0</v>
      </c>
      <c r="F36" s="764"/>
      <c r="G36" s="764"/>
      <c r="H36" s="764"/>
      <c r="I36" s="77"/>
    </row>
    <row r="37" spans="2:9" ht="15.75">
      <c r="B37" s="3"/>
      <c r="C37" s="3"/>
      <c r="D37" s="764"/>
      <c r="E37" s="764"/>
      <c r="F37" s="764"/>
      <c r="G37" s="764"/>
      <c r="H37" s="764"/>
      <c r="I37" s="77"/>
    </row>
    <row r="38" spans="2:9" ht="15.75">
      <c r="B38" s="11"/>
      <c r="C38" s="3"/>
      <c r="D38" s="757"/>
      <c r="E38" s="769" t="s">
        <v>820</v>
      </c>
      <c r="F38" s="762">
        <f>IF(C21=0,0,F27/C21)</f>
        <v>0</v>
      </c>
      <c r="G38" s="758"/>
      <c r="H38" s="758"/>
      <c r="I38" s="77"/>
    </row>
    <row r="39" spans="2:9" ht="15.75">
      <c r="B39" s="11"/>
      <c r="C39" s="3"/>
      <c r="D39" s="757"/>
      <c r="E39" s="764"/>
      <c r="F39" s="758"/>
      <c r="G39" s="758"/>
      <c r="H39" s="758"/>
      <c r="I39" s="77"/>
    </row>
    <row r="40" spans="2:9" ht="15.75">
      <c r="B40" s="11"/>
      <c r="C40" s="3"/>
      <c r="D40" s="757"/>
      <c r="E40" s="764"/>
      <c r="F40" s="772" t="s">
        <v>821</v>
      </c>
      <c r="G40" s="762">
        <f>IF(C21=0,0,G29/C21)</f>
        <v>0</v>
      </c>
      <c r="H40" s="758"/>
      <c r="I40" s="77"/>
    </row>
    <row r="41" spans="2:9" ht="15.75">
      <c r="B41" s="11"/>
      <c r="C41" s="3"/>
      <c r="D41" s="757"/>
      <c r="E41" s="764"/>
      <c r="F41" s="758"/>
      <c r="G41" s="758"/>
      <c r="H41" s="758"/>
      <c r="I41" s="77"/>
    </row>
    <row r="42" spans="2:9" ht="15.75">
      <c r="B42" s="11"/>
      <c r="C42" s="3"/>
      <c r="D42" s="757"/>
      <c r="E42" s="764"/>
      <c r="F42" s="758"/>
      <c r="G42" s="773" t="s">
        <v>822</v>
      </c>
      <c r="H42" s="762">
        <f>IF(C21=0,0,H31/C21)</f>
        <v>0</v>
      </c>
      <c r="I42" s="77"/>
    </row>
    <row r="43" spans="2:9" ht="15.75">
      <c r="B43" s="77"/>
      <c r="C43" s="77"/>
      <c r="D43" s="759"/>
      <c r="E43" s="759"/>
      <c r="F43" s="759"/>
      <c r="G43" s="759"/>
      <c r="H43" s="759"/>
      <c r="I43" s="77"/>
    </row>
    <row r="44" spans="2:9" ht="15.75">
      <c r="B44" s="77"/>
      <c r="C44" s="77"/>
      <c r="D44" s="77"/>
      <c r="E44" s="77"/>
      <c r="F44" s="77"/>
      <c r="G44" s="77"/>
      <c r="H44" s="77"/>
      <c r="I44" s="77"/>
    </row>
    <row r="45" ht="15.75">
      <c r="A45" s="727"/>
    </row>
    <row r="46" ht="15.75">
      <c r="A46" s="727"/>
    </row>
    <row r="47" ht="15.75">
      <c r="A47" s="727"/>
    </row>
    <row r="48" spans="1:5" ht="15.75">
      <c r="A48" s="727"/>
      <c r="B48" s="222"/>
      <c r="C48" s="222"/>
      <c r="D48" s="222"/>
      <c r="E48" s="5"/>
    </row>
    <row r="49" ht="15.75">
      <c r="A49" s="727"/>
    </row>
    <row r="50" ht="15.75">
      <c r="A50" s="727"/>
    </row>
    <row r="51" ht="15.75">
      <c r="A51" s="727"/>
    </row>
    <row r="52" ht="15.75">
      <c r="A52" s="727"/>
    </row>
    <row r="53" ht="15.75">
      <c r="A53" s="727"/>
    </row>
    <row r="54" ht="15.75">
      <c r="A54" s="727"/>
    </row>
    <row r="55" ht="15.75">
      <c r="A55" s="727"/>
    </row>
    <row r="56" ht="15.75">
      <c r="A56" s="727"/>
    </row>
    <row r="57" ht="15.75">
      <c r="A57" s="727"/>
    </row>
    <row r="58" ht="15.75">
      <c r="A58" s="727"/>
    </row>
    <row r="59" ht="15.75">
      <c r="A59" s="727"/>
    </row>
    <row r="60" ht="15.75">
      <c r="A60" s="727"/>
    </row>
    <row r="61" ht="15.75">
      <c r="A61" s="727"/>
    </row>
    <row r="62" ht="15.75">
      <c r="A62" s="727"/>
    </row>
    <row r="63" ht="15.75">
      <c r="A63" s="727"/>
    </row>
    <row r="64" ht="15.75">
      <c r="A64" s="727"/>
    </row>
    <row r="65" ht="15.75">
      <c r="A65" s="727"/>
    </row>
    <row r="66" ht="15.75">
      <c r="A66" s="727"/>
    </row>
    <row r="67" ht="15.75">
      <c r="A67" s="727"/>
    </row>
    <row r="68" ht="15.75">
      <c r="A68" s="727"/>
    </row>
    <row r="69" ht="15.75">
      <c r="A69" s="727"/>
    </row>
    <row r="70" ht="15.75">
      <c r="A70" s="727"/>
    </row>
    <row r="71" ht="15.75">
      <c r="A71" s="727"/>
    </row>
    <row r="72" ht="15.75">
      <c r="A72" s="727"/>
    </row>
    <row r="73" ht="15.75">
      <c r="A73" s="727"/>
    </row>
    <row r="74" ht="15.75">
      <c r="A74" s="727"/>
    </row>
    <row r="75" ht="15.75">
      <c r="A75" s="727"/>
    </row>
    <row r="76" ht="15.75">
      <c r="A76" s="727"/>
    </row>
    <row r="77" ht="15.75">
      <c r="A77" s="727"/>
    </row>
    <row r="78" ht="15.75">
      <c r="A78" s="727"/>
    </row>
    <row r="79" ht="15.75">
      <c r="A79" s="727"/>
    </row>
    <row r="80" ht="15.75">
      <c r="A80" s="727"/>
    </row>
    <row r="81" ht="15.75">
      <c r="A81" s="727"/>
    </row>
    <row r="82" ht="15.75">
      <c r="A82" s="727"/>
    </row>
    <row r="83" ht="15.75">
      <c r="A83" s="727"/>
    </row>
    <row r="84" ht="15.75">
      <c r="A84" s="727"/>
    </row>
    <row r="85" ht="15.75">
      <c r="A85" s="727"/>
    </row>
    <row r="86" ht="15.75">
      <c r="A86" s="727"/>
    </row>
    <row r="87" ht="15.75">
      <c r="A87" s="727"/>
    </row>
    <row r="88" ht="15.75">
      <c r="A88" s="727"/>
    </row>
    <row r="89" ht="15.75">
      <c r="A89" s="727"/>
    </row>
    <row r="90" ht="15.75">
      <c r="A90" s="727"/>
    </row>
    <row r="91" ht="15.75">
      <c r="A91" s="727"/>
    </row>
    <row r="92" ht="15.75">
      <c r="A92" s="727"/>
    </row>
    <row r="93" ht="15.75">
      <c r="A93" s="727"/>
    </row>
    <row r="94" ht="15.75">
      <c r="A94" s="727"/>
    </row>
    <row r="95" ht="15.75">
      <c r="A95" s="727"/>
    </row>
    <row r="96" ht="15.75">
      <c r="A96" s="727"/>
    </row>
    <row r="97" ht="15.75">
      <c r="A97" s="727"/>
    </row>
    <row r="98" ht="15.75">
      <c r="A98" s="727"/>
    </row>
    <row r="99" ht="15.75">
      <c r="A99" s="727"/>
    </row>
    <row r="100" ht="15.75">
      <c r="A100" s="727"/>
    </row>
    <row r="101" ht="15.75">
      <c r="A101" s="727"/>
    </row>
    <row r="102" ht="15.75">
      <c r="A102" s="727"/>
    </row>
    <row r="103" ht="15.75">
      <c r="A103" s="727"/>
    </row>
    <row r="104" ht="15.75">
      <c r="A104" s="727"/>
    </row>
    <row r="105" ht="15.75">
      <c r="A105" s="727"/>
    </row>
    <row r="106" ht="15.75">
      <c r="A106" s="727"/>
    </row>
    <row r="107" ht="15.75">
      <c r="A107" s="727"/>
    </row>
    <row r="108" ht="15.75">
      <c r="A108" s="727"/>
    </row>
    <row r="109" ht="15.75">
      <c r="A109" s="727"/>
    </row>
    <row r="110" ht="15.75">
      <c r="A110" s="727"/>
    </row>
    <row r="111" ht="15.75">
      <c r="A111" s="727"/>
    </row>
    <row r="112" ht="15.75">
      <c r="A112" s="727"/>
    </row>
    <row r="113" ht="15.75">
      <c r="A113" s="727"/>
    </row>
    <row r="114" ht="15.75">
      <c r="A114" s="727"/>
    </row>
    <row r="115" ht="15.75">
      <c r="A115" s="727"/>
    </row>
    <row r="116" ht="15.75">
      <c r="A116" s="727"/>
    </row>
    <row r="117" ht="15.75">
      <c r="A117" s="727"/>
    </row>
    <row r="118" ht="15.75">
      <c r="A118" s="727"/>
    </row>
    <row r="119" ht="15.75">
      <c r="A119" s="727"/>
    </row>
    <row r="120" ht="15.75">
      <c r="A120" s="727"/>
    </row>
    <row r="121" ht="15.75">
      <c r="A121" s="727"/>
    </row>
    <row r="122" ht="15.75">
      <c r="A122" s="727"/>
    </row>
    <row r="123" ht="15.75">
      <c r="A123" s="727"/>
    </row>
    <row r="124" ht="15.75">
      <c r="A124" s="727"/>
    </row>
    <row r="125" ht="15.75">
      <c r="A125" s="727"/>
    </row>
    <row r="126" ht="15.75">
      <c r="A126" s="727"/>
    </row>
    <row r="127" ht="15.75">
      <c r="A127" s="727"/>
    </row>
    <row r="128" ht="15.75">
      <c r="A128" s="727"/>
    </row>
    <row r="129" ht="15.75">
      <c r="A129" s="727"/>
    </row>
    <row r="130" ht="15.75">
      <c r="A130" s="727"/>
    </row>
    <row r="131" ht="15.75">
      <c r="A131" s="727"/>
    </row>
    <row r="132" ht="15.75">
      <c r="A132" s="727"/>
    </row>
    <row r="133" ht="15.75">
      <c r="A133" s="727"/>
    </row>
    <row r="134" ht="15.75">
      <c r="A134" s="727"/>
    </row>
    <row r="135" ht="15.75">
      <c r="A135" s="727"/>
    </row>
    <row r="136" ht="15.75">
      <c r="A136" s="727"/>
    </row>
    <row r="137" ht="15.75">
      <c r="A137" s="727"/>
    </row>
    <row r="138" ht="15.75">
      <c r="A138" s="727"/>
    </row>
    <row r="139" ht="15.75">
      <c r="A139" s="727"/>
    </row>
    <row r="140" ht="15.75">
      <c r="A140" s="727"/>
    </row>
    <row r="141" ht="15.75">
      <c r="A141" s="727"/>
    </row>
    <row r="142" ht="15.75">
      <c r="A142" s="727"/>
    </row>
    <row r="143" ht="15.75">
      <c r="A143" s="727"/>
    </row>
    <row r="144" ht="15.75">
      <c r="A144" s="727"/>
    </row>
    <row r="145" ht="15.75">
      <c r="A145" s="727"/>
    </row>
    <row r="146" ht="15.75">
      <c r="A146" s="727"/>
    </row>
    <row r="147" ht="15.75">
      <c r="A147" s="727"/>
    </row>
    <row r="148" ht="15.75">
      <c r="A148" s="727"/>
    </row>
    <row r="149" ht="15.75">
      <c r="A149" s="727"/>
    </row>
    <row r="150" ht="15.75">
      <c r="A150" s="727"/>
    </row>
    <row r="151" ht="15.75">
      <c r="A151" s="727"/>
    </row>
    <row r="152" ht="15.75">
      <c r="A152" s="727"/>
    </row>
    <row r="153" ht="15.75">
      <c r="A153" s="727"/>
    </row>
    <row r="154" ht="15.75">
      <c r="A154" s="727"/>
    </row>
    <row r="155" ht="15.75">
      <c r="A155" s="727"/>
    </row>
    <row r="156" ht="15.75">
      <c r="A156" s="727"/>
    </row>
    <row r="157" ht="15.75">
      <c r="A157" s="727"/>
    </row>
    <row r="158" ht="15.75">
      <c r="A158" s="727"/>
    </row>
    <row r="159" ht="15.75">
      <c r="A159" s="727"/>
    </row>
    <row r="160" ht="15.75">
      <c r="A160" s="727"/>
    </row>
    <row r="161" ht="15.75">
      <c r="A161" s="727"/>
    </row>
    <row r="162" ht="15.75">
      <c r="A162" s="727"/>
    </row>
    <row r="163" ht="15.75">
      <c r="A163" s="727"/>
    </row>
    <row r="164" ht="15.75">
      <c r="A164" s="727"/>
    </row>
    <row r="165" ht="15.75">
      <c r="A165" s="727"/>
    </row>
    <row r="166" ht="15.75">
      <c r="A166" s="727"/>
    </row>
    <row r="167" ht="15.75">
      <c r="A167" s="727"/>
    </row>
    <row r="168" ht="15.75">
      <c r="A168" s="727"/>
    </row>
    <row r="169" ht="15.75">
      <c r="A169" s="727"/>
    </row>
    <row r="170" ht="15.75">
      <c r="A170" s="727"/>
    </row>
    <row r="171" ht="15.75">
      <c r="A171" s="727"/>
    </row>
    <row r="172" ht="15.75">
      <c r="A172" s="727"/>
    </row>
    <row r="173" ht="15.75">
      <c r="A173" s="727"/>
    </row>
    <row r="174" ht="15.75">
      <c r="A174" s="727"/>
    </row>
    <row r="175" ht="15.75">
      <c r="A175" s="727"/>
    </row>
    <row r="176" ht="15.75">
      <c r="A176" s="727"/>
    </row>
    <row r="177" ht="15.75">
      <c r="A177" s="727"/>
    </row>
    <row r="178" ht="15.75">
      <c r="A178" s="727"/>
    </row>
    <row r="179" ht="15.75">
      <c r="A179" s="727"/>
    </row>
    <row r="180" ht="15.75">
      <c r="A180" s="727"/>
    </row>
    <row r="181" ht="15.75">
      <c r="A181" s="727"/>
    </row>
    <row r="182" ht="15.75">
      <c r="A182" s="727"/>
    </row>
    <row r="183" ht="15.75">
      <c r="A183" s="727"/>
    </row>
    <row r="184" ht="15.75">
      <c r="A184" s="727"/>
    </row>
    <row r="185" ht="15.75">
      <c r="A185" s="727"/>
    </row>
    <row r="186" ht="15.75">
      <c r="A186" s="727"/>
    </row>
    <row r="187" ht="15.75">
      <c r="A187" s="727"/>
    </row>
    <row r="188" ht="15.75">
      <c r="A188" s="727"/>
    </row>
    <row r="189" ht="15.75">
      <c r="A189" s="727"/>
    </row>
    <row r="190" ht="15.75">
      <c r="A190" s="727"/>
    </row>
    <row r="191" ht="15.75">
      <c r="A191" s="727"/>
    </row>
    <row r="192" ht="15.75">
      <c r="A192" s="727"/>
    </row>
    <row r="193" ht="15.75">
      <c r="A193" s="727"/>
    </row>
    <row r="194" ht="15.75">
      <c r="A194" s="727"/>
    </row>
    <row r="195" ht="15.75">
      <c r="A195" s="727"/>
    </row>
    <row r="196" ht="15.75">
      <c r="A196" s="727"/>
    </row>
    <row r="197" ht="15.75">
      <c r="A197" s="727"/>
    </row>
    <row r="198" ht="15.75">
      <c r="A198" s="727"/>
    </row>
    <row r="199" ht="15.75">
      <c r="A199" s="727"/>
    </row>
    <row r="200" ht="15.75">
      <c r="A200" s="727"/>
    </row>
    <row r="201" ht="15.75">
      <c r="A201" s="727"/>
    </row>
    <row r="202" ht="15.75">
      <c r="A202" s="727"/>
    </row>
    <row r="203" ht="15.75">
      <c r="A203" s="727"/>
    </row>
    <row r="204" ht="15.75">
      <c r="A204" s="727"/>
    </row>
    <row r="205" ht="15.75">
      <c r="A205" s="727"/>
    </row>
    <row r="206" ht="15.75">
      <c r="A206" s="727"/>
    </row>
    <row r="207" ht="15.75">
      <c r="A207" s="727"/>
    </row>
    <row r="208" ht="15.75">
      <c r="A208" s="727"/>
    </row>
    <row r="209" ht="15.75">
      <c r="A209" s="727"/>
    </row>
    <row r="210" ht="15.75">
      <c r="A210" s="727"/>
    </row>
    <row r="211" ht="15.75">
      <c r="A211" s="727"/>
    </row>
    <row r="212" ht="15.75">
      <c r="A212" s="727"/>
    </row>
    <row r="213" ht="15.75">
      <c r="A213" s="727"/>
    </row>
    <row r="214" ht="15.75">
      <c r="A214" s="727"/>
    </row>
    <row r="215" ht="15.75">
      <c r="A215" s="727"/>
    </row>
    <row r="216" ht="15.75">
      <c r="A216" s="727"/>
    </row>
    <row r="217" ht="15.75">
      <c r="A217" s="727"/>
    </row>
    <row r="218" ht="15.75">
      <c r="A218" s="727"/>
    </row>
    <row r="219" ht="15.75">
      <c r="A219" s="727"/>
    </row>
    <row r="220" ht="15.75">
      <c r="A220" s="727"/>
    </row>
    <row r="221" ht="15.75">
      <c r="A221" s="727"/>
    </row>
    <row r="222" ht="15.75">
      <c r="A222" s="727"/>
    </row>
    <row r="223" ht="15.75">
      <c r="A223" s="727"/>
    </row>
    <row r="224" ht="15.75">
      <c r="A224" s="727"/>
    </row>
    <row r="225" ht="15.75">
      <c r="A225" s="727"/>
    </row>
    <row r="226" ht="15.75">
      <c r="A226" s="727"/>
    </row>
    <row r="227" ht="15.75">
      <c r="A227" s="727"/>
    </row>
    <row r="228" ht="15.75">
      <c r="A228" s="727"/>
    </row>
    <row r="229" ht="15.75">
      <c r="A229" s="727"/>
    </row>
    <row r="230" ht="15.75">
      <c r="A230" s="727"/>
    </row>
    <row r="231" ht="15.75">
      <c r="A231" s="727"/>
    </row>
    <row r="232" ht="15.75">
      <c r="A232" s="727"/>
    </row>
    <row r="233" ht="15.75">
      <c r="A233" s="727"/>
    </row>
    <row r="234" ht="15.75">
      <c r="A234" s="727"/>
    </row>
    <row r="235" ht="15.75">
      <c r="A235" s="727"/>
    </row>
    <row r="236" ht="15.75">
      <c r="A236" s="727"/>
    </row>
    <row r="237" ht="15.75">
      <c r="A237" s="727"/>
    </row>
    <row r="238" ht="15.75">
      <c r="A238" s="727"/>
    </row>
    <row r="239" ht="15.75">
      <c r="A239" s="727"/>
    </row>
    <row r="240" ht="15.75">
      <c r="A240" s="727"/>
    </row>
    <row r="241" ht="15.75">
      <c r="A241" s="727"/>
    </row>
    <row r="242" ht="15.75">
      <c r="A242" s="727"/>
    </row>
    <row r="243" ht="15.75">
      <c r="A243" s="727"/>
    </row>
    <row r="244" ht="15.75">
      <c r="A244" s="727"/>
    </row>
    <row r="245" ht="15.75">
      <c r="A245" s="727"/>
    </row>
    <row r="246" ht="15.75">
      <c r="A246" s="727"/>
    </row>
    <row r="247" ht="15.75">
      <c r="A247" s="727"/>
    </row>
    <row r="248" ht="15.75">
      <c r="A248" s="727"/>
    </row>
    <row r="249" ht="15.75">
      <c r="A249" s="727"/>
    </row>
    <row r="250" ht="15.75">
      <c r="A250" s="727"/>
    </row>
    <row r="251" ht="15.75">
      <c r="A251" s="727"/>
    </row>
    <row r="252" ht="15.75">
      <c r="A252" s="727"/>
    </row>
    <row r="253" ht="15.75">
      <c r="A253" s="727"/>
    </row>
    <row r="254" ht="15.75">
      <c r="A254" s="727"/>
    </row>
    <row r="255" ht="15.75">
      <c r="A255" s="727"/>
    </row>
    <row r="256" ht="15.75">
      <c r="A256" s="727"/>
    </row>
    <row r="257" ht="15.75">
      <c r="A257" s="727"/>
    </row>
    <row r="258" ht="15.75">
      <c r="A258" s="727"/>
    </row>
    <row r="259" ht="15.75">
      <c r="A259" s="727"/>
    </row>
    <row r="260" ht="15.75">
      <c r="A260" s="727"/>
    </row>
    <row r="261" ht="15.75">
      <c r="A261" s="727"/>
    </row>
    <row r="262" ht="15.75">
      <c r="A262" s="727"/>
    </row>
    <row r="263" ht="15.75">
      <c r="A263" s="727"/>
    </row>
    <row r="264" ht="15.75">
      <c r="A264" s="727"/>
    </row>
    <row r="265" ht="15.75">
      <c r="A265" s="727"/>
    </row>
    <row r="266" ht="15.75">
      <c r="A266" s="727"/>
    </row>
    <row r="267" ht="15.75">
      <c r="A267" s="727"/>
    </row>
    <row r="268" ht="15.75">
      <c r="A268" s="727"/>
    </row>
    <row r="269" ht="15.75">
      <c r="A269" s="727"/>
    </row>
    <row r="270" ht="15.75">
      <c r="A270" s="727"/>
    </row>
    <row r="271" ht="15.75">
      <c r="A271" s="727"/>
    </row>
    <row r="272" ht="15.75">
      <c r="A272" s="727"/>
    </row>
    <row r="273" ht="15.75">
      <c r="A273" s="727"/>
    </row>
    <row r="274" ht="15.75">
      <c r="A274" s="727"/>
    </row>
    <row r="275" ht="15.75">
      <c r="A275" s="727"/>
    </row>
    <row r="276" ht="15.75">
      <c r="A276" s="727"/>
    </row>
    <row r="277" ht="15.75">
      <c r="A277" s="727"/>
    </row>
    <row r="278" ht="15.75">
      <c r="A278" s="727"/>
    </row>
    <row r="279" ht="15.75">
      <c r="A279" s="727"/>
    </row>
    <row r="280" ht="15.75">
      <c r="A280" s="727"/>
    </row>
    <row r="281" ht="15.75">
      <c r="A281" s="727"/>
    </row>
    <row r="282" ht="15.75">
      <c r="A282" s="727"/>
    </row>
    <row r="283" ht="15.75">
      <c r="A283" s="727"/>
    </row>
    <row r="284" ht="15.75">
      <c r="A284" s="727"/>
    </row>
    <row r="285" ht="15.75">
      <c r="A285" s="727"/>
    </row>
    <row r="286" ht="15.75">
      <c r="A286" s="727"/>
    </row>
    <row r="287" ht="15.75">
      <c r="A287" s="727"/>
    </row>
    <row r="288" ht="15.75">
      <c r="A288" s="727"/>
    </row>
    <row r="289" ht="15.75">
      <c r="A289" s="727"/>
    </row>
    <row r="290" ht="15.75">
      <c r="A290" s="727"/>
    </row>
    <row r="291" ht="15.75">
      <c r="A291" s="727"/>
    </row>
    <row r="292" ht="15.75">
      <c r="A292" s="727"/>
    </row>
    <row r="293" ht="15.75">
      <c r="A293" s="727"/>
    </row>
    <row r="294" ht="15.75">
      <c r="A294" s="727"/>
    </row>
    <row r="295" ht="15.75">
      <c r="A295" s="727"/>
    </row>
    <row r="296" ht="15.75">
      <c r="A296" s="727"/>
    </row>
    <row r="297" ht="15.75">
      <c r="A297" s="727"/>
    </row>
    <row r="298" ht="15.75">
      <c r="A298" s="727"/>
    </row>
    <row r="299" ht="15.75">
      <c r="A299" s="727"/>
    </row>
    <row r="300" ht="15.75">
      <c r="A300" s="727"/>
    </row>
    <row r="301" ht="15.75">
      <c r="A301" s="727"/>
    </row>
    <row r="302" ht="15.75">
      <c r="A302" s="727"/>
    </row>
    <row r="303" ht="15.75">
      <c r="A303" s="727"/>
    </row>
    <row r="304" ht="15.75">
      <c r="A304" s="727"/>
    </row>
    <row r="305" ht="15.75">
      <c r="A305" s="727"/>
    </row>
    <row r="306" ht="15.75">
      <c r="A306" s="727"/>
    </row>
    <row r="307" ht="15.75">
      <c r="A307" s="727"/>
    </row>
    <row r="308" ht="15.75">
      <c r="A308" s="727"/>
    </row>
    <row r="309" ht="15.75">
      <c r="A309" s="727"/>
    </row>
    <row r="310" ht="15.75">
      <c r="A310" s="727"/>
    </row>
    <row r="311" ht="15.75">
      <c r="A311" s="727"/>
    </row>
    <row r="312" ht="15.75">
      <c r="A312" s="727"/>
    </row>
    <row r="313" ht="15.75">
      <c r="A313" s="727"/>
    </row>
    <row r="314" ht="15.75">
      <c r="A314" s="727"/>
    </row>
    <row r="315" ht="15.75">
      <c r="A315" s="727"/>
    </row>
    <row r="316" ht="15.75">
      <c r="A316" s="727"/>
    </row>
    <row r="317" ht="15.75">
      <c r="A317" s="727"/>
    </row>
    <row r="318" ht="15.75">
      <c r="A318" s="727"/>
    </row>
    <row r="319" ht="15.75">
      <c r="A319" s="727"/>
    </row>
    <row r="320" ht="15.75">
      <c r="A320" s="727"/>
    </row>
    <row r="321" ht="15.75">
      <c r="A321" s="727"/>
    </row>
    <row r="322" ht="15.75">
      <c r="A322" s="727"/>
    </row>
    <row r="323" ht="15.75">
      <c r="A323" s="727"/>
    </row>
    <row r="324" ht="15.75">
      <c r="A324" s="727"/>
    </row>
    <row r="325" ht="15.75">
      <c r="A325" s="727"/>
    </row>
    <row r="326" ht="15.75">
      <c r="A326" s="727"/>
    </row>
    <row r="327" ht="15.75">
      <c r="A327" s="727"/>
    </row>
    <row r="328" ht="15.75">
      <c r="A328" s="727"/>
    </row>
    <row r="329" ht="15.75">
      <c r="A329" s="727"/>
    </row>
    <row r="330" ht="15.75">
      <c r="A330" s="727"/>
    </row>
    <row r="331" ht="15.75">
      <c r="A331" s="727"/>
    </row>
    <row r="332" ht="15.75">
      <c r="A332" s="727"/>
    </row>
    <row r="333" ht="15.75">
      <c r="A333" s="727"/>
    </row>
    <row r="334" ht="15.75">
      <c r="A334" s="727"/>
    </row>
    <row r="335" ht="15.75">
      <c r="A335" s="727"/>
    </row>
    <row r="336" ht="15.75">
      <c r="A336" s="727"/>
    </row>
    <row r="337" ht="15.75">
      <c r="A337" s="727"/>
    </row>
    <row r="338" ht="15.75">
      <c r="A338" s="727"/>
    </row>
    <row r="339" ht="15.75">
      <c r="A339" s="727"/>
    </row>
    <row r="340" ht="15.75">
      <c r="A340" s="727"/>
    </row>
    <row r="341" ht="15.75">
      <c r="A341" s="727"/>
    </row>
    <row r="342" ht="15.75">
      <c r="A342" s="727"/>
    </row>
    <row r="343" ht="15.75">
      <c r="A343" s="727"/>
    </row>
    <row r="344" ht="15.75">
      <c r="A344" s="727"/>
    </row>
    <row r="345" ht="15.75">
      <c r="A345" s="727"/>
    </row>
    <row r="346" ht="15.75">
      <c r="A346" s="727"/>
    </row>
    <row r="347" ht="15.75">
      <c r="A347" s="727"/>
    </row>
    <row r="348" ht="15.75">
      <c r="A348" s="727"/>
    </row>
    <row r="349" ht="15.75">
      <c r="A349" s="727"/>
    </row>
    <row r="350" ht="15.75">
      <c r="A350" s="727"/>
    </row>
    <row r="351" ht="15.75">
      <c r="A351" s="727"/>
    </row>
    <row r="352" ht="15.75">
      <c r="A352" s="727"/>
    </row>
    <row r="353" ht="15.75">
      <c r="A353" s="727"/>
    </row>
    <row r="354" ht="15.75">
      <c r="A354" s="727"/>
    </row>
    <row r="355" ht="15.75">
      <c r="A355" s="727"/>
    </row>
    <row r="356" ht="15.75">
      <c r="A356" s="727"/>
    </row>
    <row r="357" ht="15.75">
      <c r="A357" s="727"/>
    </row>
    <row r="358" ht="15.75">
      <c r="A358" s="727"/>
    </row>
    <row r="359" ht="15.75">
      <c r="A359" s="727"/>
    </row>
    <row r="360" ht="15.75">
      <c r="A360" s="727"/>
    </row>
    <row r="361" ht="15.75">
      <c r="A361" s="727"/>
    </row>
    <row r="362" ht="15.75">
      <c r="A362" s="727"/>
    </row>
    <row r="363" ht="15.75">
      <c r="A363" s="727"/>
    </row>
    <row r="364" ht="15.75">
      <c r="A364" s="727"/>
    </row>
    <row r="365" ht="15.75">
      <c r="A365" s="727"/>
    </row>
    <row r="366" ht="15.75">
      <c r="A366" s="727"/>
    </row>
    <row r="367" ht="15.75">
      <c r="A367" s="727"/>
    </row>
    <row r="368" ht="15.75">
      <c r="A368" s="727"/>
    </row>
    <row r="369" ht="15.75">
      <c r="A369" s="727"/>
    </row>
    <row r="370" ht="15.75">
      <c r="A370" s="727"/>
    </row>
    <row r="371" ht="15.75">
      <c r="A371" s="727"/>
    </row>
    <row r="372" ht="15.75">
      <c r="A372" s="727"/>
    </row>
    <row r="373" ht="15.75">
      <c r="A373" s="727"/>
    </row>
    <row r="374" ht="15.75">
      <c r="A374" s="727"/>
    </row>
    <row r="375" ht="15.75">
      <c r="A375" s="727"/>
    </row>
    <row r="376" ht="15.75">
      <c r="A376" s="727"/>
    </row>
    <row r="377" ht="15.75">
      <c r="A377" s="727"/>
    </row>
    <row r="378" ht="15.75">
      <c r="A378" s="727"/>
    </row>
    <row r="379" ht="15.75">
      <c r="A379" s="727"/>
    </row>
    <row r="380" ht="15.75">
      <c r="A380" s="727"/>
    </row>
    <row r="381" ht="15.75">
      <c r="A381" s="727"/>
    </row>
    <row r="382" ht="15.75">
      <c r="A382" s="727"/>
    </row>
    <row r="383" ht="15.75">
      <c r="A383" s="727"/>
    </row>
    <row r="384" ht="15.75">
      <c r="A384" s="727"/>
    </row>
    <row r="385" ht="15.75">
      <c r="A385" s="727"/>
    </row>
    <row r="386" ht="15.75">
      <c r="A386" s="727"/>
    </row>
    <row r="387" ht="15.75">
      <c r="A387" s="727"/>
    </row>
    <row r="388" ht="15.75">
      <c r="A388" s="727"/>
    </row>
    <row r="389" ht="15.75">
      <c r="A389" s="727"/>
    </row>
    <row r="390" ht="15.75">
      <c r="A390" s="727"/>
    </row>
    <row r="391" ht="15.75">
      <c r="A391" s="727"/>
    </row>
    <row r="392" ht="15.75">
      <c r="A392" s="727"/>
    </row>
    <row r="393" ht="15.75">
      <c r="A393" s="727"/>
    </row>
    <row r="394" ht="15.75">
      <c r="A394" s="727"/>
    </row>
    <row r="395" ht="15.75">
      <c r="A395" s="727"/>
    </row>
    <row r="396" ht="15.75">
      <c r="A396" s="727"/>
    </row>
    <row r="397" ht="15.75">
      <c r="A397" s="727"/>
    </row>
    <row r="398" ht="15.75">
      <c r="A398" s="727"/>
    </row>
    <row r="399" ht="15.75">
      <c r="A399" s="727"/>
    </row>
    <row r="400" ht="15.75">
      <c r="A400" s="727"/>
    </row>
    <row r="401" ht="15.75">
      <c r="A401" s="727"/>
    </row>
    <row r="402" ht="15.75">
      <c r="A402" s="727"/>
    </row>
    <row r="403" ht="15.75">
      <c r="A403" s="727"/>
    </row>
    <row r="404" ht="15.75">
      <c r="A404" s="727"/>
    </row>
    <row r="405" ht="15.75">
      <c r="A405" s="727"/>
    </row>
    <row r="406" ht="15.75">
      <c r="A406" s="727"/>
    </row>
    <row r="407" ht="15.75">
      <c r="A407" s="727"/>
    </row>
    <row r="408" ht="15.75">
      <c r="A408" s="727"/>
    </row>
    <row r="409" ht="15.75">
      <c r="A409" s="727"/>
    </row>
    <row r="410" ht="15.75">
      <c r="A410" s="727"/>
    </row>
    <row r="411" ht="15.75">
      <c r="A411" s="727"/>
    </row>
    <row r="412" ht="15.75">
      <c r="A412" s="727"/>
    </row>
    <row r="413" ht="15.75">
      <c r="A413" s="727"/>
    </row>
    <row r="414" ht="15.75">
      <c r="A414" s="727"/>
    </row>
    <row r="415" ht="15.75">
      <c r="A415" s="727"/>
    </row>
    <row r="416" ht="15.75">
      <c r="A416" s="727"/>
    </row>
    <row r="417" ht="15.75">
      <c r="A417" s="727"/>
    </row>
    <row r="418" ht="15.75">
      <c r="A418" s="727"/>
    </row>
    <row r="419" ht="15.75">
      <c r="A419" s="727"/>
    </row>
    <row r="420" ht="15.75">
      <c r="A420" s="727"/>
    </row>
    <row r="421" ht="15.75">
      <c r="A421" s="727"/>
    </row>
    <row r="422" ht="15.75">
      <c r="A422" s="727"/>
    </row>
    <row r="423" ht="15.75">
      <c r="A423" s="727"/>
    </row>
    <row r="424" ht="15.75">
      <c r="A424" s="727"/>
    </row>
    <row r="425" ht="15.75">
      <c r="A425" s="727"/>
    </row>
    <row r="426" ht="15.75">
      <c r="A426" s="727"/>
    </row>
    <row r="427" ht="15.75">
      <c r="A427" s="727"/>
    </row>
    <row r="428" ht="15.75">
      <c r="A428" s="727"/>
    </row>
    <row r="429" ht="15.75">
      <c r="A429" s="727"/>
    </row>
    <row r="430" ht="15.75">
      <c r="A430" s="727"/>
    </row>
    <row r="431" ht="15.75">
      <c r="A431" s="727"/>
    </row>
    <row r="432" ht="15.75">
      <c r="A432" s="727"/>
    </row>
    <row r="433" ht="15.75">
      <c r="A433" s="727"/>
    </row>
    <row r="434" ht="15.75">
      <c r="A434" s="727"/>
    </row>
    <row r="435" ht="15.75">
      <c r="A435" s="727"/>
    </row>
    <row r="436" ht="15.75">
      <c r="A436" s="727"/>
    </row>
    <row r="437" ht="15.75">
      <c r="A437" s="727"/>
    </row>
    <row r="438" ht="15.75">
      <c r="A438" s="727"/>
    </row>
    <row r="439" ht="15.75">
      <c r="A439" s="727"/>
    </row>
    <row r="440" ht="15.75">
      <c r="A440" s="727"/>
    </row>
    <row r="441" ht="15.75">
      <c r="A441" s="727"/>
    </row>
    <row r="442" ht="15.75">
      <c r="A442" s="727"/>
    </row>
    <row r="443" ht="15.75">
      <c r="A443" s="727"/>
    </row>
    <row r="444" ht="15.75">
      <c r="A444" s="727"/>
    </row>
    <row r="445" ht="15.75">
      <c r="A445" s="727"/>
    </row>
    <row r="446" ht="15.75">
      <c r="A446" s="727"/>
    </row>
    <row r="447" ht="15.75">
      <c r="A447" s="727"/>
    </row>
    <row r="448" ht="15.75">
      <c r="A448" s="727"/>
    </row>
    <row r="449" ht="15.75">
      <c r="A449" s="727"/>
    </row>
    <row r="450" ht="15.75">
      <c r="A450" s="727"/>
    </row>
    <row r="451" ht="15.75">
      <c r="A451" s="727"/>
    </row>
    <row r="452" ht="15.75">
      <c r="A452" s="727"/>
    </row>
    <row r="453" ht="15.75">
      <c r="A453" s="727"/>
    </row>
    <row r="454" ht="15.75">
      <c r="A454" s="727"/>
    </row>
    <row r="455" ht="15.75">
      <c r="A455" s="727"/>
    </row>
    <row r="456" ht="15.75">
      <c r="A456" s="727"/>
    </row>
    <row r="457" ht="15.75">
      <c r="A457" s="727"/>
    </row>
    <row r="458" ht="15.75">
      <c r="A458" s="727"/>
    </row>
    <row r="459" ht="15.75">
      <c r="A459" s="727"/>
    </row>
    <row r="460" ht="15.75">
      <c r="A460" s="727"/>
    </row>
    <row r="461" ht="15.75">
      <c r="A461" s="727"/>
    </row>
    <row r="462" ht="15.75">
      <c r="A462" s="727"/>
    </row>
    <row r="463" ht="15.75">
      <c r="A463" s="727"/>
    </row>
    <row r="464" ht="15.75">
      <c r="A464" s="727"/>
    </row>
    <row r="465" ht="15.75">
      <c r="A465" s="727"/>
    </row>
    <row r="466" ht="15.75">
      <c r="A466" s="727"/>
    </row>
    <row r="467" ht="15.75">
      <c r="A467" s="727"/>
    </row>
    <row r="468" ht="15.75">
      <c r="A468" s="727"/>
    </row>
    <row r="469" ht="15.75">
      <c r="A469" s="727"/>
    </row>
    <row r="470" ht="15.75">
      <c r="A470" s="727"/>
    </row>
    <row r="471" ht="15.75">
      <c r="A471" s="727"/>
    </row>
    <row r="472" ht="15.75">
      <c r="A472" s="727"/>
    </row>
    <row r="473" ht="15.75">
      <c r="A473" s="727"/>
    </row>
    <row r="474" ht="15.75">
      <c r="A474" s="727"/>
    </row>
    <row r="475" ht="15.75">
      <c r="A475" s="727"/>
    </row>
    <row r="476" ht="15.75">
      <c r="A476" s="727"/>
    </row>
    <row r="477" ht="15.75">
      <c r="A477" s="727"/>
    </row>
    <row r="478" ht="15.75">
      <c r="A478" s="727"/>
    </row>
    <row r="479" ht="15.75">
      <c r="A479" s="727"/>
    </row>
    <row r="480" ht="15.75">
      <c r="A480" s="727"/>
    </row>
    <row r="481" ht="15.75">
      <c r="A481" s="727"/>
    </row>
    <row r="482" ht="15.75">
      <c r="A482" s="727"/>
    </row>
    <row r="483" ht="15.75">
      <c r="A483" s="727"/>
    </row>
    <row r="484" ht="15.75">
      <c r="A484" s="727"/>
    </row>
    <row r="485" ht="15.75">
      <c r="A485" s="727"/>
    </row>
    <row r="486" ht="15.75">
      <c r="A486" s="727"/>
    </row>
    <row r="487" ht="15.75">
      <c r="A487" s="727"/>
    </row>
    <row r="488" ht="15.75">
      <c r="A488" s="727"/>
    </row>
    <row r="489" ht="15.75">
      <c r="A489" s="727"/>
    </row>
    <row r="490" ht="15.75">
      <c r="A490" s="727"/>
    </row>
    <row r="491" ht="15.75">
      <c r="A491" s="727"/>
    </row>
    <row r="492" ht="15.75">
      <c r="A492" s="727"/>
    </row>
    <row r="493" ht="15.75">
      <c r="A493" s="727"/>
    </row>
    <row r="494" ht="15.75">
      <c r="A494" s="727"/>
    </row>
    <row r="495" ht="15.75">
      <c r="A495" s="727"/>
    </row>
    <row r="496" ht="15.75">
      <c r="A496" s="727"/>
    </row>
    <row r="497" ht="15.75">
      <c r="A497" s="727"/>
    </row>
    <row r="498" ht="15.75">
      <c r="A498" s="727"/>
    </row>
    <row r="499" ht="15.75">
      <c r="A499" s="727"/>
    </row>
    <row r="500" ht="15.75">
      <c r="A500" s="727"/>
    </row>
    <row r="501" ht="15.75">
      <c r="A501" s="727"/>
    </row>
    <row r="502" ht="15.75">
      <c r="A502" s="727"/>
    </row>
    <row r="503" ht="15.75">
      <c r="A503" s="727"/>
    </row>
    <row r="504" ht="15.75">
      <c r="A504" s="727"/>
    </row>
    <row r="505" ht="15.75">
      <c r="A505" s="727"/>
    </row>
    <row r="506" ht="15.75">
      <c r="A506" s="727"/>
    </row>
    <row r="507" ht="15.75">
      <c r="A507" s="727"/>
    </row>
    <row r="508" ht="15.75">
      <c r="A508" s="727"/>
    </row>
    <row r="509" ht="15.75">
      <c r="A509" s="727"/>
    </row>
    <row r="510" ht="15.75">
      <c r="A510" s="727"/>
    </row>
    <row r="511" ht="15.75">
      <c r="A511" s="727"/>
    </row>
    <row r="512" ht="15.75">
      <c r="A512" s="727"/>
    </row>
    <row r="513" ht="15.75">
      <c r="A513" s="727"/>
    </row>
    <row r="514" ht="15.75">
      <c r="A514" s="727"/>
    </row>
    <row r="515" ht="15.75">
      <c r="A515" s="727"/>
    </row>
    <row r="516" ht="15.75">
      <c r="A516" s="727"/>
    </row>
    <row r="517" ht="15.75">
      <c r="A517" s="727"/>
    </row>
    <row r="518" ht="15.75">
      <c r="A518" s="727"/>
    </row>
    <row r="519" ht="15.75">
      <c r="A519" s="727"/>
    </row>
    <row r="520" ht="15.75">
      <c r="A520" s="727"/>
    </row>
    <row r="521" ht="15.75">
      <c r="A521" s="727"/>
    </row>
    <row r="522" ht="15.75">
      <c r="A522" s="727"/>
    </row>
    <row r="523" ht="15.75">
      <c r="A523" s="727"/>
    </row>
    <row r="524" ht="15.75">
      <c r="A524" s="727"/>
    </row>
    <row r="525" ht="15.75">
      <c r="A525" s="727"/>
    </row>
    <row r="526" ht="15.75">
      <c r="A526" s="727"/>
    </row>
    <row r="527" ht="15.75">
      <c r="A527" s="727"/>
    </row>
    <row r="528" ht="15.75">
      <c r="A528" s="727"/>
    </row>
    <row r="529" ht="15.75">
      <c r="A529" s="727"/>
    </row>
    <row r="530" ht="15.75">
      <c r="A530" s="727"/>
    </row>
    <row r="531" ht="15.75">
      <c r="A531" s="727"/>
    </row>
    <row r="532" ht="15.75">
      <c r="A532" s="727"/>
    </row>
    <row r="533" ht="15.75">
      <c r="A533" s="727"/>
    </row>
    <row r="534" ht="15.75">
      <c r="A534" s="727"/>
    </row>
    <row r="535" ht="15.75">
      <c r="A535" s="727"/>
    </row>
    <row r="536" ht="15.75">
      <c r="A536" s="727"/>
    </row>
    <row r="537" ht="15.75">
      <c r="A537" s="727"/>
    </row>
    <row r="538" ht="15.75">
      <c r="A538" s="727"/>
    </row>
    <row r="539" ht="15.75">
      <c r="A539" s="727"/>
    </row>
    <row r="540" ht="15.75">
      <c r="A540" s="727"/>
    </row>
    <row r="541" ht="15.75">
      <c r="A541" s="727"/>
    </row>
    <row r="542" ht="15.75">
      <c r="A542" s="727"/>
    </row>
    <row r="543" ht="15.75">
      <c r="A543" s="727"/>
    </row>
    <row r="544" ht="15.75">
      <c r="A544" s="727"/>
    </row>
    <row r="545" ht="15.75">
      <c r="A545" s="727"/>
    </row>
    <row r="546" ht="15.75">
      <c r="A546" s="727"/>
    </row>
    <row r="547" ht="15.75">
      <c r="A547" s="727"/>
    </row>
    <row r="548" ht="15.75">
      <c r="A548" s="727"/>
    </row>
    <row r="549" ht="15.75">
      <c r="A549" s="727"/>
    </row>
    <row r="550" ht="15.75">
      <c r="A550" s="727"/>
    </row>
    <row r="551" ht="15.75">
      <c r="A551" s="727"/>
    </row>
    <row r="552" ht="15.75">
      <c r="A552" s="727"/>
    </row>
    <row r="553" ht="15.75">
      <c r="A553" s="727"/>
    </row>
    <row r="554" ht="15.75">
      <c r="A554" s="727"/>
    </row>
    <row r="555" ht="15.75">
      <c r="A555" s="727"/>
    </row>
    <row r="556" ht="15.75">
      <c r="A556" s="727"/>
    </row>
    <row r="557" ht="15.75">
      <c r="A557" s="727"/>
    </row>
    <row r="558" ht="15.75">
      <c r="A558" s="727"/>
    </row>
    <row r="559" ht="15.75">
      <c r="A559" s="727"/>
    </row>
    <row r="560" ht="15.75">
      <c r="A560" s="727"/>
    </row>
    <row r="561" ht="15.75">
      <c r="A561" s="727"/>
    </row>
    <row r="562" ht="15.75">
      <c r="A562" s="727"/>
    </row>
    <row r="563" ht="15.75">
      <c r="A563" s="727"/>
    </row>
    <row r="564" ht="15.75">
      <c r="A564" s="727"/>
    </row>
    <row r="565" ht="15.75">
      <c r="A565" s="727"/>
    </row>
    <row r="566" ht="15.75">
      <c r="A566" s="727"/>
    </row>
    <row r="567" ht="15.75">
      <c r="A567" s="727"/>
    </row>
    <row r="568" ht="15.75">
      <c r="A568" s="727"/>
    </row>
    <row r="569" ht="15.75">
      <c r="A569" s="727"/>
    </row>
    <row r="570" ht="15.75">
      <c r="A570" s="727"/>
    </row>
    <row r="571" ht="15.75">
      <c r="A571" s="727"/>
    </row>
    <row r="572" ht="15.75">
      <c r="A572" s="727"/>
    </row>
    <row r="573" ht="15.75">
      <c r="A573" s="727"/>
    </row>
    <row r="574" ht="15.75">
      <c r="A574" s="727"/>
    </row>
    <row r="575" ht="15.75">
      <c r="A575" s="727"/>
    </row>
    <row r="576" ht="15.75">
      <c r="A576" s="727"/>
    </row>
    <row r="577" ht="15.75">
      <c r="A577" s="727"/>
    </row>
    <row r="578" ht="15.75">
      <c r="A578" s="727"/>
    </row>
    <row r="579" ht="15.75">
      <c r="A579" s="727"/>
    </row>
    <row r="580" ht="15.75">
      <c r="A580" s="727"/>
    </row>
    <row r="581" ht="15.75">
      <c r="A581" s="727"/>
    </row>
    <row r="582" ht="15.75">
      <c r="A582" s="727"/>
    </row>
    <row r="583" ht="15.75">
      <c r="A583" s="727"/>
    </row>
    <row r="584" ht="15.75">
      <c r="A584" s="727"/>
    </row>
    <row r="585" ht="15.75">
      <c r="A585" s="727"/>
    </row>
    <row r="586" ht="15.75">
      <c r="A586" s="727"/>
    </row>
    <row r="587" ht="15.75">
      <c r="A587" s="727"/>
    </row>
    <row r="588" ht="15.75">
      <c r="A588" s="727"/>
    </row>
    <row r="589" ht="15.75">
      <c r="A589" s="727"/>
    </row>
    <row r="590" ht="15.75">
      <c r="A590" s="727"/>
    </row>
    <row r="591" ht="15.75">
      <c r="A591" s="727"/>
    </row>
    <row r="592" ht="15.75">
      <c r="A592" s="727"/>
    </row>
    <row r="593" ht="15.75">
      <c r="A593" s="727"/>
    </row>
    <row r="594" ht="15.75">
      <c r="A594" s="727"/>
    </row>
    <row r="595" ht="15.75">
      <c r="A595" s="727"/>
    </row>
    <row r="596" ht="15.75">
      <c r="A596" s="727"/>
    </row>
    <row r="597" ht="15.75">
      <c r="A597" s="727"/>
    </row>
    <row r="598" ht="15.75">
      <c r="A598" s="727"/>
    </row>
    <row r="599" ht="15.75">
      <c r="A599" s="727"/>
    </row>
    <row r="600" ht="15.75">
      <c r="A600" s="727"/>
    </row>
    <row r="601" ht="15.75">
      <c r="A601" s="727"/>
    </row>
    <row r="602" ht="15.75">
      <c r="A602" s="727"/>
    </row>
    <row r="603" ht="15.75">
      <c r="A603" s="727"/>
    </row>
    <row r="604" ht="15.75">
      <c r="A604" s="727"/>
    </row>
    <row r="605" ht="15.75">
      <c r="A605" s="727"/>
    </row>
    <row r="606" ht="15.75">
      <c r="A606" s="727"/>
    </row>
    <row r="607" ht="15.75">
      <c r="A607" s="727"/>
    </row>
    <row r="608" ht="15.75">
      <c r="A608" s="727"/>
    </row>
    <row r="609" ht="15.75">
      <c r="A609" s="727"/>
    </row>
    <row r="610" ht="15.75">
      <c r="A610" s="727"/>
    </row>
    <row r="611" ht="15.75">
      <c r="A611" s="727"/>
    </row>
    <row r="612" ht="15.75">
      <c r="A612" s="727"/>
    </row>
    <row r="613" ht="15.75">
      <c r="A613" s="727"/>
    </row>
    <row r="614" ht="15.75">
      <c r="A614" s="727"/>
    </row>
    <row r="615" ht="15.75">
      <c r="A615" s="727"/>
    </row>
    <row r="616" ht="15.75">
      <c r="A616" s="727"/>
    </row>
    <row r="617" ht="15.75">
      <c r="A617" s="727"/>
    </row>
    <row r="618" ht="15.75">
      <c r="A618" s="727"/>
    </row>
    <row r="619" ht="15.75">
      <c r="A619" s="727"/>
    </row>
    <row r="620" ht="15.75">
      <c r="A620" s="727"/>
    </row>
    <row r="621" ht="15.75">
      <c r="A621" s="727"/>
    </row>
    <row r="622" ht="15.75">
      <c r="A622" s="727"/>
    </row>
    <row r="623" ht="15.75">
      <c r="A623" s="727"/>
    </row>
    <row r="624" ht="15.75">
      <c r="A624" s="727"/>
    </row>
    <row r="625" ht="15.75">
      <c r="A625" s="727"/>
    </row>
    <row r="626" ht="15.75">
      <c r="A626" s="727"/>
    </row>
    <row r="627" ht="15.75">
      <c r="A627" s="727"/>
    </row>
    <row r="628" ht="15.75">
      <c r="A628" s="727"/>
    </row>
    <row r="629" ht="15.75">
      <c r="A629" s="727"/>
    </row>
    <row r="630" ht="15.75">
      <c r="A630" s="727"/>
    </row>
    <row r="631" ht="15.75">
      <c r="A631" s="727"/>
    </row>
    <row r="632" ht="15.75">
      <c r="A632" s="727"/>
    </row>
    <row r="633" ht="15.75">
      <c r="A633" s="727"/>
    </row>
    <row r="634" ht="15.75">
      <c r="A634" s="727"/>
    </row>
    <row r="635" ht="15.75">
      <c r="A635" s="727"/>
    </row>
    <row r="636" ht="15.75">
      <c r="A636" s="727"/>
    </row>
    <row r="637" ht="15.75">
      <c r="A637" s="727"/>
    </row>
    <row r="638" ht="15.75">
      <c r="A638" s="727"/>
    </row>
    <row r="639" ht="15.75">
      <c r="A639" s="727"/>
    </row>
    <row r="640" ht="15.75">
      <c r="A640" s="727"/>
    </row>
    <row r="641" ht="15.75">
      <c r="A641" s="727"/>
    </row>
    <row r="642" ht="15.75">
      <c r="A642" s="727"/>
    </row>
    <row r="643" ht="15.75">
      <c r="A643" s="727"/>
    </row>
    <row r="644" ht="15.75">
      <c r="A644" s="727"/>
    </row>
    <row r="645" ht="15.75">
      <c r="A645" s="727"/>
    </row>
    <row r="646" ht="15.75">
      <c r="A646" s="727"/>
    </row>
    <row r="647" ht="15.75">
      <c r="A647" s="727"/>
    </row>
    <row r="648" ht="15.75">
      <c r="A648" s="727"/>
    </row>
    <row r="649" ht="15.75">
      <c r="A649" s="727"/>
    </row>
    <row r="650" ht="15.75">
      <c r="A650" s="727"/>
    </row>
    <row r="651" ht="15.75">
      <c r="A651" s="727"/>
    </row>
    <row r="652" ht="15.75">
      <c r="A652" s="727"/>
    </row>
    <row r="653" ht="15.75">
      <c r="A653" s="727"/>
    </row>
    <row r="654" ht="15.75">
      <c r="A654" s="727"/>
    </row>
    <row r="655" ht="15.75">
      <c r="A655" s="727"/>
    </row>
    <row r="656" ht="15.75">
      <c r="A656" s="727"/>
    </row>
    <row r="657" ht="15.75">
      <c r="A657" s="727"/>
    </row>
    <row r="658" ht="15.75">
      <c r="A658" s="727"/>
    </row>
    <row r="659" ht="15.75">
      <c r="A659" s="727"/>
    </row>
    <row r="660" ht="15.75">
      <c r="A660" s="727"/>
    </row>
    <row r="661" ht="15.75">
      <c r="A661" s="727"/>
    </row>
    <row r="662" ht="15.75">
      <c r="A662" s="727"/>
    </row>
    <row r="663" ht="15.75">
      <c r="A663" s="727"/>
    </row>
    <row r="664" ht="15.75">
      <c r="A664" s="727"/>
    </row>
    <row r="665" ht="15.75">
      <c r="A665" s="727"/>
    </row>
    <row r="666" ht="15.75">
      <c r="A666" s="727"/>
    </row>
    <row r="667" ht="15.75">
      <c r="A667" s="727"/>
    </row>
    <row r="668" ht="15.75">
      <c r="A668" s="727"/>
    </row>
    <row r="669" ht="15.75">
      <c r="A669" s="727"/>
    </row>
    <row r="670" ht="15.75">
      <c r="A670" s="727"/>
    </row>
    <row r="671" ht="15.75">
      <c r="A671" s="727"/>
    </row>
    <row r="672" ht="15.75">
      <c r="A672" s="727"/>
    </row>
    <row r="673" ht="15.75">
      <c r="A673" s="727"/>
    </row>
    <row r="674" ht="15.75">
      <c r="A674" s="727"/>
    </row>
    <row r="675" ht="15.75">
      <c r="A675" s="727"/>
    </row>
    <row r="676" ht="15.75">
      <c r="A676" s="727"/>
    </row>
    <row r="677" ht="15.75">
      <c r="A677" s="727"/>
    </row>
    <row r="678" ht="15.75">
      <c r="A678" s="727"/>
    </row>
    <row r="679" ht="15.75">
      <c r="A679" s="727"/>
    </row>
    <row r="680" ht="15.75">
      <c r="A680" s="727"/>
    </row>
    <row r="681" ht="15.75">
      <c r="A681" s="727"/>
    </row>
    <row r="682" ht="15.75">
      <c r="A682" s="727"/>
    </row>
    <row r="683" ht="15.75">
      <c r="A683" s="727"/>
    </row>
    <row r="684" ht="15.75">
      <c r="A684" s="727"/>
    </row>
    <row r="685" ht="15.75">
      <c r="A685" s="727"/>
    </row>
    <row r="686" ht="15.75">
      <c r="A686" s="727"/>
    </row>
    <row r="687" ht="15.75">
      <c r="A687" s="727"/>
    </row>
    <row r="688" ht="15.75">
      <c r="A688" s="727"/>
    </row>
    <row r="689" ht="15.75">
      <c r="A689" s="727"/>
    </row>
    <row r="690" ht="15.75">
      <c r="A690" s="727"/>
    </row>
    <row r="691" ht="15.75">
      <c r="A691" s="727"/>
    </row>
    <row r="692" ht="15.75">
      <c r="A692" s="727"/>
    </row>
    <row r="693" ht="15.75">
      <c r="A693" s="727"/>
    </row>
    <row r="694" ht="15.75">
      <c r="A694" s="727"/>
    </row>
    <row r="695" ht="15.75">
      <c r="A695" s="727"/>
    </row>
    <row r="696" ht="15.75">
      <c r="A696" s="727"/>
    </row>
    <row r="697" ht="15.75">
      <c r="A697" s="727"/>
    </row>
    <row r="698" ht="15.75">
      <c r="A698" s="727"/>
    </row>
    <row r="699" ht="15.75">
      <c r="A699" s="727"/>
    </row>
    <row r="700" ht="15.75">
      <c r="A700" s="727"/>
    </row>
    <row r="701" ht="15.75">
      <c r="A701" s="727"/>
    </row>
    <row r="702" ht="15.75">
      <c r="A702" s="727"/>
    </row>
    <row r="703" ht="15.75">
      <c r="A703" s="727"/>
    </row>
    <row r="704" ht="15.75">
      <c r="A704" s="727"/>
    </row>
    <row r="705" ht="15.75">
      <c r="A705" s="727"/>
    </row>
    <row r="706" ht="15.75">
      <c r="A706" s="727"/>
    </row>
    <row r="707" ht="15.75">
      <c r="A707" s="727"/>
    </row>
    <row r="708" ht="15.75">
      <c r="A708" s="727"/>
    </row>
    <row r="709" ht="15.75">
      <c r="A709" s="727"/>
    </row>
    <row r="710" ht="15.75">
      <c r="A710" s="727"/>
    </row>
    <row r="711" ht="15.75">
      <c r="A711" s="727"/>
    </row>
    <row r="712" ht="15.75">
      <c r="A712" s="727"/>
    </row>
    <row r="713" ht="15.75">
      <c r="A713" s="727"/>
    </row>
    <row r="714" ht="15.75">
      <c r="A714" s="727"/>
    </row>
    <row r="715" ht="15.75">
      <c r="A715" s="727"/>
    </row>
    <row r="716" ht="15.75">
      <c r="A716" s="727"/>
    </row>
    <row r="717" ht="15.75">
      <c r="A717" s="727"/>
    </row>
    <row r="718" ht="15.75">
      <c r="A718" s="727"/>
    </row>
    <row r="719" ht="15.75">
      <c r="A719" s="727"/>
    </row>
    <row r="720" ht="15.75">
      <c r="A720" s="727"/>
    </row>
    <row r="721" ht="15.75">
      <c r="A721" s="727"/>
    </row>
    <row r="722" ht="15.75">
      <c r="A722" s="727"/>
    </row>
    <row r="723" ht="15.75">
      <c r="A723" s="727"/>
    </row>
    <row r="724" ht="15.75">
      <c r="A724" s="727"/>
    </row>
    <row r="725" ht="15.75">
      <c r="A725" s="727"/>
    </row>
    <row r="726" ht="15.75">
      <c r="A726" s="727"/>
    </row>
    <row r="727" ht="15.75">
      <c r="A727" s="727"/>
    </row>
    <row r="728" ht="15.75">
      <c r="A728" s="727"/>
    </row>
    <row r="729" ht="15.75">
      <c r="A729" s="727"/>
    </row>
    <row r="730" ht="15.75">
      <c r="A730" s="727"/>
    </row>
    <row r="731" ht="15.75">
      <c r="A731" s="727"/>
    </row>
    <row r="732" ht="15.75">
      <c r="A732" s="727"/>
    </row>
    <row r="733" ht="15.75">
      <c r="A733" s="727"/>
    </row>
    <row r="734" ht="15.75">
      <c r="A734" s="727"/>
    </row>
    <row r="735" ht="15.75">
      <c r="A735" s="727"/>
    </row>
    <row r="736" ht="15.75">
      <c r="A736" s="727"/>
    </row>
    <row r="737" ht="15.75">
      <c r="A737" s="727"/>
    </row>
    <row r="738" ht="15.75">
      <c r="A738" s="727"/>
    </row>
    <row r="739" ht="15.75">
      <c r="A739" s="727"/>
    </row>
    <row r="740" ht="15.75">
      <c r="A740" s="727"/>
    </row>
    <row r="741" ht="15.75">
      <c r="A741" s="727"/>
    </row>
    <row r="742" ht="15.75">
      <c r="A742" s="727"/>
    </row>
    <row r="743" ht="15.75">
      <c r="A743" s="727"/>
    </row>
    <row r="744" ht="15.75">
      <c r="A744" s="727"/>
    </row>
    <row r="745" ht="15.75">
      <c r="A745" s="727"/>
    </row>
    <row r="746" ht="15.75">
      <c r="A746" s="727"/>
    </row>
    <row r="747" ht="15.75">
      <c r="A747" s="727"/>
    </row>
    <row r="748" ht="15.75">
      <c r="A748" s="727"/>
    </row>
    <row r="749" ht="15.75">
      <c r="A749" s="727"/>
    </row>
    <row r="750" ht="15.75">
      <c r="A750" s="727"/>
    </row>
    <row r="751" ht="15.75">
      <c r="A751" s="727"/>
    </row>
    <row r="752" ht="15.75">
      <c r="A752" s="727"/>
    </row>
    <row r="753" ht="15.75">
      <c r="A753" s="727"/>
    </row>
    <row r="754" ht="15.75">
      <c r="A754" s="727"/>
    </row>
    <row r="755" ht="15.75">
      <c r="A755" s="727"/>
    </row>
    <row r="756" ht="15.75">
      <c r="A756" s="727"/>
    </row>
    <row r="757" ht="15.75">
      <c r="A757" s="727"/>
    </row>
    <row r="758" ht="15.75">
      <c r="A758" s="727"/>
    </row>
    <row r="759" ht="15.75">
      <c r="A759" s="727"/>
    </row>
    <row r="760" ht="15.75">
      <c r="A760" s="727"/>
    </row>
    <row r="761" ht="15.75">
      <c r="A761" s="727"/>
    </row>
    <row r="762" ht="15.75">
      <c r="A762" s="727"/>
    </row>
    <row r="763" ht="15.75">
      <c r="A763" s="727"/>
    </row>
    <row r="764" ht="15.75">
      <c r="A764" s="727"/>
    </row>
    <row r="765" ht="15.75">
      <c r="A765" s="727"/>
    </row>
    <row r="766" ht="15.75">
      <c r="A766" s="727"/>
    </row>
    <row r="767" ht="15.75">
      <c r="A767" s="727"/>
    </row>
    <row r="768" ht="15.75">
      <c r="A768" s="727"/>
    </row>
    <row r="769" ht="15.75">
      <c r="A769" s="727"/>
    </row>
    <row r="770" ht="15.75">
      <c r="A770" s="727"/>
    </row>
    <row r="771" ht="15.75">
      <c r="A771" s="727"/>
    </row>
    <row r="772" ht="15.75">
      <c r="A772" s="727"/>
    </row>
    <row r="773" ht="15.75">
      <c r="A773" s="727"/>
    </row>
    <row r="774" ht="15.75">
      <c r="A774" s="727"/>
    </row>
    <row r="775" ht="15.75">
      <c r="A775" s="727"/>
    </row>
    <row r="776" ht="15.75">
      <c r="A776" s="727"/>
    </row>
    <row r="777" ht="15.75">
      <c r="A777" s="727"/>
    </row>
    <row r="778" ht="15.75">
      <c r="A778" s="727"/>
    </row>
    <row r="779" ht="15.75">
      <c r="A779" s="727"/>
    </row>
    <row r="780" ht="15.75">
      <c r="A780" s="727"/>
    </row>
    <row r="781" ht="15.75">
      <c r="A781" s="727"/>
    </row>
    <row r="782" ht="15.75">
      <c r="A782" s="727"/>
    </row>
    <row r="783" ht="15.75">
      <c r="A783" s="727"/>
    </row>
    <row r="784" ht="15.75">
      <c r="A784" s="727"/>
    </row>
    <row r="785" ht="15.75">
      <c r="A785" s="727"/>
    </row>
    <row r="786" ht="15.75">
      <c r="A786" s="727"/>
    </row>
    <row r="787" ht="15.75">
      <c r="A787" s="727"/>
    </row>
    <row r="788" ht="15.75">
      <c r="A788" s="727"/>
    </row>
    <row r="789" ht="15.75">
      <c r="A789" s="727"/>
    </row>
    <row r="790" ht="15.75">
      <c r="A790" s="727"/>
    </row>
    <row r="791" ht="15.75">
      <c r="A791" s="727"/>
    </row>
    <row r="792" ht="15.75">
      <c r="A792" s="727"/>
    </row>
    <row r="793" ht="15.75">
      <c r="A793" s="727"/>
    </row>
    <row r="794" ht="15.75">
      <c r="A794" s="727"/>
    </row>
    <row r="795" ht="15.75">
      <c r="A795" s="727"/>
    </row>
    <row r="796" ht="15.75">
      <c r="A796" s="727"/>
    </row>
    <row r="797" ht="15.75">
      <c r="A797" s="727"/>
    </row>
    <row r="798" ht="15.75">
      <c r="A798" s="727"/>
    </row>
    <row r="799" ht="15.75">
      <c r="A799" s="727"/>
    </row>
    <row r="800" ht="15.75">
      <c r="A800" s="727"/>
    </row>
    <row r="801" ht="15.75">
      <c r="A801" s="727"/>
    </row>
    <row r="802" ht="15.75">
      <c r="A802" s="727"/>
    </row>
    <row r="803" ht="15.75">
      <c r="A803" s="727"/>
    </row>
    <row r="804" ht="15.75">
      <c r="A804" s="727"/>
    </row>
    <row r="805" ht="15.75">
      <c r="A805" s="727"/>
    </row>
    <row r="806" ht="15.75">
      <c r="A806" s="727"/>
    </row>
    <row r="807" ht="15.75">
      <c r="A807" s="727"/>
    </row>
    <row r="808" ht="15.75">
      <c r="A808" s="727"/>
    </row>
    <row r="809" ht="15.75">
      <c r="A809" s="727"/>
    </row>
    <row r="810" ht="15.75">
      <c r="A810" s="727"/>
    </row>
    <row r="811" ht="15.75">
      <c r="A811" s="727"/>
    </row>
    <row r="812" ht="15.75">
      <c r="A812" s="727"/>
    </row>
    <row r="813" ht="15.75">
      <c r="A813" s="727"/>
    </row>
    <row r="814" ht="15.75">
      <c r="A814" s="727"/>
    </row>
    <row r="815" ht="15.75">
      <c r="A815" s="727"/>
    </row>
    <row r="816" ht="15.75">
      <c r="A816" s="727"/>
    </row>
    <row r="817" ht="15.75">
      <c r="A817" s="727"/>
    </row>
    <row r="818" ht="15.75">
      <c r="A818" s="727"/>
    </row>
    <row r="819" ht="15.75">
      <c r="A819" s="727"/>
    </row>
    <row r="820" ht="15.75">
      <c r="A820" s="727"/>
    </row>
    <row r="821" ht="15.75">
      <c r="A821" s="727"/>
    </row>
    <row r="822" ht="15.75">
      <c r="A822" s="727"/>
    </row>
    <row r="823" ht="15.75">
      <c r="A823" s="727"/>
    </row>
    <row r="824" ht="15.75">
      <c r="A824" s="727"/>
    </row>
    <row r="825" ht="15.75">
      <c r="A825" s="727"/>
    </row>
    <row r="826" ht="15.75">
      <c r="A826" s="727"/>
    </row>
    <row r="827" ht="15.75">
      <c r="A827" s="727"/>
    </row>
    <row r="828" ht="15.75">
      <c r="A828" s="727"/>
    </row>
    <row r="829" ht="15.75">
      <c r="A829" s="727"/>
    </row>
    <row r="830" ht="15.75">
      <c r="A830" s="727"/>
    </row>
    <row r="831" ht="15.75">
      <c r="A831" s="727"/>
    </row>
    <row r="832" ht="15.75">
      <c r="A832" s="727"/>
    </row>
    <row r="833" ht="15.75">
      <c r="A833" s="727"/>
    </row>
    <row r="834" ht="15.75">
      <c r="A834" s="727"/>
    </row>
    <row r="835" ht="15.75">
      <c r="A835" s="727"/>
    </row>
    <row r="836" ht="15.75">
      <c r="A836" s="727"/>
    </row>
    <row r="837" ht="15.75">
      <c r="A837" s="727"/>
    </row>
    <row r="838" ht="15.75">
      <c r="A838" s="727"/>
    </row>
    <row r="839" ht="15.75">
      <c r="A839" s="727"/>
    </row>
    <row r="840" ht="15.75">
      <c r="A840" s="727"/>
    </row>
    <row r="841" ht="15.75">
      <c r="A841" s="727"/>
    </row>
    <row r="842" ht="15.75">
      <c r="A842" s="727"/>
    </row>
    <row r="843" ht="15.75">
      <c r="A843" s="727"/>
    </row>
    <row r="844" ht="15.75">
      <c r="A844" s="727"/>
    </row>
    <row r="845" ht="15.75">
      <c r="A845" s="727"/>
    </row>
    <row r="846" ht="15.75">
      <c r="A846" s="727"/>
    </row>
    <row r="847" ht="15.75">
      <c r="A847" s="727"/>
    </row>
    <row r="848" ht="15.75">
      <c r="A848" s="727"/>
    </row>
    <row r="849" ht="15.75">
      <c r="A849" s="727"/>
    </row>
    <row r="850" ht="15.75">
      <c r="A850" s="727"/>
    </row>
    <row r="851" ht="15.75">
      <c r="A851" s="727"/>
    </row>
    <row r="852" ht="15.75">
      <c r="A852" s="727"/>
    </row>
    <row r="853" ht="15.75">
      <c r="A853" s="727"/>
    </row>
    <row r="854" ht="15.75">
      <c r="A854" s="727"/>
    </row>
    <row r="855" ht="15.75">
      <c r="A855" s="727"/>
    </row>
    <row r="856" ht="15.75">
      <c r="A856" s="727"/>
    </row>
    <row r="857" ht="15.75">
      <c r="A857" s="727"/>
    </row>
    <row r="858" ht="15.75">
      <c r="A858" s="727"/>
    </row>
    <row r="859" ht="15.75">
      <c r="A859" s="727"/>
    </row>
    <row r="860" ht="15.75">
      <c r="A860" s="727"/>
    </row>
    <row r="861" ht="15.75">
      <c r="A861" s="727"/>
    </row>
    <row r="862" ht="15.75">
      <c r="A862" s="727"/>
    </row>
    <row r="863" ht="15.75">
      <c r="A863" s="727"/>
    </row>
    <row r="864" ht="15.75">
      <c r="A864" s="727"/>
    </row>
    <row r="865" ht="15.75">
      <c r="A865" s="727"/>
    </row>
    <row r="866" ht="15.75">
      <c r="A866" s="727"/>
    </row>
    <row r="867" ht="15.75">
      <c r="A867" s="727"/>
    </row>
    <row r="868" ht="15.75">
      <c r="A868" s="727"/>
    </row>
    <row r="869" ht="15.75">
      <c r="A869" s="727"/>
    </row>
    <row r="870" ht="15.75">
      <c r="A870" s="727"/>
    </row>
    <row r="871" ht="15.75">
      <c r="A871" s="727"/>
    </row>
    <row r="872" ht="15.75">
      <c r="A872" s="727"/>
    </row>
    <row r="873" ht="15.75">
      <c r="A873" s="727"/>
    </row>
    <row r="874" ht="15.75">
      <c r="A874" s="727"/>
    </row>
    <row r="875" ht="15.75">
      <c r="A875" s="727"/>
    </row>
    <row r="876" ht="15.75">
      <c r="A876" s="727"/>
    </row>
    <row r="877" ht="15.75">
      <c r="A877" s="727"/>
    </row>
    <row r="878" ht="15.75">
      <c r="A878" s="727"/>
    </row>
    <row r="879" ht="15.75">
      <c r="A879" s="727"/>
    </row>
    <row r="880" ht="15.75">
      <c r="A880" s="727"/>
    </row>
    <row r="881" ht="15.75">
      <c r="A881" s="727"/>
    </row>
    <row r="882" ht="15.75">
      <c r="A882" s="727"/>
    </row>
    <row r="883" ht="15.75">
      <c r="A883" s="727"/>
    </row>
    <row r="884" ht="15.75">
      <c r="A884" s="727"/>
    </row>
    <row r="885" ht="15.75">
      <c r="A885" s="727"/>
    </row>
    <row r="886" ht="15.75">
      <c r="A886" s="727"/>
    </row>
    <row r="887" ht="15.75">
      <c r="A887" s="727"/>
    </row>
    <row r="888" ht="15.75">
      <c r="A888" s="727"/>
    </row>
    <row r="889" ht="15.75">
      <c r="A889" s="727"/>
    </row>
    <row r="890" ht="15.75">
      <c r="A890" s="727"/>
    </row>
    <row r="891" ht="15.75">
      <c r="A891" s="727"/>
    </row>
    <row r="892" ht="15.75">
      <c r="A892" s="727"/>
    </row>
    <row r="893" ht="15.75">
      <c r="A893" s="727"/>
    </row>
    <row r="894" ht="15.75">
      <c r="A894" s="727"/>
    </row>
    <row r="895" ht="15.75">
      <c r="A895" s="727"/>
    </row>
    <row r="896" ht="15.75">
      <c r="A896" s="727"/>
    </row>
    <row r="897" ht="15.75">
      <c r="A897" s="727"/>
    </row>
    <row r="898" ht="15.75">
      <c r="A898" s="727"/>
    </row>
    <row r="899" ht="15.75">
      <c r="A899" s="727"/>
    </row>
    <row r="900" ht="15.75">
      <c r="A900" s="727"/>
    </row>
    <row r="901" ht="15.75">
      <c r="A901" s="727"/>
    </row>
    <row r="902" ht="15.75">
      <c r="A902" s="727"/>
    </row>
    <row r="903" ht="15.75">
      <c r="A903" s="727"/>
    </row>
    <row r="904" ht="15.75">
      <c r="A904" s="727"/>
    </row>
    <row r="905" ht="15.75">
      <c r="A905" s="727"/>
    </row>
    <row r="906" ht="15.75">
      <c r="A906" s="727"/>
    </row>
    <row r="907" ht="15.75">
      <c r="A907" s="727"/>
    </row>
    <row r="908" ht="15.75">
      <c r="A908" s="727"/>
    </row>
    <row r="909" ht="15.75">
      <c r="A909" s="727"/>
    </row>
    <row r="910" ht="15.75">
      <c r="A910" s="727"/>
    </row>
    <row r="911" ht="15.75">
      <c r="A911" s="727"/>
    </row>
    <row r="912" ht="15.75">
      <c r="A912" s="727"/>
    </row>
    <row r="913" ht="15.75">
      <c r="A913" s="727"/>
    </row>
    <row r="914" ht="15.75">
      <c r="A914" s="727"/>
    </row>
    <row r="915" ht="15.75">
      <c r="A915" s="727"/>
    </row>
    <row r="916" ht="15.75">
      <c r="A916" s="727"/>
    </row>
    <row r="917" ht="15.75">
      <c r="A917" s="727"/>
    </row>
    <row r="918" ht="15.75">
      <c r="A918" s="727"/>
    </row>
    <row r="919" ht="15.75">
      <c r="A919" s="727"/>
    </row>
    <row r="920" ht="15.75">
      <c r="A920" s="727"/>
    </row>
    <row r="921" ht="15.75">
      <c r="A921" s="727"/>
    </row>
    <row r="922" ht="15.75">
      <c r="A922" s="727"/>
    </row>
    <row r="923" ht="15.75">
      <c r="A923" s="727"/>
    </row>
    <row r="924" ht="15.75">
      <c r="A924" s="727"/>
    </row>
    <row r="925" ht="15.75">
      <c r="A925" s="727"/>
    </row>
    <row r="926" ht="15.75">
      <c r="A926" s="727"/>
    </row>
    <row r="927" ht="15.75">
      <c r="A927" s="727"/>
    </row>
    <row r="928" ht="15.75">
      <c r="A928" s="727"/>
    </row>
    <row r="929" ht="15.75">
      <c r="A929" s="727"/>
    </row>
    <row r="930" ht="15.75">
      <c r="A930" s="727"/>
    </row>
    <row r="931" ht="15.75">
      <c r="A931" s="727"/>
    </row>
    <row r="932" ht="15.75">
      <c r="A932" s="727"/>
    </row>
    <row r="933" ht="15.75">
      <c r="A933" s="727"/>
    </row>
    <row r="934" ht="15.75">
      <c r="A934" s="727"/>
    </row>
    <row r="935" ht="15.75">
      <c r="A935" s="727"/>
    </row>
    <row r="936" ht="15.75">
      <c r="A936" s="727"/>
    </row>
    <row r="937" ht="15.75">
      <c r="A937" s="727"/>
    </row>
    <row r="938" ht="15.75">
      <c r="A938" s="727"/>
    </row>
    <row r="939" ht="15.75">
      <c r="A939" s="727"/>
    </row>
    <row r="940" ht="15.75">
      <c r="A940" s="727"/>
    </row>
    <row r="941" ht="15.75">
      <c r="A941" s="727"/>
    </row>
    <row r="942" ht="15.75">
      <c r="A942" s="727"/>
    </row>
    <row r="943" ht="15.75">
      <c r="A943" s="727"/>
    </row>
    <row r="944" ht="15.75">
      <c r="A944" s="727"/>
    </row>
    <row r="945" ht="15.75">
      <c r="A945" s="727"/>
    </row>
    <row r="946" ht="15.75">
      <c r="A946" s="727"/>
    </row>
    <row r="947" ht="15.75">
      <c r="A947" s="727"/>
    </row>
    <row r="948" ht="15.75">
      <c r="A948" s="727"/>
    </row>
    <row r="949" ht="15.75">
      <c r="A949" s="727"/>
    </row>
    <row r="950" ht="15.75">
      <c r="A950" s="727"/>
    </row>
    <row r="951" ht="15.75">
      <c r="A951" s="727"/>
    </row>
    <row r="952" ht="15.75">
      <c r="A952" s="727"/>
    </row>
    <row r="953" ht="15.75">
      <c r="A953" s="727"/>
    </row>
    <row r="954" ht="15.75">
      <c r="A954" s="727"/>
    </row>
    <row r="955" ht="15.75">
      <c r="A955" s="727"/>
    </row>
    <row r="956" ht="15.75">
      <c r="A956" s="727"/>
    </row>
    <row r="957" ht="15.75">
      <c r="A957" s="727"/>
    </row>
    <row r="958" ht="15.75">
      <c r="A958" s="727"/>
    </row>
    <row r="959" ht="15.75">
      <c r="A959" s="727"/>
    </row>
    <row r="960" ht="15.75">
      <c r="A960" s="727"/>
    </row>
    <row r="961" ht="15.75">
      <c r="A961" s="727"/>
    </row>
    <row r="962" ht="15.75">
      <c r="A962" s="727"/>
    </row>
    <row r="963" ht="15.75">
      <c r="A963" s="727"/>
    </row>
    <row r="964" ht="15.75">
      <c r="A964" s="727"/>
    </row>
    <row r="965" ht="15.75">
      <c r="A965" s="727"/>
    </row>
    <row r="966" ht="15.75">
      <c r="A966" s="727"/>
    </row>
    <row r="967" ht="15.75">
      <c r="A967" s="727"/>
    </row>
    <row r="968" ht="15.75">
      <c r="A968" s="727"/>
    </row>
    <row r="969" ht="15.75">
      <c r="A969" s="727"/>
    </row>
    <row r="970" ht="15.75">
      <c r="A970" s="727"/>
    </row>
    <row r="971" ht="15.75">
      <c r="A971" s="727"/>
    </row>
    <row r="972" ht="15.75">
      <c r="A972" s="727"/>
    </row>
    <row r="973" ht="15.75">
      <c r="A973" s="727"/>
    </row>
    <row r="974" ht="15.75">
      <c r="A974" s="727"/>
    </row>
    <row r="975" ht="15.75">
      <c r="A975" s="727"/>
    </row>
    <row r="976" ht="15.75">
      <c r="A976" s="727"/>
    </row>
    <row r="977" ht="15.75">
      <c r="A977" s="727"/>
    </row>
    <row r="978" ht="15.75">
      <c r="A978" s="727"/>
    </row>
    <row r="979" ht="15.75">
      <c r="A979" s="727"/>
    </row>
    <row r="980" ht="15.75">
      <c r="A980" s="727"/>
    </row>
    <row r="981" ht="15.75">
      <c r="A981" s="727"/>
    </row>
    <row r="982" ht="15.75">
      <c r="A982" s="727"/>
    </row>
    <row r="983" ht="15.75">
      <c r="A983" s="727"/>
    </row>
    <row r="984" ht="15.75">
      <c r="A984" s="727"/>
    </row>
    <row r="985" ht="15.75">
      <c r="A985" s="727"/>
    </row>
    <row r="986" ht="15.75">
      <c r="A986" s="727"/>
    </row>
    <row r="987" ht="15.75">
      <c r="A987" s="727"/>
    </row>
    <row r="988" ht="15.75">
      <c r="A988" s="727"/>
    </row>
    <row r="989" ht="15.75">
      <c r="A989" s="727"/>
    </row>
    <row r="990" ht="15.75">
      <c r="A990" s="727"/>
    </row>
    <row r="991" ht="15.75">
      <c r="A991" s="727"/>
    </row>
    <row r="992" ht="15.75">
      <c r="A992" s="727"/>
    </row>
    <row r="993" ht="15.75">
      <c r="A993" s="727"/>
    </row>
    <row r="994" ht="15.75">
      <c r="A994" s="727"/>
    </row>
    <row r="995" ht="15.75">
      <c r="A995" s="727"/>
    </row>
    <row r="996" ht="15.75">
      <c r="A996" s="727"/>
    </row>
    <row r="997" ht="15.75">
      <c r="A997" s="727"/>
    </row>
    <row r="998" ht="15.75">
      <c r="A998" s="727"/>
    </row>
    <row r="999" ht="15.75">
      <c r="A999" s="727"/>
    </row>
    <row r="1000" ht="15.75">
      <c r="A1000" s="727"/>
    </row>
    <row r="1001" ht="15.75">
      <c r="A1001" s="727"/>
    </row>
    <row r="1002" ht="15.75">
      <c r="A1002" s="727"/>
    </row>
    <row r="1003" ht="15.75">
      <c r="A1003" s="727"/>
    </row>
    <row r="1004" ht="15.75">
      <c r="A1004" s="727"/>
    </row>
    <row r="1005" ht="15.75">
      <c r="A1005" s="727"/>
    </row>
    <row r="1006" ht="15.75">
      <c r="A1006" s="727"/>
    </row>
    <row r="1007" ht="15.75">
      <c r="A1007" s="727"/>
    </row>
    <row r="1008" ht="15.75">
      <c r="A1008" s="727"/>
    </row>
    <row r="1009" ht="15.75">
      <c r="A1009" s="727"/>
    </row>
    <row r="1010" ht="15.75">
      <c r="A1010" s="727"/>
    </row>
    <row r="1011" ht="15.75">
      <c r="A1011" s="727"/>
    </row>
    <row r="1012" ht="15.75">
      <c r="A1012" s="727"/>
    </row>
    <row r="1013" ht="15.75">
      <c r="A1013" s="727"/>
    </row>
    <row r="1014" ht="15.75">
      <c r="A1014" s="727"/>
    </row>
    <row r="1015" ht="15.75">
      <c r="A1015" s="727"/>
    </row>
    <row r="1016" ht="15.75">
      <c r="A1016" s="727"/>
    </row>
    <row r="1017" ht="15.75">
      <c r="A1017" s="727"/>
    </row>
    <row r="1018" ht="15.75">
      <c r="A1018" s="727"/>
    </row>
    <row r="1019" ht="15.75">
      <c r="A1019" s="727"/>
    </row>
    <row r="1020" ht="15.75">
      <c r="A1020" s="727"/>
    </row>
    <row r="1021" ht="15.75">
      <c r="A1021" s="727"/>
    </row>
    <row r="1022" ht="15.75">
      <c r="A1022" s="727"/>
    </row>
    <row r="1023" ht="15.75">
      <c r="A1023" s="727"/>
    </row>
    <row r="1024" ht="15.75">
      <c r="A1024" s="727"/>
    </row>
    <row r="1025" ht="15.75">
      <c r="A1025" s="727"/>
    </row>
    <row r="1026" ht="15.75">
      <c r="A1026" s="727"/>
    </row>
    <row r="1027" ht="15.75">
      <c r="A1027" s="727"/>
    </row>
    <row r="1028" ht="15.75">
      <c r="A1028" s="727"/>
    </row>
    <row r="1029" ht="15.75">
      <c r="A1029" s="727"/>
    </row>
    <row r="1030" ht="15.75">
      <c r="A1030" s="727"/>
    </row>
    <row r="1031" ht="15.75">
      <c r="A1031" s="727"/>
    </row>
    <row r="1032" ht="15.75">
      <c r="A1032" s="727"/>
    </row>
    <row r="1033" ht="15.75">
      <c r="A1033" s="727"/>
    </row>
    <row r="1034" ht="15.75">
      <c r="A1034" s="727"/>
    </row>
    <row r="1035" ht="15.75">
      <c r="A1035" s="727"/>
    </row>
    <row r="1036" ht="15.75">
      <c r="A1036" s="727"/>
    </row>
    <row r="1037" ht="15.75">
      <c r="A1037" s="727"/>
    </row>
    <row r="1038" ht="15.75">
      <c r="A1038" s="727"/>
    </row>
    <row r="1039" ht="15.75">
      <c r="A1039" s="727"/>
    </row>
    <row r="1040" ht="15.75">
      <c r="A1040" s="727"/>
    </row>
    <row r="1041" ht="15.75">
      <c r="A1041" s="727"/>
    </row>
    <row r="1042" ht="15.75">
      <c r="A1042" s="727"/>
    </row>
    <row r="1043" ht="15.75">
      <c r="A1043" s="727"/>
    </row>
    <row r="1044" ht="15.75">
      <c r="A1044" s="727"/>
    </row>
    <row r="1045" ht="15.75">
      <c r="A1045" s="727"/>
    </row>
    <row r="1046" ht="15.75">
      <c r="A1046" s="727"/>
    </row>
    <row r="1047" ht="15.75">
      <c r="A1047" s="727"/>
    </row>
    <row r="1048" ht="15.75">
      <c r="A1048" s="727"/>
    </row>
    <row r="1049" ht="15.75">
      <c r="A1049" s="727"/>
    </row>
    <row r="1050" ht="15.75">
      <c r="A1050" s="727"/>
    </row>
    <row r="1051" ht="15.75">
      <c r="A1051" s="727"/>
    </row>
    <row r="1052" ht="15.75">
      <c r="A1052" s="727"/>
    </row>
    <row r="1053" ht="15.75">
      <c r="A1053" s="727"/>
    </row>
    <row r="1054" ht="15.75">
      <c r="A1054" s="727"/>
    </row>
    <row r="1055" ht="15.75">
      <c r="A1055" s="727"/>
    </row>
    <row r="1056" ht="15.75">
      <c r="A1056" s="727"/>
    </row>
    <row r="1057" ht="15.75">
      <c r="A1057" s="727"/>
    </row>
    <row r="1058" ht="15.75">
      <c r="A1058" s="727"/>
    </row>
    <row r="1059" ht="15.75">
      <c r="A1059" s="727"/>
    </row>
    <row r="1060" ht="15.75">
      <c r="A1060" s="727"/>
    </row>
    <row r="1061" ht="15.75">
      <c r="A1061" s="727"/>
    </row>
    <row r="1062" ht="15.75">
      <c r="A1062" s="727"/>
    </row>
    <row r="1063" ht="15.75">
      <c r="A1063" s="727"/>
    </row>
    <row r="1064" ht="15.75">
      <c r="A1064" s="727"/>
    </row>
    <row r="1065" ht="15.75">
      <c r="A1065" s="727"/>
    </row>
    <row r="1066" ht="15.75">
      <c r="A1066" s="727"/>
    </row>
    <row r="1067" ht="15.75">
      <c r="A1067" s="727"/>
    </row>
    <row r="1068" ht="15.75">
      <c r="A1068" s="727"/>
    </row>
    <row r="1069" ht="15.75">
      <c r="A1069" s="727"/>
    </row>
    <row r="1070" ht="15.75">
      <c r="A1070" s="727"/>
    </row>
    <row r="1071" ht="15.75">
      <c r="A1071" s="727"/>
    </row>
    <row r="1072" ht="15.75">
      <c r="A1072" s="727"/>
    </row>
    <row r="1073" ht="15.75">
      <c r="A1073" s="727"/>
    </row>
    <row r="1074" ht="15.75">
      <c r="A1074" s="727"/>
    </row>
    <row r="1075" ht="15.75">
      <c r="A1075" s="727"/>
    </row>
    <row r="1076" ht="15.75">
      <c r="A1076" s="727"/>
    </row>
    <row r="1077" ht="15.75">
      <c r="A1077" s="727"/>
    </row>
    <row r="1078" ht="15.75">
      <c r="A1078" s="727"/>
    </row>
    <row r="1079" ht="15.75">
      <c r="A1079" s="727"/>
    </row>
    <row r="1080" ht="15.75">
      <c r="A1080" s="727"/>
    </row>
    <row r="1081" ht="15.75">
      <c r="A1081" s="727"/>
    </row>
    <row r="1082" ht="15.75">
      <c r="A1082" s="727"/>
    </row>
    <row r="1083" ht="15.75">
      <c r="A1083" s="727"/>
    </row>
    <row r="1084" ht="15.75">
      <c r="A1084" s="727"/>
    </row>
    <row r="1085" ht="15.75">
      <c r="A1085" s="727"/>
    </row>
    <row r="1086" ht="15.75">
      <c r="A1086" s="727"/>
    </row>
    <row r="1087" ht="15.75">
      <c r="A1087" s="727"/>
    </row>
    <row r="1088" ht="15.75">
      <c r="A1088" s="727"/>
    </row>
    <row r="1089" ht="15.75">
      <c r="A1089" s="727"/>
    </row>
    <row r="1090" ht="15.75">
      <c r="A1090" s="727"/>
    </row>
    <row r="1091" ht="15.75">
      <c r="A1091" s="727"/>
    </row>
    <row r="1092" ht="15.75">
      <c r="A1092" s="727"/>
    </row>
    <row r="1093" ht="15.75">
      <c r="A1093" s="727"/>
    </row>
    <row r="1094" ht="15.75">
      <c r="A1094" s="727"/>
    </row>
    <row r="1095" ht="15.75">
      <c r="A1095" s="727"/>
    </row>
    <row r="1096" ht="15.75">
      <c r="A1096" s="727"/>
    </row>
    <row r="1097" ht="15.75">
      <c r="A1097" s="727"/>
    </row>
    <row r="1098" ht="15.75">
      <c r="A1098" s="727"/>
    </row>
    <row r="1099" ht="15.75">
      <c r="A1099" s="727"/>
    </row>
    <row r="1100" ht="15.75">
      <c r="A1100" s="727"/>
    </row>
    <row r="1101" ht="15.75">
      <c r="A1101" s="727"/>
    </row>
    <row r="1102" ht="15.75">
      <c r="A1102" s="727"/>
    </row>
    <row r="1103" ht="15.75">
      <c r="A1103" s="727"/>
    </row>
    <row r="1104" ht="15.75">
      <c r="A1104" s="727"/>
    </row>
    <row r="1105" ht="15.75">
      <c r="A1105" s="727"/>
    </row>
    <row r="1106" ht="15.75">
      <c r="A1106" s="727"/>
    </row>
    <row r="1107" ht="15.75">
      <c r="A1107" s="727"/>
    </row>
    <row r="1108" ht="15.75">
      <c r="A1108" s="727"/>
    </row>
    <row r="1109" ht="15.75">
      <c r="A1109" s="727"/>
    </row>
    <row r="1110" ht="15.75">
      <c r="A1110" s="727"/>
    </row>
    <row r="1111" ht="15.75">
      <c r="A1111" s="727"/>
    </row>
    <row r="1112" ht="15.75">
      <c r="A1112" s="727"/>
    </row>
    <row r="1113" ht="15.75">
      <c r="A1113" s="727"/>
    </row>
    <row r="1114" ht="15.75">
      <c r="A1114" s="727"/>
    </row>
    <row r="1115" ht="15.75">
      <c r="A1115" s="727"/>
    </row>
    <row r="1116" ht="15.75">
      <c r="A1116" s="727"/>
    </row>
    <row r="1117" ht="15.75">
      <c r="A1117" s="727"/>
    </row>
    <row r="1118" ht="15.75">
      <c r="A1118" s="727"/>
    </row>
    <row r="1119" ht="15.75">
      <c r="A1119" s="727"/>
    </row>
    <row r="1120" ht="15.75">
      <c r="A1120" s="727"/>
    </row>
    <row r="1121" ht="15.75">
      <c r="A1121" s="727"/>
    </row>
    <row r="1122" ht="15.75">
      <c r="A1122" s="727"/>
    </row>
    <row r="1123" ht="15.75">
      <c r="A1123" s="727"/>
    </row>
    <row r="1124" ht="15.75">
      <c r="A1124" s="727"/>
    </row>
    <row r="1125" ht="15.75">
      <c r="A1125" s="727"/>
    </row>
    <row r="1126" ht="15.75">
      <c r="A1126" s="727"/>
    </row>
    <row r="1127" ht="15.75">
      <c r="A1127" s="727"/>
    </row>
    <row r="1128" ht="15.75">
      <c r="A1128" s="727"/>
    </row>
    <row r="1129" ht="15.75">
      <c r="A1129" s="727"/>
    </row>
    <row r="1130" ht="15.75">
      <c r="A1130" s="727"/>
    </row>
    <row r="1131" ht="15.75">
      <c r="A1131" s="727"/>
    </row>
    <row r="1132" ht="15.75">
      <c r="A1132" s="727"/>
    </row>
    <row r="1133" ht="15.75">
      <c r="A1133" s="727"/>
    </row>
    <row r="1134" ht="15.75">
      <c r="A1134" s="727"/>
    </row>
    <row r="1135" ht="15.75">
      <c r="A1135" s="727"/>
    </row>
    <row r="1136" ht="15.75">
      <c r="A1136" s="727"/>
    </row>
    <row r="1137" ht="15.75">
      <c r="A1137" s="727"/>
    </row>
    <row r="1138" ht="15.75">
      <c r="A1138" s="727"/>
    </row>
    <row r="1139" ht="15.75">
      <c r="A1139" s="727"/>
    </row>
    <row r="1140" ht="15.75">
      <c r="A1140" s="727"/>
    </row>
    <row r="1141" ht="15.75">
      <c r="A1141" s="727"/>
    </row>
    <row r="1142" ht="15.75">
      <c r="A1142" s="727"/>
    </row>
    <row r="1143" ht="15.75">
      <c r="A1143" s="727"/>
    </row>
    <row r="1144" ht="15.75">
      <c r="A1144" s="727"/>
    </row>
    <row r="1145" ht="15.75">
      <c r="A1145" s="727"/>
    </row>
    <row r="1146" ht="15.75">
      <c r="A1146" s="727"/>
    </row>
    <row r="1147" ht="15.75">
      <c r="A1147" s="727"/>
    </row>
    <row r="1148" ht="15.75">
      <c r="A1148" s="727"/>
    </row>
    <row r="1149" ht="15.75">
      <c r="A1149" s="727"/>
    </row>
    <row r="1150" ht="15.75">
      <c r="A1150" s="727"/>
    </row>
    <row r="1151" ht="15.75">
      <c r="A1151" s="727"/>
    </row>
    <row r="1152" ht="15.75">
      <c r="A1152" s="727"/>
    </row>
    <row r="1153" ht="15.75">
      <c r="A1153" s="727"/>
    </row>
    <row r="1154" ht="15.75">
      <c r="A1154" s="727"/>
    </row>
    <row r="1155" ht="15.75">
      <c r="A1155" s="727"/>
    </row>
    <row r="1156" ht="15.75">
      <c r="A1156" s="727"/>
    </row>
    <row r="1157" ht="15.75">
      <c r="A1157" s="727"/>
    </row>
    <row r="1158" ht="15.75">
      <c r="A1158" s="727"/>
    </row>
    <row r="1159" ht="15.75">
      <c r="A1159" s="727"/>
    </row>
    <row r="1160" ht="15.75">
      <c r="A1160" s="727"/>
    </row>
    <row r="1161" ht="15.75">
      <c r="A1161" s="727"/>
    </row>
    <row r="1162" ht="15.75">
      <c r="A1162" s="727"/>
    </row>
    <row r="1163" ht="15.75">
      <c r="A1163" s="727"/>
    </row>
    <row r="1164" ht="15.75">
      <c r="A1164" s="727"/>
    </row>
    <row r="1165" ht="15.75">
      <c r="A1165" s="727"/>
    </row>
    <row r="1166" ht="15.75">
      <c r="A1166" s="727"/>
    </row>
    <row r="1167" ht="15.75">
      <c r="A1167" s="727"/>
    </row>
    <row r="1168" ht="15.75">
      <c r="A1168" s="727"/>
    </row>
    <row r="1169" ht="15.75">
      <c r="A1169" s="727"/>
    </row>
    <row r="1170" ht="15.75">
      <c r="A1170" s="727"/>
    </row>
    <row r="1171" ht="15.75">
      <c r="A1171" s="727"/>
    </row>
    <row r="1172" ht="15.75">
      <c r="A1172" s="727"/>
    </row>
    <row r="1173" ht="15.75">
      <c r="A1173" s="727"/>
    </row>
    <row r="1174" ht="15.75">
      <c r="A1174" s="727"/>
    </row>
    <row r="1175" ht="15.75">
      <c r="A1175" s="727"/>
    </row>
    <row r="1176" ht="15.75">
      <c r="A1176" s="727"/>
    </row>
    <row r="1177" ht="15.75">
      <c r="A1177" s="727"/>
    </row>
    <row r="1178" ht="15.75">
      <c r="A1178" s="727"/>
    </row>
    <row r="1179" ht="15.75">
      <c r="A1179" s="727"/>
    </row>
    <row r="1180" ht="15.75">
      <c r="A1180" s="727"/>
    </row>
    <row r="1181" ht="15.75">
      <c r="A1181" s="727"/>
    </row>
    <row r="1182" ht="15.75">
      <c r="A1182" s="727"/>
    </row>
    <row r="1183" ht="15.75">
      <c r="A1183" s="727"/>
    </row>
    <row r="1184" ht="15.75">
      <c r="A1184" s="727"/>
    </row>
    <row r="1185" ht="15.75">
      <c r="A1185" s="727"/>
    </row>
    <row r="1186" ht="15.75">
      <c r="A1186" s="727"/>
    </row>
    <row r="1187" ht="15.75">
      <c r="A1187" s="727"/>
    </row>
    <row r="1188" ht="15.75">
      <c r="A1188" s="727"/>
    </row>
    <row r="1189" ht="15.75">
      <c r="A1189" s="727"/>
    </row>
    <row r="1190" ht="15.75">
      <c r="A1190" s="727"/>
    </row>
    <row r="1191" ht="15.75">
      <c r="A1191" s="727"/>
    </row>
    <row r="1192" ht="15.75">
      <c r="A1192" s="727"/>
    </row>
    <row r="1193" ht="15.75">
      <c r="A1193" s="727"/>
    </row>
    <row r="1194" ht="15.75">
      <c r="A1194" s="727"/>
    </row>
    <row r="1195" ht="15.75">
      <c r="A1195" s="727"/>
    </row>
    <row r="1196" ht="15.75">
      <c r="A1196" s="727"/>
    </row>
    <row r="1197" ht="15.75">
      <c r="A1197" s="727"/>
    </row>
    <row r="1198" ht="15.75">
      <c r="A1198" s="727"/>
    </row>
    <row r="1199" ht="15.75">
      <c r="A1199" s="727"/>
    </row>
    <row r="1200" ht="15.75">
      <c r="A1200" s="727"/>
    </row>
    <row r="1201" ht="15.75">
      <c r="A1201" s="727"/>
    </row>
    <row r="1202" ht="15.75">
      <c r="A1202" s="727"/>
    </row>
    <row r="1203" ht="15.75">
      <c r="A1203" s="727"/>
    </row>
    <row r="1204" ht="15.75">
      <c r="A1204" s="727"/>
    </row>
    <row r="1205" ht="15.75">
      <c r="A1205" s="727"/>
    </row>
    <row r="1206" ht="15.75">
      <c r="A1206" s="727"/>
    </row>
    <row r="1207" ht="15.75">
      <c r="A1207" s="727"/>
    </row>
    <row r="1208" ht="15.75">
      <c r="A1208" s="727"/>
    </row>
    <row r="1209" ht="15.75">
      <c r="A1209" s="727"/>
    </row>
    <row r="1210" ht="15.75">
      <c r="A1210" s="727"/>
    </row>
    <row r="1211" ht="15.75">
      <c r="A1211" s="727"/>
    </row>
    <row r="1212" ht="15.75">
      <c r="A1212" s="727"/>
    </row>
    <row r="1213" ht="15.75">
      <c r="A1213" s="727"/>
    </row>
    <row r="1214" ht="15.75">
      <c r="A1214" s="727"/>
    </row>
    <row r="1215" ht="15.75">
      <c r="A1215" s="727"/>
    </row>
    <row r="1216" ht="15.75">
      <c r="A1216" s="727"/>
    </row>
    <row r="1217" ht="15.75">
      <c r="A1217" s="727"/>
    </row>
    <row r="1218" ht="15.75">
      <c r="A1218" s="727"/>
    </row>
    <row r="1219" ht="15.75">
      <c r="A1219" s="727"/>
    </row>
    <row r="1220" ht="15.75">
      <c r="A1220" s="727"/>
    </row>
    <row r="1221" ht="15.75">
      <c r="A1221" s="727"/>
    </row>
    <row r="1222" ht="15.75">
      <c r="A1222" s="727"/>
    </row>
    <row r="1223" ht="15.75">
      <c r="A1223" s="727"/>
    </row>
    <row r="1224" ht="15.75">
      <c r="A1224" s="727"/>
    </row>
    <row r="1225" ht="15.75">
      <c r="A1225" s="727"/>
    </row>
    <row r="1226" ht="15.75">
      <c r="A1226" s="727"/>
    </row>
    <row r="1227" ht="15.75">
      <c r="A1227" s="727"/>
    </row>
    <row r="1228" ht="15.75">
      <c r="A1228" s="727"/>
    </row>
    <row r="1229" ht="15.75">
      <c r="A1229" s="727"/>
    </row>
    <row r="1230" ht="15.75">
      <c r="A1230" s="727"/>
    </row>
    <row r="1231" ht="15.75">
      <c r="A1231" s="727"/>
    </row>
    <row r="1232" ht="15.75">
      <c r="A1232" s="727"/>
    </row>
    <row r="1233" ht="15.75">
      <c r="A1233" s="727"/>
    </row>
    <row r="1234" ht="15.75">
      <c r="A1234" s="727"/>
    </row>
    <row r="1235" ht="15.75">
      <c r="A1235" s="727"/>
    </row>
    <row r="1236" ht="15.75">
      <c r="A1236" s="727"/>
    </row>
    <row r="1237" ht="15.75">
      <c r="A1237" s="727"/>
    </row>
    <row r="1238" ht="15.75">
      <c r="A1238" s="727"/>
    </row>
    <row r="1239" ht="15.75">
      <c r="A1239" s="727"/>
    </row>
    <row r="1240" ht="15.75">
      <c r="A1240" s="727"/>
    </row>
    <row r="1241" ht="15.75">
      <c r="A1241" s="727"/>
    </row>
    <row r="1242" ht="15.75">
      <c r="A1242" s="727"/>
    </row>
    <row r="1243" ht="15.75">
      <c r="A1243" s="727"/>
    </row>
    <row r="1244" ht="15.75">
      <c r="A1244" s="727"/>
    </row>
    <row r="1245" ht="15.75">
      <c r="A1245" s="727"/>
    </row>
    <row r="1246" ht="15.75">
      <c r="A1246" s="727"/>
    </row>
    <row r="1247" ht="15.75">
      <c r="A1247" s="727"/>
    </row>
    <row r="1248" ht="15.75">
      <c r="A1248" s="727"/>
    </row>
    <row r="1249" ht="15.75">
      <c r="A1249" s="727"/>
    </row>
    <row r="1250" ht="15.75">
      <c r="A1250" s="727"/>
    </row>
    <row r="1251" ht="15.75">
      <c r="A1251" s="727"/>
    </row>
    <row r="1252" ht="15.75">
      <c r="A1252" s="727"/>
    </row>
    <row r="1253" ht="15.75">
      <c r="A1253" s="727"/>
    </row>
    <row r="1254" ht="15.75">
      <c r="A1254" s="727"/>
    </row>
    <row r="1255" ht="15.75">
      <c r="A1255" s="727"/>
    </row>
    <row r="1256" ht="15.75">
      <c r="A1256" s="727"/>
    </row>
    <row r="1257" ht="15.75">
      <c r="A1257" s="727"/>
    </row>
    <row r="1258" ht="15.75">
      <c r="A1258" s="727"/>
    </row>
    <row r="1259" ht="15.75">
      <c r="A1259" s="727"/>
    </row>
    <row r="1260" ht="15.75">
      <c r="A1260" s="727"/>
    </row>
    <row r="1261" ht="15.75">
      <c r="A1261" s="727"/>
    </row>
    <row r="1262" ht="15.75">
      <c r="A1262" s="727"/>
    </row>
    <row r="1263" ht="15.75">
      <c r="A1263" s="727"/>
    </row>
    <row r="1264" ht="15.75">
      <c r="A1264" s="727"/>
    </row>
    <row r="1265" ht="15.75">
      <c r="A1265" s="727"/>
    </row>
    <row r="1266" ht="15.75">
      <c r="A1266" s="727"/>
    </row>
    <row r="1267" ht="15.75">
      <c r="A1267" s="727"/>
    </row>
    <row r="1268" ht="15.75">
      <c r="A1268" s="727"/>
    </row>
    <row r="1269" ht="15.75">
      <c r="A1269" s="727"/>
    </row>
    <row r="1270" ht="15.75">
      <c r="A1270" s="727"/>
    </row>
    <row r="1271" ht="15.75">
      <c r="A1271" s="727"/>
    </row>
    <row r="1272" ht="15.75">
      <c r="A1272" s="727"/>
    </row>
    <row r="1273" ht="15.75">
      <c r="A1273" s="727"/>
    </row>
    <row r="1274" ht="15.75">
      <c r="A1274" s="727"/>
    </row>
    <row r="1275" ht="15.75">
      <c r="A1275" s="727"/>
    </row>
    <row r="1276" ht="15.75">
      <c r="A1276" s="727"/>
    </row>
    <row r="1277" ht="15.75">
      <c r="A1277" s="727"/>
    </row>
    <row r="1278" ht="15.75">
      <c r="A1278" s="727"/>
    </row>
    <row r="1279" ht="15.75">
      <c r="A1279" s="727"/>
    </row>
    <row r="1280" ht="15.75">
      <c r="A1280" s="727"/>
    </row>
    <row r="1281" ht="15.75">
      <c r="A1281" s="727"/>
    </row>
    <row r="1282" ht="15.75">
      <c r="A1282" s="727"/>
    </row>
    <row r="1283" ht="15.75">
      <c r="A1283" s="727"/>
    </row>
    <row r="1284" ht="15.75">
      <c r="A1284" s="727"/>
    </row>
    <row r="1285" ht="15.75">
      <c r="A1285" s="727"/>
    </row>
    <row r="1286" ht="15.75">
      <c r="A1286" s="727"/>
    </row>
    <row r="1287" ht="15.75">
      <c r="A1287" s="727"/>
    </row>
    <row r="1288" ht="15.75">
      <c r="A1288" s="727"/>
    </row>
    <row r="1289" ht="15.75">
      <c r="A1289" s="727"/>
    </row>
    <row r="1290" ht="15.75">
      <c r="A1290" s="727"/>
    </row>
    <row r="1291" ht="15.75">
      <c r="A1291" s="727"/>
    </row>
    <row r="1292" ht="15.75">
      <c r="A1292" s="727"/>
    </row>
    <row r="1293" ht="15.75">
      <c r="A1293" s="727"/>
    </row>
    <row r="1294" ht="15.75">
      <c r="A1294" s="727"/>
    </row>
    <row r="1295" ht="15.75">
      <c r="A1295" s="727"/>
    </row>
    <row r="1296" ht="15.75">
      <c r="A1296" s="727"/>
    </row>
    <row r="1297" ht="15.75">
      <c r="A1297" s="727"/>
    </row>
    <row r="1298" ht="15.75">
      <c r="A1298" s="727"/>
    </row>
    <row r="1299" ht="15.75">
      <c r="A1299" s="727"/>
    </row>
    <row r="1300" ht="15.75">
      <c r="A1300" s="727"/>
    </row>
    <row r="1301" ht="15.75">
      <c r="A1301" s="727"/>
    </row>
    <row r="1302" ht="15.75">
      <c r="A1302" s="727"/>
    </row>
    <row r="1303" ht="15.75">
      <c r="A1303" s="727"/>
    </row>
    <row r="1304" ht="15.75">
      <c r="A1304" s="727"/>
    </row>
    <row r="1305" ht="15.75">
      <c r="A1305" s="727"/>
    </row>
    <row r="1306" ht="15.75">
      <c r="A1306" s="727"/>
    </row>
    <row r="1307" ht="15.75">
      <c r="A1307" s="727"/>
    </row>
    <row r="1308" ht="15.75">
      <c r="A1308" s="727"/>
    </row>
    <row r="1309" ht="15.75">
      <c r="A1309" s="727"/>
    </row>
    <row r="1310" ht="15.75">
      <c r="A1310" s="727"/>
    </row>
    <row r="1311" ht="15.75">
      <c r="A1311" s="727"/>
    </row>
    <row r="1312" ht="15.75">
      <c r="A1312" s="727"/>
    </row>
    <row r="1313" ht="15.75">
      <c r="A1313" s="727"/>
    </row>
    <row r="1314" ht="15.75">
      <c r="A1314" s="727"/>
    </row>
    <row r="1315" ht="15.75">
      <c r="A1315" s="727"/>
    </row>
    <row r="1316" ht="15.75">
      <c r="A1316" s="727"/>
    </row>
    <row r="1317" ht="15.75">
      <c r="A1317" s="727"/>
    </row>
    <row r="1318" ht="15.75">
      <c r="A1318" s="727"/>
    </row>
    <row r="1319" ht="15.75">
      <c r="A1319" s="727"/>
    </row>
    <row r="1320" ht="15.75">
      <c r="A1320" s="727"/>
    </row>
    <row r="1321" ht="15.75">
      <c r="A1321" s="727"/>
    </row>
    <row r="1322" ht="15.75">
      <c r="A1322" s="727"/>
    </row>
    <row r="1323" ht="15.75">
      <c r="A1323" s="727"/>
    </row>
    <row r="1324" ht="15.75">
      <c r="A1324" s="727"/>
    </row>
    <row r="1325" ht="15.75">
      <c r="A1325" s="727"/>
    </row>
    <row r="1326" ht="15.75">
      <c r="A1326" s="727"/>
    </row>
    <row r="1327" ht="15.75">
      <c r="A1327" s="727"/>
    </row>
    <row r="1328" ht="15.75">
      <c r="A1328" s="727"/>
    </row>
    <row r="1329" ht="15.75">
      <c r="A1329" s="727"/>
    </row>
    <row r="1330" ht="15.75">
      <c r="A1330" s="727"/>
    </row>
    <row r="1331" ht="15.75">
      <c r="A1331" s="727"/>
    </row>
    <row r="1332" ht="15.75">
      <c r="A1332" s="727"/>
    </row>
    <row r="1333" ht="15.75">
      <c r="A1333" s="727"/>
    </row>
    <row r="1334" ht="15.75">
      <c r="A1334" s="727"/>
    </row>
    <row r="1335" ht="15.75">
      <c r="A1335" s="727"/>
    </row>
    <row r="1336" ht="15.75">
      <c r="A1336" s="727"/>
    </row>
    <row r="1337" ht="15.75">
      <c r="A1337" s="727"/>
    </row>
    <row r="1338" ht="15.75">
      <c r="A1338" s="727"/>
    </row>
    <row r="1339" ht="15.75">
      <c r="A1339" s="727"/>
    </row>
    <row r="1340" ht="15.75">
      <c r="A1340" s="727"/>
    </row>
    <row r="1341" ht="15.75">
      <c r="A1341" s="727"/>
    </row>
    <row r="1342" ht="15.75">
      <c r="A1342" s="727"/>
    </row>
    <row r="1343" ht="15.75">
      <c r="A1343" s="727"/>
    </row>
    <row r="1344" ht="15.75">
      <c r="A1344" s="727"/>
    </row>
    <row r="1345" ht="15.75">
      <c r="A1345" s="727"/>
    </row>
    <row r="1346" ht="15.75">
      <c r="A1346" s="727"/>
    </row>
    <row r="1347" ht="15.75">
      <c r="A1347" s="727"/>
    </row>
    <row r="1348" ht="15.75">
      <c r="A1348" s="727"/>
    </row>
    <row r="1349" ht="15.75">
      <c r="A1349" s="727"/>
    </row>
    <row r="1350" ht="15.75">
      <c r="A1350" s="727"/>
    </row>
    <row r="1351" ht="15.75">
      <c r="A1351" s="727"/>
    </row>
    <row r="1352" ht="15.75">
      <c r="A1352" s="727"/>
    </row>
    <row r="1353" ht="15.75">
      <c r="A1353" s="727"/>
    </row>
    <row r="1354" ht="15.75">
      <c r="A1354" s="727"/>
    </row>
    <row r="1355" ht="15.75">
      <c r="A1355" s="727"/>
    </row>
    <row r="1356" ht="15.75">
      <c r="A1356" s="727"/>
    </row>
    <row r="1357" ht="15.75">
      <c r="A1357" s="727"/>
    </row>
    <row r="1358" ht="15.75">
      <c r="A1358" s="727"/>
    </row>
    <row r="1359" ht="15.75">
      <c r="A1359" s="727"/>
    </row>
    <row r="1360" ht="15.75">
      <c r="A1360" s="727"/>
    </row>
    <row r="1361" ht="15.75">
      <c r="A1361" s="727"/>
    </row>
    <row r="1362" ht="15.75">
      <c r="A1362" s="727"/>
    </row>
    <row r="1363" ht="15.75">
      <c r="A1363" s="727"/>
    </row>
    <row r="1364" ht="15.75">
      <c r="A1364" s="727"/>
    </row>
    <row r="1365" ht="15.75">
      <c r="A1365" s="727"/>
    </row>
    <row r="1366" ht="15.75">
      <c r="A1366" s="727"/>
    </row>
    <row r="1367" ht="15.75">
      <c r="A1367" s="727"/>
    </row>
    <row r="1368" ht="15.75">
      <c r="A1368" s="727"/>
    </row>
    <row r="1369" ht="15.75">
      <c r="A1369" s="727"/>
    </row>
    <row r="1370" ht="15.75">
      <c r="A1370" s="727"/>
    </row>
    <row r="1371" ht="15.75">
      <c r="A1371" s="727"/>
    </row>
    <row r="1372" ht="15.75">
      <c r="A1372" s="727"/>
    </row>
    <row r="1373" ht="15.75">
      <c r="A1373" s="727"/>
    </row>
    <row r="1374" ht="15.75">
      <c r="A1374" s="727"/>
    </row>
    <row r="1375" ht="15.75">
      <c r="A1375" s="727"/>
    </row>
    <row r="1376" ht="15.75">
      <c r="A1376" s="727"/>
    </row>
    <row r="1377" ht="15.75">
      <c r="A1377" s="727"/>
    </row>
    <row r="1378" ht="15.75">
      <c r="A1378" s="727"/>
    </row>
    <row r="1379" ht="15.75">
      <c r="A1379" s="727"/>
    </row>
    <row r="1380" ht="15.75">
      <c r="A1380" s="727"/>
    </row>
    <row r="1381" ht="15.75">
      <c r="A1381" s="727"/>
    </row>
    <row r="1382" ht="15.75">
      <c r="A1382" s="727"/>
    </row>
    <row r="1383" ht="15.75">
      <c r="A1383" s="727"/>
    </row>
    <row r="1384" ht="15.75">
      <c r="A1384" s="727"/>
    </row>
    <row r="1385" ht="15.75">
      <c r="A1385" s="727"/>
    </row>
    <row r="1386" ht="15.75">
      <c r="A1386" s="727"/>
    </row>
    <row r="1387" ht="15.75">
      <c r="A1387" s="727"/>
    </row>
    <row r="1388" ht="15.75">
      <c r="A1388" s="727"/>
    </row>
    <row r="1389" ht="15.75">
      <c r="A1389" s="727"/>
    </row>
    <row r="1390" ht="15.75">
      <c r="A1390" s="727"/>
    </row>
    <row r="1391" ht="15.75">
      <c r="A1391" s="727"/>
    </row>
    <row r="1392" ht="15.75">
      <c r="A1392" s="727"/>
    </row>
    <row r="1393" ht="15.75">
      <c r="A1393" s="727"/>
    </row>
    <row r="1394" ht="15.75">
      <c r="A1394" s="727"/>
    </row>
    <row r="1395" ht="15.75">
      <c r="A1395" s="727"/>
    </row>
    <row r="1396" ht="15.75">
      <c r="A1396" s="727"/>
    </row>
    <row r="1397" ht="15.75">
      <c r="A1397" s="727"/>
    </row>
    <row r="1398" ht="15.75">
      <c r="A1398" s="727"/>
    </row>
    <row r="1399" ht="15.75">
      <c r="A1399" s="727"/>
    </row>
    <row r="1400" ht="15.75">
      <c r="A1400" s="727"/>
    </row>
    <row r="1401" ht="15.75">
      <c r="A1401" s="727"/>
    </row>
    <row r="1402" ht="15.75">
      <c r="A1402" s="727"/>
    </row>
    <row r="1403" ht="15.75">
      <c r="A1403" s="727"/>
    </row>
    <row r="1404" ht="15.75">
      <c r="A1404" s="727"/>
    </row>
    <row r="1405" ht="15.75">
      <c r="A1405" s="727"/>
    </row>
    <row r="1406" ht="15.75">
      <c r="A1406" s="727"/>
    </row>
    <row r="1407" ht="15.75">
      <c r="A1407" s="727"/>
    </row>
    <row r="1408" ht="15.75">
      <c r="A1408" s="727"/>
    </row>
    <row r="1409" ht="15.75">
      <c r="A1409" s="727"/>
    </row>
    <row r="1410" ht="15.75">
      <c r="A1410" s="727"/>
    </row>
    <row r="1411" ht="15.75">
      <c r="A1411" s="727"/>
    </row>
    <row r="1412" ht="15.75">
      <c r="A1412" s="727"/>
    </row>
    <row r="1413" ht="15.75">
      <c r="A1413" s="727"/>
    </row>
    <row r="1414" ht="15.75">
      <c r="A1414" s="727"/>
    </row>
    <row r="1415" ht="15.75">
      <c r="A1415" s="727"/>
    </row>
    <row r="1416" ht="15.75">
      <c r="A1416" s="727"/>
    </row>
    <row r="1417" ht="15.75">
      <c r="A1417" s="727"/>
    </row>
    <row r="1418" ht="15.75">
      <c r="A1418" s="727"/>
    </row>
    <row r="1419" ht="15.75">
      <c r="A1419" s="727"/>
    </row>
    <row r="1420" ht="15.75">
      <c r="A1420" s="727"/>
    </row>
    <row r="1421" ht="15.75">
      <c r="A1421" s="727"/>
    </row>
    <row r="1422" ht="15.75">
      <c r="A1422" s="727"/>
    </row>
    <row r="1423" ht="15.75">
      <c r="A1423" s="727"/>
    </row>
    <row r="1424" ht="15.75">
      <c r="A1424" s="727"/>
    </row>
    <row r="1425" ht="15.75">
      <c r="A1425" s="727"/>
    </row>
    <row r="1426" ht="15.75">
      <c r="A1426" s="727"/>
    </row>
    <row r="1427" ht="15.75">
      <c r="A1427" s="727"/>
    </row>
    <row r="1428" ht="15.75">
      <c r="A1428" s="727"/>
    </row>
    <row r="1429" ht="15.75">
      <c r="A1429" s="727"/>
    </row>
    <row r="1430" ht="15.75">
      <c r="A1430" s="727"/>
    </row>
    <row r="1431" ht="15.75">
      <c r="A1431" s="727"/>
    </row>
    <row r="1432" ht="15.75">
      <c r="A1432" s="727"/>
    </row>
    <row r="1433" ht="15.75">
      <c r="A1433" s="727"/>
    </row>
    <row r="1434" ht="15.75">
      <c r="A1434" s="727"/>
    </row>
    <row r="1435" ht="15.75">
      <c r="A1435" s="727"/>
    </row>
    <row r="1436" ht="15.75">
      <c r="A1436" s="727"/>
    </row>
    <row r="1437" ht="15.75">
      <c r="A1437" s="727"/>
    </row>
    <row r="1438" ht="15.75">
      <c r="A1438" s="727"/>
    </row>
    <row r="1439" ht="15.75">
      <c r="A1439" s="727"/>
    </row>
    <row r="1440" ht="15.75">
      <c r="A1440" s="727"/>
    </row>
    <row r="1441" ht="15.75">
      <c r="A1441" s="727"/>
    </row>
    <row r="1442" ht="15.75">
      <c r="A1442" s="727"/>
    </row>
    <row r="1443" ht="15.75">
      <c r="A1443" s="727"/>
    </row>
    <row r="1444" ht="15.75">
      <c r="A1444" s="727"/>
    </row>
    <row r="1445" ht="15.75">
      <c r="A1445" s="727"/>
    </row>
    <row r="1446" ht="15.75">
      <c r="A1446" s="727"/>
    </row>
    <row r="1447" ht="15.75">
      <c r="A1447" s="727"/>
    </row>
    <row r="1448" ht="15.75">
      <c r="A1448" s="727"/>
    </row>
    <row r="1449" ht="15.75">
      <c r="A1449" s="727"/>
    </row>
    <row r="1450" ht="15.75">
      <c r="A1450" s="727"/>
    </row>
    <row r="1451" ht="15.75">
      <c r="A1451" s="727"/>
    </row>
    <row r="1452" ht="15.75">
      <c r="A1452" s="727"/>
    </row>
    <row r="1453" ht="15.75">
      <c r="A1453" s="727"/>
    </row>
    <row r="1454" ht="15.75">
      <c r="A1454" s="727"/>
    </row>
    <row r="1455" ht="15.75">
      <c r="A1455" s="727"/>
    </row>
    <row r="1456" ht="15.75">
      <c r="A1456" s="727"/>
    </row>
    <row r="1457" ht="15.75">
      <c r="A1457" s="727"/>
    </row>
    <row r="1458" ht="15.75">
      <c r="A1458" s="727"/>
    </row>
    <row r="1459" ht="15.75">
      <c r="A1459" s="727"/>
    </row>
    <row r="1460" ht="15.75">
      <c r="A1460" s="727"/>
    </row>
    <row r="1461" ht="15.75">
      <c r="A1461" s="727"/>
    </row>
    <row r="1462" ht="15.75">
      <c r="A1462" s="727"/>
    </row>
    <row r="1463" ht="15.75">
      <c r="A1463" s="727"/>
    </row>
    <row r="1464" ht="15.75">
      <c r="A1464" s="727"/>
    </row>
    <row r="1465" ht="15.75">
      <c r="A1465" s="727"/>
    </row>
    <row r="1466" ht="15.75">
      <c r="A1466" s="727"/>
    </row>
    <row r="1467" ht="15.75">
      <c r="A1467" s="727"/>
    </row>
    <row r="1468" ht="15.75">
      <c r="A1468" s="727"/>
    </row>
    <row r="1469" ht="15.75">
      <c r="A1469" s="727"/>
    </row>
    <row r="1470" ht="15.75">
      <c r="A1470" s="727"/>
    </row>
    <row r="1471" ht="15.75">
      <c r="A1471" s="727"/>
    </row>
    <row r="1472" ht="15.75">
      <c r="A1472" s="727"/>
    </row>
    <row r="1473" ht="15.75">
      <c r="A1473" s="727"/>
    </row>
    <row r="1474" ht="15.75">
      <c r="A1474" s="727"/>
    </row>
    <row r="1475" ht="15.75">
      <c r="A1475" s="727"/>
    </row>
    <row r="1476" ht="15.75">
      <c r="A1476" s="727"/>
    </row>
    <row r="1477" ht="15.75">
      <c r="A1477" s="727"/>
    </row>
    <row r="1478" ht="15.75">
      <c r="A1478" s="727"/>
    </row>
    <row r="1479" ht="15.75">
      <c r="A1479" s="727"/>
    </row>
    <row r="1480" ht="15.75">
      <c r="A1480" s="727"/>
    </row>
    <row r="1481" ht="15.75">
      <c r="A1481" s="727"/>
    </row>
    <row r="1482" ht="15.75">
      <c r="A1482" s="727"/>
    </row>
    <row r="1483" ht="15.75">
      <c r="A1483" s="727"/>
    </row>
    <row r="1484" ht="15.75">
      <c r="A1484" s="727"/>
    </row>
    <row r="1485" ht="15.75">
      <c r="A1485" s="727"/>
    </row>
    <row r="1486" ht="15.75">
      <c r="A1486" s="727"/>
    </row>
    <row r="1487" ht="15.75">
      <c r="A1487" s="727"/>
    </row>
    <row r="1488" ht="15.75">
      <c r="A1488" s="727"/>
    </row>
    <row r="1489" ht="15.75">
      <c r="A1489" s="727"/>
    </row>
    <row r="1490" ht="15.75">
      <c r="A1490" s="727"/>
    </row>
    <row r="1491" ht="15.75">
      <c r="A1491" s="727"/>
    </row>
    <row r="1492" ht="15.75">
      <c r="A1492" s="727"/>
    </row>
    <row r="1493" ht="15.75">
      <c r="A1493" s="727"/>
    </row>
    <row r="1494" ht="15.75">
      <c r="A1494" s="727"/>
    </row>
    <row r="1495" ht="15.75">
      <c r="A1495" s="727"/>
    </row>
    <row r="1496" ht="15.75">
      <c r="A1496" s="727"/>
    </row>
    <row r="1497" ht="15.75">
      <c r="A1497" s="727"/>
    </row>
    <row r="1498" ht="15.75">
      <c r="A1498" s="727"/>
    </row>
    <row r="1499" ht="15.75">
      <c r="A1499" s="727"/>
    </row>
    <row r="1500" ht="15.75">
      <c r="A1500" s="727"/>
    </row>
    <row r="1501" ht="15.75">
      <c r="A1501" s="727"/>
    </row>
    <row r="1502" ht="15.75">
      <c r="A1502" s="727"/>
    </row>
    <row r="1503" ht="15.75">
      <c r="A1503" s="727"/>
    </row>
    <row r="1504" ht="15.75">
      <c r="A1504" s="727"/>
    </row>
    <row r="1505" ht="15.75">
      <c r="A1505" s="727"/>
    </row>
    <row r="1506" ht="15.75">
      <c r="A1506" s="727"/>
    </row>
    <row r="1507" ht="15.75">
      <c r="A1507" s="727"/>
    </row>
    <row r="1508" ht="15.75">
      <c r="A1508" s="727"/>
    </row>
    <row r="1509" ht="15.75">
      <c r="A1509" s="727"/>
    </row>
    <row r="1510" ht="15.75">
      <c r="A1510" s="727"/>
    </row>
    <row r="1511" ht="15.75">
      <c r="A1511" s="727"/>
    </row>
    <row r="1512" ht="15.75">
      <c r="A1512" s="727"/>
    </row>
    <row r="1513" ht="15.75">
      <c r="A1513" s="727"/>
    </row>
    <row r="1514" ht="15.75">
      <c r="A1514" s="727"/>
    </row>
    <row r="1515" ht="15.75">
      <c r="A1515" s="727"/>
    </row>
    <row r="1516" ht="15.75">
      <c r="A1516" s="727"/>
    </row>
    <row r="1517" ht="15.75">
      <c r="A1517" s="727"/>
    </row>
    <row r="1518" ht="15.75">
      <c r="A1518" s="727"/>
    </row>
    <row r="1519" ht="15.75">
      <c r="A1519" s="727"/>
    </row>
    <row r="1520" ht="15.75">
      <c r="A1520" s="727"/>
    </row>
    <row r="1521" ht="15.75">
      <c r="A1521" s="727"/>
    </row>
    <row r="1522" ht="15.75">
      <c r="A1522" s="727"/>
    </row>
    <row r="1523" ht="15.75">
      <c r="A1523" s="727"/>
    </row>
    <row r="1524" ht="15.75">
      <c r="A1524" s="727"/>
    </row>
    <row r="1525" ht="15.75">
      <c r="A1525" s="727"/>
    </row>
    <row r="1526" ht="15.75">
      <c r="A1526" s="727"/>
    </row>
    <row r="1527" ht="15.75">
      <c r="A1527" s="727"/>
    </row>
    <row r="1528" ht="15.75">
      <c r="A1528" s="727"/>
    </row>
    <row r="1529" ht="15.75">
      <c r="A1529" s="727"/>
    </row>
    <row r="1530" ht="15.75">
      <c r="A1530" s="727"/>
    </row>
    <row r="1531" ht="15.75">
      <c r="A1531" s="727"/>
    </row>
    <row r="1532" ht="15.75">
      <c r="A1532" s="727"/>
    </row>
    <row r="1533" ht="15.75">
      <c r="A1533" s="727"/>
    </row>
    <row r="1534" ht="15.75">
      <c r="A1534" s="727"/>
    </row>
    <row r="1535" ht="15.75">
      <c r="A1535" s="727"/>
    </row>
    <row r="1536" ht="15.75">
      <c r="A1536" s="727"/>
    </row>
    <row r="1537" ht="15.75">
      <c r="A1537" s="727"/>
    </row>
    <row r="1538" ht="15.75">
      <c r="A1538" s="727"/>
    </row>
    <row r="1539" ht="15.75">
      <c r="A1539" s="727"/>
    </row>
    <row r="1540" ht="15.75">
      <c r="A1540" s="727"/>
    </row>
    <row r="1541" ht="15.75">
      <c r="A1541" s="727"/>
    </row>
    <row r="1542" ht="15.75">
      <c r="A1542" s="727"/>
    </row>
    <row r="1543" ht="15.75">
      <c r="A1543" s="727"/>
    </row>
    <row r="1544" ht="15.75">
      <c r="A1544" s="727"/>
    </row>
    <row r="1545" ht="15.75">
      <c r="A1545" s="727"/>
    </row>
    <row r="1546" ht="15.75">
      <c r="A1546" s="727"/>
    </row>
    <row r="1547" ht="15.75">
      <c r="A1547" s="727"/>
    </row>
    <row r="1548" ht="15.75">
      <c r="A1548" s="727"/>
    </row>
    <row r="1549" ht="15.75">
      <c r="A1549" s="727"/>
    </row>
    <row r="1550" ht="15.75">
      <c r="A1550" s="727"/>
    </row>
    <row r="1551" ht="15.75">
      <c r="A1551" s="727"/>
    </row>
    <row r="1552" ht="15.75">
      <c r="A1552" s="727"/>
    </row>
    <row r="1553" ht="15.75">
      <c r="A1553" s="727"/>
    </row>
    <row r="1554" ht="15.75">
      <c r="A1554" s="727"/>
    </row>
    <row r="1555" ht="15.75">
      <c r="A1555" s="727"/>
    </row>
    <row r="1556" ht="15.75">
      <c r="A1556" s="727"/>
    </row>
    <row r="1557" ht="15.75">
      <c r="A1557" s="727"/>
    </row>
    <row r="1558" ht="15.75">
      <c r="A1558" s="727"/>
    </row>
    <row r="1559" ht="15.75">
      <c r="A1559" s="727"/>
    </row>
    <row r="1560" ht="15.75">
      <c r="A1560" s="727"/>
    </row>
    <row r="1561" ht="15.75">
      <c r="A1561" s="727"/>
    </row>
    <row r="1562" ht="15.75">
      <c r="A1562" s="727"/>
    </row>
    <row r="1563" ht="15.75">
      <c r="A1563" s="727"/>
    </row>
    <row r="1564" ht="15.75">
      <c r="A1564" s="727"/>
    </row>
    <row r="1565" ht="15.75">
      <c r="A1565" s="727"/>
    </row>
    <row r="1566" ht="15.75">
      <c r="A1566" s="727"/>
    </row>
    <row r="1567" ht="15.75">
      <c r="A1567" s="727"/>
    </row>
    <row r="1568" ht="15.75">
      <c r="A1568" s="727"/>
    </row>
    <row r="1569" ht="15.75">
      <c r="A1569" s="727"/>
    </row>
    <row r="1570" ht="15.75">
      <c r="A1570" s="727"/>
    </row>
    <row r="1571" ht="15.75">
      <c r="A1571" s="727"/>
    </row>
    <row r="1572" ht="15.75">
      <c r="A1572" s="727"/>
    </row>
    <row r="1573" ht="15.75">
      <c r="A1573" s="727"/>
    </row>
    <row r="1574" ht="15.75">
      <c r="A1574" s="727"/>
    </row>
    <row r="1575" ht="15.75">
      <c r="A1575" s="727"/>
    </row>
    <row r="1576" ht="15.75">
      <c r="A1576" s="727"/>
    </row>
    <row r="1577" ht="15.75">
      <c r="A1577" s="727"/>
    </row>
    <row r="1578" ht="15.75">
      <c r="A1578" s="727"/>
    </row>
    <row r="1579" ht="15.75">
      <c r="A1579" s="727"/>
    </row>
    <row r="1580" ht="15.75">
      <c r="A1580" s="727"/>
    </row>
    <row r="1581" ht="15.75">
      <c r="A1581" s="727"/>
    </row>
    <row r="1582" ht="15.75">
      <c r="A1582" s="727"/>
    </row>
    <row r="1583" ht="15.75">
      <c r="A1583" s="727"/>
    </row>
    <row r="1584" ht="15.75">
      <c r="A1584" s="727"/>
    </row>
    <row r="1585" ht="15.75">
      <c r="A1585" s="727"/>
    </row>
    <row r="1586" ht="15.75">
      <c r="A1586" s="727"/>
    </row>
    <row r="1587" ht="15.75">
      <c r="A1587" s="727"/>
    </row>
    <row r="1588" ht="15.75">
      <c r="A1588" s="727"/>
    </row>
    <row r="1589" ht="15.75">
      <c r="A1589" s="727"/>
    </row>
    <row r="1590" ht="15.75">
      <c r="A1590" s="727"/>
    </row>
    <row r="1591" ht="15.75">
      <c r="A1591" s="727"/>
    </row>
    <row r="1592" ht="15.75">
      <c r="A1592" s="727"/>
    </row>
    <row r="1593" ht="15.75">
      <c r="A1593" s="727"/>
    </row>
    <row r="1594" ht="15.75">
      <c r="A1594" s="727"/>
    </row>
    <row r="1595" ht="15.75">
      <c r="A1595" s="727"/>
    </row>
    <row r="1596" ht="15.75">
      <c r="A1596" s="727"/>
    </row>
    <row r="1597" ht="15.75">
      <c r="A1597" s="727"/>
    </row>
    <row r="1598" ht="15.75">
      <c r="A1598" s="727"/>
    </row>
    <row r="1599" ht="15.75">
      <c r="A1599" s="727"/>
    </row>
    <row r="1600" ht="15.75">
      <c r="A1600" s="727"/>
    </row>
    <row r="1601" ht="15.75">
      <c r="A1601" s="727"/>
    </row>
    <row r="1602" ht="15.75">
      <c r="A1602" s="727"/>
    </row>
    <row r="1603" ht="15.75">
      <c r="A1603" s="727"/>
    </row>
    <row r="1604" ht="15.75">
      <c r="A1604" s="727"/>
    </row>
    <row r="1605" ht="15.75">
      <c r="A1605" s="727"/>
    </row>
    <row r="1606" ht="15.75">
      <c r="A1606" s="727"/>
    </row>
    <row r="1607" ht="15.75">
      <c r="A1607" s="727"/>
    </row>
    <row r="1608" ht="15.75">
      <c r="A1608" s="727"/>
    </row>
    <row r="1609" ht="15.75">
      <c r="A1609" s="727"/>
    </row>
    <row r="1610" ht="15.75">
      <c r="A1610" s="727"/>
    </row>
    <row r="1611" ht="15.75">
      <c r="A1611" s="727"/>
    </row>
    <row r="1612" ht="15.75">
      <c r="A1612" s="727"/>
    </row>
    <row r="1613" ht="15.75">
      <c r="A1613" s="727"/>
    </row>
    <row r="1614" ht="15.75">
      <c r="A1614" s="727"/>
    </row>
    <row r="1615" ht="15.75">
      <c r="A1615" s="727"/>
    </row>
    <row r="1616" ht="15.75">
      <c r="A1616" s="727"/>
    </row>
    <row r="1617" ht="15.75">
      <c r="A1617" s="727"/>
    </row>
    <row r="1618" ht="15.75">
      <c r="A1618" s="727"/>
    </row>
    <row r="1619" ht="15.75">
      <c r="A1619" s="727"/>
    </row>
    <row r="1620" ht="15.75">
      <c r="A1620" s="727"/>
    </row>
    <row r="1621" ht="15.75">
      <c r="A1621" s="727"/>
    </row>
    <row r="1622" ht="15.75">
      <c r="A1622" s="727"/>
    </row>
    <row r="1623" ht="15.75">
      <c r="A1623" s="727"/>
    </row>
    <row r="1624" ht="15.75">
      <c r="A1624" s="727"/>
    </row>
    <row r="1625" ht="15.75">
      <c r="A1625" s="727"/>
    </row>
    <row r="1626" ht="15.75">
      <c r="A1626" s="727"/>
    </row>
    <row r="1627" ht="15.75">
      <c r="A1627" s="727"/>
    </row>
    <row r="1628" ht="15.75">
      <c r="A1628" s="727"/>
    </row>
    <row r="1629" ht="15.75">
      <c r="A1629" s="727"/>
    </row>
    <row r="1630" ht="15.75">
      <c r="A1630" s="727"/>
    </row>
    <row r="1631" ht="15.75">
      <c r="A1631" s="727"/>
    </row>
    <row r="1632" ht="15.75">
      <c r="A1632" s="727"/>
    </row>
    <row r="1633" ht="15.75">
      <c r="A1633" s="727"/>
    </row>
    <row r="1634" ht="15.75">
      <c r="A1634" s="727"/>
    </row>
    <row r="1635" ht="15.75">
      <c r="A1635" s="727"/>
    </row>
    <row r="1636" ht="15.75">
      <c r="A1636" s="727"/>
    </row>
    <row r="1637" ht="15.75">
      <c r="A1637" s="727"/>
    </row>
    <row r="1638" ht="15.75">
      <c r="A1638" s="727"/>
    </row>
    <row r="1639" ht="15.75">
      <c r="A1639" s="727"/>
    </row>
    <row r="1640" ht="15.75">
      <c r="A1640" s="727"/>
    </row>
    <row r="1641" ht="15.75">
      <c r="A1641" s="727"/>
    </row>
    <row r="1642" ht="15.75">
      <c r="A1642" s="727"/>
    </row>
    <row r="1643" ht="15.75">
      <c r="A1643" s="727"/>
    </row>
    <row r="1644" ht="15.75">
      <c r="A1644" s="727"/>
    </row>
    <row r="1645" ht="15.75">
      <c r="A1645" s="727"/>
    </row>
    <row r="1646" ht="15.75">
      <c r="A1646" s="727"/>
    </row>
    <row r="1647" ht="15.75">
      <c r="A1647" s="727"/>
    </row>
    <row r="1648" ht="15.75">
      <c r="A1648" s="727"/>
    </row>
    <row r="1649" ht="15.75">
      <c r="A1649" s="727"/>
    </row>
    <row r="1650" ht="15.75">
      <c r="A1650" s="727"/>
    </row>
    <row r="1651" ht="15.75">
      <c r="A1651" s="727"/>
    </row>
    <row r="1652" ht="15.75">
      <c r="A1652" s="727"/>
    </row>
    <row r="1653" ht="15.75">
      <c r="A1653" s="727"/>
    </row>
    <row r="1654" ht="15.75">
      <c r="A1654" s="727"/>
    </row>
    <row r="1655" ht="15.75">
      <c r="A1655" s="727"/>
    </row>
    <row r="1656" ht="15.75">
      <c r="A1656" s="727"/>
    </row>
    <row r="1657" ht="15.75">
      <c r="A1657" s="727"/>
    </row>
    <row r="1658" ht="15.75">
      <c r="A1658" s="727"/>
    </row>
    <row r="1659" ht="15.75">
      <c r="A1659" s="727"/>
    </row>
    <row r="1660" ht="15.75">
      <c r="A1660" s="727"/>
    </row>
    <row r="1661" ht="15.75">
      <c r="A1661" s="727"/>
    </row>
    <row r="1662" ht="15.75">
      <c r="A1662" s="727"/>
    </row>
    <row r="1663" ht="15.75">
      <c r="A1663" s="727"/>
    </row>
    <row r="1664" ht="15.75">
      <c r="A1664" s="727"/>
    </row>
    <row r="1665" ht="15.75">
      <c r="A1665" s="727"/>
    </row>
    <row r="1666" ht="15.75">
      <c r="A1666" s="727"/>
    </row>
    <row r="1667" ht="15.75">
      <c r="A1667" s="727"/>
    </row>
    <row r="1668" ht="15.75">
      <c r="A1668" s="727"/>
    </row>
    <row r="1669" ht="15.75">
      <c r="A1669" s="727"/>
    </row>
    <row r="1670" ht="15.75">
      <c r="A1670" s="727"/>
    </row>
    <row r="1671" ht="15.75">
      <c r="A1671" s="727"/>
    </row>
    <row r="1672" ht="15.75">
      <c r="A1672" s="727"/>
    </row>
    <row r="1673" ht="15.75">
      <c r="A1673" s="727"/>
    </row>
    <row r="1674" ht="15.75">
      <c r="A1674" s="727"/>
    </row>
    <row r="1675" ht="15.75">
      <c r="A1675" s="727"/>
    </row>
    <row r="1676" ht="15.75">
      <c r="A1676" s="727"/>
    </row>
    <row r="1677" ht="15.75">
      <c r="A1677" s="727"/>
    </row>
    <row r="1678" ht="15.75">
      <c r="A1678" s="727"/>
    </row>
    <row r="1679" ht="15.75">
      <c r="A1679" s="727"/>
    </row>
    <row r="1680" ht="15.75">
      <c r="A1680" s="727"/>
    </row>
    <row r="1681" ht="15.75">
      <c r="A1681" s="727"/>
    </row>
    <row r="1682" ht="15.75">
      <c r="A1682" s="727"/>
    </row>
    <row r="1683" ht="15.75">
      <c r="A1683" s="727"/>
    </row>
    <row r="1684" ht="15.75">
      <c r="A1684" s="727"/>
    </row>
    <row r="1685" ht="15.75">
      <c r="A1685" s="727"/>
    </row>
    <row r="1686" ht="15.75">
      <c r="A1686" s="727"/>
    </row>
    <row r="1687" ht="15.75">
      <c r="A1687" s="727"/>
    </row>
    <row r="1688" ht="15.75">
      <c r="A1688" s="727"/>
    </row>
    <row r="1689" ht="15.75">
      <c r="A1689" s="727"/>
    </row>
    <row r="1690" ht="15.75">
      <c r="A1690" s="727"/>
    </row>
    <row r="1691" ht="15.75">
      <c r="A1691" s="727"/>
    </row>
    <row r="1692" ht="15.75">
      <c r="A1692" s="727"/>
    </row>
    <row r="1693" ht="15.75">
      <c r="A1693" s="727"/>
    </row>
    <row r="1694" ht="15.75">
      <c r="A1694" s="727"/>
    </row>
    <row r="1695" ht="15.75">
      <c r="A1695" s="727"/>
    </row>
    <row r="1696" ht="15.75">
      <c r="A1696" s="727"/>
    </row>
    <row r="1697" ht="15.75">
      <c r="A1697" s="727"/>
    </row>
    <row r="1698" ht="15.75">
      <c r="A1698" s="727"/>
    </row>
    <row r="1699" ht="15.75">
      <c r="A1699" s="727"/>
    </row>
    <row r="1700" ht="15.75">
      <c r="A1700" s="727"/>
    </row>
    <row r="1701" ht="15.75">
      <c r="A1701" s="727"/>
    </row>
    <row r="1702" ht="15.75">
      <c r="A1702" s="727"/>
    </row>
    <row r="1703" ht="15.75">
      <c r="A1703" s="727"/>
    </row>
    <row r="1704" ht="15.75">
      <c r="A1704" s="727"/>
    </row>
    <row r="1705" ht="15.75">
      <c r="A1705" s="727"/>
    </row>
    <row r="1706" ht="15.75">
      <c r="A1706" s="727"/>
    </row>
    <row r="1707" ht="15.75">
      <c r="A1707" s="727"/>
    </row>
    <row r="1708" ht="15.75">
      <c r="A1708" s="727"/>
    </row>
    <row r="1709" ht="15.75">
      <c r="A1709" s="727"/>
    </row>
    <row r="1710" ht="15.75">
      <c r="A1710" s="727"/>
    </row>
    <row r="1711" ht="15.75">
      <c r="A1711" s="727"/>
    </row>
    <row r="1712" ht="15.75">
      <c r="A1712" s="727"/>
    </row>
    <row r="1713" ht="15.75">
      <c r="A1713" s="727"/>
    </row>
    <row r="1714" ht="15.75">
      <c r="A1714" s="727"/>
    </row>
    <row r="1715" ht="15.75">
      <c r="A1715" s="727"/>
    </row>
    <row r="1716" ht="15.75">
      <c r="A1716" s="727"/>
    </row>
    <row r="1717" ht="15.75">
      <c r="A1717" s="727"/>
    </row>
    <row r="1718" ht="15.75">
      <c r="A1718" s="727"/>
    </row>
    <row r="1719" ht="15.75">
      <c r="A1719" s="727"/>
    </row>
    <row r="1720" ht="15.75">
      <c r="A1720" s="727"/>
    </row>
    <row r="1721" ht="15.75">
      <c r="A1721" s="727"/>
    </row>
    <row r="1722" ht="15.75">
      <c r="A1722" s="727"/>
    </row>
    <row r="1723" ht="15.75">
      <c r="A1723" s="727"/>
    </row>
    <row r="1724" ht="15.75">
      <c r="A1724" s="727"/>
    </row>
    <row r="1725" ht="15.75">
      <c r="A1725" s="727"/>
    </row>
    <row r="1726" ht="15.75">
      <c r="A1726" s="727"/>
    </row>
    <row r="1727" ht="15.75">
      <c r="A1727" s="727"/>
    </row>
    <row r="1728" ht="15.75">
      <c r="A1728" s="727"/>
    </row>
    <row r="1729" ht="15.75">
      <c r="A1729" s="727"/>
    </row>
    <row r="1730" ht="15.75">
      <c r="A1730" s="727"/>
    </row>
    <row r="1731" ht="15.75">
      <c r="A1731" s="727"/>
    </row>
    <row r="1732" ht="15.75">
      <c r="A1732" s="727"/>
    </row>
    <row r="1733" ht="15.75">
      <c r="A1733" s="727"/>
    </row>
    <row r="1734" ht="15.75">
      <c r="A1734" s="727"/>
    </row>
    <row r="1735" ht="15.75">
      <c r="A1735" s="727"/>
    </row>
    <row r="1736" ht="15.75">
      <c r="A1736" s="727"/>
    </row>
    <row r="1737" ht="15.75">
      <c r="A1737" s="727"/>
    </row>
    <row r="1738" ht="15.75">
      <c r="A1738" s="727"/>
    </row>
    <row r="1739" ht="15.75">
      <c r="A1739" s="727"/>
    </row>
    <row r="1740" ht="15.75">
      <c r="A1740" s="727"/>
    </row>
    <row r="1741" ht="15.75">
      <c r="A1741" s="727"/>
    </row>
    <row r="1742" ht="15.75">
      <c r="A1742" s="727"/>
    </row>
    <row r="1743" ht="15.75">
      <c r="A1743" s="727"/>
    </row>
    <row r="1744" ht="15.75">
      <c r="A1744" s="727"/>
    </row>
    <row r="1745" ht="15.75">
      <c r="A1745" s="727"/>
    </row>
    <row r="1746" ht="15.75">
      <c r="A1746" s="727"/>
    </row>
    <row r="1747" ht="15.75">
      <c r="A1747" s="727"/>
    </row>
    <row r="1748" ht="15.75">
      <c r="A1748" s="727"/>
    </row>
    <row r="1749" ht="15.75">
      <c r="A1749" s="727"/>
    </row>
    <row r="1750" ht="15.75">
      <c r="A1750" s="727"/>
    </row>
    <row r="1751" ht="15.75">
      <c r="A1751" s="727"/>
    </row>
    <row r="1752" ht="15.75">
      <c r="A1752" s="727"/>
    </row>
    <row r="1753" ht="15.75">
      <c r="A1753" s="727"/>
    </row>
    <row r="1754" ht="15.75">
      <c r="A1754" s="727"/>
    </row>
    <row r="1755" ht="15.75">
      <c r="A1755" s="727"/>
    </row>
    <row r="1756" ht="15.75">
      <c r="A1756" s="727"/>
    </row>
    <row r="1757" ht="15.75">
      <c r="A1757" s="727"/>
    </row>
    <row r="1758" ht="15.75">
      <c r="A1758" s="727"/>
    </row>
    <row r="1759" ht="15.75">
      <c r="A1759" s="727"/>
    </row>
    <row r="1760" ht="15.75">
      <c r="A1760" s="727"/>
    </row>
    <row r="1761" ht="15.75">
      <c r="A1761" s="727"/>
    </row>
    <row r="1762" ht="15.75">
      <c r="A1762" s="727"/>
    </row>
    <row r="1763" ht="15.75">
      <c r="A1763" s="727"/>
    </row>
    <row r="1764" ht="15.75">
      <c r="A1764" s="727"/>
    </row>
    <row r="1765" ht="15.75">
      <c r="A1765" s="727"/>
    </row>
    <row r="1766" ht="15.75">
      <c r="A1766" s="727"/>
    </row>
    <row r="1767" ht="15.75">
      <c r="A1767" s="727"/>
    </row>
    <row r="1768" ht="15.75">
      <c r="A1768" s="727"/>
    </row>
    <row r="1769" ht="15.75">
      <c r="A1769" s="727"/>
    </row>
    <row r="1770" ht="15.75">
      <c r="A1770" s="727"/>
    </row>
    <row r="1771" ht="15.75">
      <c r="A1771" s="727"/>
    </row>
    <row r="1772" ht="15.75">
      <c r="A1772" s="727"/>
    </row>
    <row r="1773" ht="15.75">
      <c r="A1773" s="727"/>
    </row>
    <row r="1774" ht="15.75">
      <c r="A1774" s="727"/>
    </row>
    <row r="1775" ht="15.75">
      <c r="A1775" s="727"/>
    </row>
    <row r="1776" ht="15.75">
      <c r="A1776" s="727"/>
    </row>
    <row r="1777" ht="15.75">
      <c r="A1777" s="727"/>
    </row>
    <row r="1778" ht="15.75">
      <c r="A1778" s="727"/>
    </row>
    <row r="1779" ht="15.75">
      <c r="A1779" s="727"/>
    </row>
    <row r="1780" ht="15.75">
      <c r="A1780" s="727"/>
    </row>
    <row r="1781" ht="15.75">
      <c r="A1781" s="727"/>
    </row>
    <row r="1782" ht="15.75">
      <c r="A1782" s="727"/>
    </row>
    <row r="1783" ht="15.75">
      <c r="A1783" s="727"/>
    </row>
    <row r="1784" ht="15.75">
      <c r="A1784" s="727"/>
    </row>
    <row r="1785" ht="15.75">
      <c r="A1785" s="727"/>
    </row>
    <row r="1786" ht="15.75">
      <c r="A1786" s="727"/>
    </row>
    <row r="1787" ht="15.75">
      <c r="A1787" s="727"/>
    </row>
    <row r="1788" ht="15.75">
      <c r="A1788" s="727"/>
    </row>
    <row r="1789" ht="15.75">
      <c r="A1789" s="727"/>
    </row>
    <row r="1790" ht="15.75">
      <c r="A1790" s="727"/>
    </row>
    <row r="1791" ht="15.75">
      <c r="A1791" s="727"/>
    </row>
    <row r="1792" ht="15.75">
      <c r="A1792" s="727"/>
    </row>
    <row r="1793" ht="15.75">
      <c r="A1793" s="727"/>
    </row>
    <row r="1794" ht="15.75">
      <c r="A1794" s="727"/>
    </row>
    <row r="1795" ht="15.75">
      <c r="A1795" s="727"/>
    </row>
    <row r="1796" ht="15.75">
      <c r="A1796" s="727"/>
    </row>
    <row r="1797" ht="15.75">
      <c r="A1797" s="727"/>
    </row>
    <row r="1798" ht="15.75">
      <c r="A1798" s="727"/>
    </row>
    <row r="1799" ht="15.75">
      <c r="A1799" s="727"/>
    </row>
    <row r="1800" ht="15.75">
      <c r="A1800" s="727"/>
    </row>
    <row r="1801" ht="15.75">
      <c r="A1801" s="727"/>
    </row>
    <row r="1802" ht="15.75">
      <c r="A1802" s="727"/>
    </row>
    <row r="1803" ht="15.75">
      <c r="A1803" s="727"/>
    </row>
    <row r="1804" ht="15.75">
      <c r="A1804" s="727"/>
    </row>
    <row r="1805" ht="15.75">
      <c r="A1805" s="727"/>
    </row>
    <row r="1806" ht="15.75">
      <c r="A1806" s="727"/>
    </row>
    <row r="1807" ht="15.75">
      <c r="A1807" s="727"/>
    </row>
    <row r="1808" ht="15.75">
      <c r="A1808" s="727"/>
    </row>
    <row r="1809" ht="15.75">
      <c r="A1809" s="727"/>
    </row>
    <row r="1810" ht="15.75">
      <c r="A1810" s="727"/>
    </row>
    <row r="1811" ht="15.75">
      <c r="A1811" s="727"/>
    </row>
    <row r="1812" ht="15.75">
      <c r="A1812" s="727"/>
    </row>
    <row r="1813" ht="15.75">
      <c r="A1813" s="727"/>
    </row>
    <row r="1814" ht="15.75">
      <c r="A1814" s="727"/>
    </row>
    <row r="1815" ht="15.75">
      <c r="A1815" s="727"/>
    </row>
    <row r="1816" ht="15.75">
      <c r="A1816" s="727"/>
    </row>
    <row r="1817" ht="15.75">
      <c r="A1817" s="727"/>
    </row>
    <row r="1818" ht="15.75">
      <c r="A1818" s="727"/>
    </row>
    <row r="1819" ht="15.75">
      <c r="A1819" s="727"/>
    </row>
    <row r="1820" ht="15.75">
      <c r="A1820" s="727"/>
    </row>
    <row r="1821" ht="15.75">
      <c r="A1821" s="727"/>
    </row>
    <row r="1822" ht="15.75">
      <c r="A1822" s="727"/>
    </row>
    <row r="1823" ht="15.75">
      <c r="A1823" s="727"/>
    </row>
    <row r="1824" ht="15.75">
      <c r="A1824" s="727"/>
    </row>
    <row r="1825" ht="15.75">
      <c r="A1825" s="727"/>
    </row>
    <row r="1826" ht="15.75">
      <c r="A1826" s="727"/>
    </row>
    <row r="1827" ht="15.75">
      <c r="A1827" s="727"/>
    </row>
    <row r="1828" ht="15.75">
      <c r="A1828" s="727"/>
    </row>
    <row r="1829" ht="15.75">
      <c r="A1829" s="727"/>
    </row>
    <row r="1830" ht="15.75">
      <c r="A1830" s="727"/>
    </row>
    <row r="1831" ht="15.75">
      <c r="A1831" s="727"/>
    </row>
    <row r="1832" ht="15.75">
      <c r="A1832" s="727"/>
    </row>
    <row r="1833" ht="15.75">
      <c r="A1833" s="727"/>
    </row>
    <row r="1834" ht="15.75">
      <c r="A1834" s="727"/>
    </row>
    <row r="1835" ht="15.75">
      <c r="A1835" s="727"/>
    </row>
    <row r="1836" ht="15.75">
      <c r="A1836" s="727"/>
    </row>
    <row r="1837" ht="15.75">
      <c r="A1837" s="727"/>
    </row>
    <row r="1838" ht="15.75">
      <c r="A1838" s="727"/>
    </row>
    <row r="1839" ht="15.75">
      <c r="A1839" s="727"/>
    </row>
    <row r="1840" ht="15.75">
      <c r="A1840" s="727"/>
    </row>
    <row r="1841" ht="15.75">
      <c r="A1841" s="727"/>
    </row>
    <row r="1842" ht="15.75">
      <c r="A1842" s="727"/>
    </row>
    <row r="1843" ht="15.75">
      <c r="A1843" s="727"/>
    </row>
    <row r="1844" ht="15.75">
      <c r="A1844" s="727"/>
    </row>
    <row r="1845" ht="15.75">
      <c r="A1845" s="727"/>
    </row>
    <row r="1846" ht="15.75">
      <c r="A1846" s="727"/>
    </row>
    <row r="1847" ht="15.75">
      <c r="A1847" s="727"/>
    </row>
    <row r="1848" ht="15.75">
      <c r="A1848" s="727"/>
    </row>
    <row r="1849" ht="15.75">
      <c r="A1849" s="727"/>
    </row>
    <row r="1850" ht="15.75">
      <c r="A1850" s="727"/>
    </row>
    <row r="1851" ht="15.75">
      <c r="A1851" s="727"/>
    </row>
    <row r="1852" ht="15.75">
      <c r="A1852" s="727"/>
    </row>
    <row r="1853" ht="15.75">
      <c r="A1853" s="727"/>
    </row>
    <row r="1854" ht="15.75">
      <c r="A1854" s="727"/>
    </row>
    <row r="1855" ht="15.75">
      <c r="A1855" s="727"/>
    </row>
    <row r="1856" ht="15.75">
      <c r="A1856" s="727"/>
    </row>
    <row r="1857" ht="15.75">
      <c r="A1857" s="727"/>
    </row>
    <row r="1858" ht="15.75">
      <c r="A1858" s="727"/>
    </row>
    <row r="1859" ht="15.75">
      <c r="A1859" s="727"/>
    </row>
    <row r="1860" ht="15.75">
      <c r="A1860" s="727"/>
    </row>
    <row r="1861" ht="15.75">
      <c r="A1861" s="727"/>
    </row>
    <row r="1862" ht="15.75">
      <c r="A1862" s="727"/>
    </row>
    <row r="1863" ht="15.75">
      <c r="A1863" s="727"/>
    </row>
    <row r="1864" ht="15.75">
      <c r="A1864" s="727"/>
    </row>
    <row r="1865" ht="15.75">
      <c r="A1865" s="727"/>
    </row>
    <row r="1866" ht="15.75">
      <c r="A1866" s="727"/>
    </row>
    <row r="1867" ht="15.75">
      <c r="A1867" s="727"/>
    </row>
    <row r="1868" ht="15.75">
      <c r="A1868" s="727"/>
    </row>
    <row r="1869" ht="15.75">
      <c r="A1869" s="727"/>
    </row>
    <row r="1870" ht="15.75">
      <c r="A1870" s="727"/>
    </row>
    <row r="1871" ht="15.75">
      <c r="A1871" s="727"/>
    </row>
    <row r="1872" ht="15.75">
      <c r="A1872" s="727"/>
    </row>
    <row r="1873" ht="15.75">
      <c r="A1873" s="727"/>
    </row>
    <row r="1874" ht="15.75">
      <c r="A1874" s="727"/>
    </row>
    <row r="1875" ht="15.75">
      <c r="A1875" s="727"/>
    </row>
    <row r="1876" ht="15.75">
      <c r="A1876" s="727"/>
    </row>
    <row r="1877" ht="15.75">
      <c r="A1877" s="727"/>
    </row>
    <row r="1878" ht="15.75">
      <c r="A1878" s="727"/>
    </row>
    <row r="1879" ht="15.75">
      <c r="A1879" s="727"/>
    </row>
    <row r="1880" ht="15.75">
      <c r="A1880" s="727"/>
    </row>
    <row r="1881" ht="15.75">
      <c r="A1881" s="727"/>
    </row>
    <row r="1882" ht="15.75">
      <c r="A1882" s="727"/>
    </row>
    <row r="1883" ht="15.75">
      <c r="A1883" s="727"/>
    </row>
    <row r="1884" ht="15.75">
      <c r="A1884" s="727"/>
    </row>
    <row r="1885" ht="15.75">
      <c r="A1885" s="727"/>
    </row>
    <row r="1886" ht="15.75">
      <c r="A1886" s="727"/>
    </row>
    <row r="1887" ht="15.75">
      <c r="A1887" s="727"/>
    </row>
    <row r="1888" ht="15.75">
      <c r="A1888" s="727"/>
    </row>
    <row r="1889" ht="15.75">
      <c r="A1889" s="727"/>
    </row>
    <row r="1890" ht="15.75">
      <c r="A1890" s="727"/>
    </row>
    <row r="1891" ht="15.75">
      <c r="A1891" s="727"/>
    </row>
    <row r="1892" ht="15.75">
      <c r="A1892" s="727"/>
    </row>
    <row r="1893" ht="15.75">
      <c r="A1893" s="727"/>
    </row>
    <row r="1894" ht="15.75">
      <c r="A1894" s="727"/>
    </row>
    <row r="1895" ht="15.75">
      <c r="A1895" s="727"/>
    </row>
    <row r="1896" ht="15.75">
      <c r="A1896" s="727"/>
    </row>
    <row r="1897" ht="15.75">
      <c r="A1897" s="727"/>
    </row>
    <row r="1898" ht="15.75">
      <c r="A1898" s="727"/>
    </row>
    <row r="1899" ht="15.75">
      <c r="A1899" s="727"/>
    </row>
    <row r="1900" ht="15.75">
      <c r="A1900" s="727"/>
    </row>
    <row r="1901" ht="15.75">
      <c r="A1901" s="727"/>
    </row>
    <row r="1902" ht="15.75">
      <c r="A1902" s="727"/>
    </row>
    <row r="1903" ht="15.75">
      <c r="A1903" s="727"/>
    </row>
    <row r="1904" ht="15.75">
      <c r="A1904" s="727"/>
    </row>
    <row r="1905" ht="15.75">
      <c r="A1905" s="727"/>
    </row>
    <row r="1906" ht="15.75">
      <c r="A1906" s="727"/>
    </row>
    <row r="1907" ht="15.75">
      <c r="A1907" s="727"/>
    </row>
    <row r="1908" ht="15.75">
      <c r="A1908" s="727"/>
    </row>
    <row r="1909" ht="15.75">
      <c r="A1909" s="727"/>
    </row>
    <row r="1910" ht="15.75">
      <c r="A1910" s="727"/>
    </row>
    <row r="1911" ht="15.75">
      <c r="A1911" s="727"/>
    </row>
    <row r="1912" ht="15.75">
      <c r="A1912" s="727"/>
    </row>
    <row r="1913" ht="15.75">
      <c r="A1913" s="727"/>
    </row>
    <row r="1914" ht="15.75">
      <c r="A1914" s="727"/>
    </row>
    <row r="1915" ht="15.75">
      <c r="A1915" s="727"/>
    </row>
    <row r="1916" ht="15.75">
      <c r="A1916" s="727"/>
    </row>
    <row r="1917" ht="15.75">
      <c r="A1917" s="727"/>
    </row>
    <row r="1918" ht="15.75">
      <c r="A1918" s="727"/>
    </row>
    <row r="1919" ht="15.75">
      <c r="A1919" s="727"/>
    </row>
    <row r="1920" ht="15.75">
      <c r="A1920" s="727"/>
    </row>
    <row r="1921" ht="15.75">
      <c r="A1921" s="727"/>
    </row>
    <row r="1922" ht="15.75">
      <c r="A1922" s="727"/>
    </row>
    <row r="1923" ht="15.75">
      <c r="A1923" s="727"/>
    </row>
    <row r="1924" ht="15.75">
      <c r="A1924" s="727"/>
    </row>
    <row r="1925" ht="15.75">
      <c r="A1925" s="727"/>
    </row>
    <row r="1926" ht="15.75">
      <c r="A1926" s="727"/>
    </row>
    <row r="1927" ht="15.75">
      <c r="A1927" s="727"/>
    </row>
    <row r="1928" ht="15.75">
      <c r="A1928" s="727"/>
    </row>
    <row r="1929" ht="15.75">
      <c r="A1929" s="727"/>
    </row>
    <row r="1930" ht="15.75">
      <c r="A1930" s="727"/>
    </row>
    <row r="1931" ht="15.75">
      <c r="A1931" s="727"/>
    </row>
    <row r="1932" ht="15.75">
      <c r="A1932" s="727"/>
    </row>
    <row r="1933" ht="15.75">
      <c r="A1933" s="727"/>
    </row>
    <row r="1934" ht="15.75">
      <c r="A1934" s="727"/>
    </row>
    <row r="1935" ht="15.75">
      <c r="A1935" s="727"/>
    </row>
    <row r="1936" ht="15.75">
      <c r="A1936" s="727"/>
    </row>
    <row r="1937" ht="15.75">
      <c r="A1937" s="727"/>
    </row>
    <row r="1938" ht="15.75">
      <c r="A1938" s="727"/>
    </row>
    <row r="1939" ht="15.75">
      <c r="A1939" s="727"/>
    </row>
    <row r="1940" ht="15.75">
      <c r="A1940" s="727"/>
    </row>
    <row r="1941" ht="15.75">
      <c r="A1941" s="727"/>
    </row>
    <row r="1942" ht="15.75">
      <c r="A1942" s="727"/>
    </row>
    <row r="1943" ht="15.75">
      <c r="A1943" s="727"/>
    </row>
    <row r="1944" ht="15.75">
      <c r="A1944" s="727"/>
    </row>
    <row r="1945" ht="15.75">
      <c r="A1945" s="727"/>
    </row>
    <row r="1946" ht="15.75">
      <c r="A1946" s="727"/>
    </row>
    <row r="1947" ht="15.75">
      <c r="A1947" s="727"/>
    </row>
    <row r="1948" ht="15.75">
      <c r="A1948" s="727"/>
    </row>
    <row r="1949" ht="15.75">
      <c r="A1949" s="727"/>
    </row>
    <row r="1950" ht="15.75">
      <c r="A1950" s="727"/>
    </row>
    <row r="1951" ht="15.75">
      <c r="A1951" s="727"/>
    </row>
    <row r="1952" ht="15.75">
      <c r="A1952" s="727"/>
    </row>
    <row r="1953" ht="15.75">
      <c r="A1953" s="727"/>
    </row>
    <row r="1954" ht="15.75">
      <c r="A1954" s="727"/>
    </row>
    <row r="1955" ht="15.75">
      <c r="A1955" s="727"/>
    </row>
    <row r="1956" ht="15.75">
      <c r="A1956" s="727"/>
    </row>
    <row r="1957" ht="15.75">
      <c r="A1957" s="727"/>
    </row>
    <row r="1958" ht="15.75">
      <c r="A1958" s="727"/>
    </row>
    <row r="1959" ht="15.75">
      <c r="A1959" s="727"/>
    </row>
    <row r="1960" ht="15.75">
      <c r="A1960" s="727"/>
    </row>
    <row r="1961" ht="15.75">
      <c r="A1961" s="727"/>
    </row>
    <row r="1962" ht="15.75">
      <c r="A1962" s="727"/>
    </row>
    <row r="1963" ht="15.75">
      <c r="A1963" s="727"/>
    </row>
    <row r="1964" ht="15.75">
      <c r="A1964" s="727"/>
    </row>
    <row r="1965" ht="15.75">
      <c r="A1965" s="727"/>
    </row>
    <row r="1966" ht="15.75">
      <c r="A1966" s="727"/>
    </row>
    <row r="1967" ht="15.75">
      <c r="A1967" s="727"/>
    </row>
    <row r="1968" ht="15.75">
      <c r="A1968" s="727"/>
    </row>
    <row r="1969" ht="15.75">
      <c r="A1969" s="727"/>
    </row>
    <row r="1970" ht="15.75">
      <c r="A1970" s="727"/>
    </row>
    <row r="1971" ht="15.75">
      <c r="A1971" s="727"/>
    </row>
    <row r="1972" ht="15.75">
      <c r="A1972" s="727"/>
    </row>
    <row r="1973" ht="15.75">
      <c r="A1973" s="727"/>
    </row>
    <row r="1974" ht="15.75">
      <c r="A1974" s="727"/>
    </row>
    <row r="1975" ht="15.75">
      <c r="A1975" s="727"/>
    </row>
    <row r="1976" ht="15.75">
      <c r="A1976" s="727"/>
    </row>
    <row r="1977" ht="15.75">
      <c r="A1977" s="727"/>
    </row>
    <row r="1978" ht="15.75">
      <c r="A1978" s="727"/>
    </row>
    <row r="1979" ht="15.75">
      <c r="A1979" s="727"/>
    </row>
    <row r="1980" ht="15.75">
      <c r="A1980" s="727"/>
    </row>
    <row r="1981" ht="15.75">
      <c r="A1981" s="727"/>
    </row>
    <row r="1982" ht="15.75">
      <c r="A1982" s="727"/>
    </row>
    <row r="1983" ht="15.75">
      <c r="A1983" s="727"/>
    </row>
    <row r="1984" ht="15.75">
      <c r="A1984" s="727"/>
    </row>
    <row r="1985" ht="15.75">
      <c r="A1985" s="727"/>
    </row>
    <row r="1986" ht="15.75">
      <c r="A1986" s="727"/>
    </row>
    <row r="1987" ht="15.75">
      <c r="A1987" s="727"/>
    </row>
    <row r="1988" ht="15.75">
      <c r="A1988" s="727"/>
    </row>
    <row r="1989" ht="15.75">
      <c r="A1989" s="727"/>
    </row>
    <row r="1990" ht="15.75">
      <c r="A1990" s="727"/>
    </row>
    <row r="1991" ht="15.75">
      <c r="A1991" s="727"/>
    </row>
    <row r="1992" ht="15.75">
      <c r="A1992" s="727"/>
    </row>
    <row r="1993" ht="15.75">
      <c r="A1993" s="727"/>
    </row>
    <row r="1994" ht="15.75">
      <c r="A1994" s="727"/>
    </row>
    <row r="1995" ht="15.75">
      <c r="A1995" s="727"/>
    </row>
    <row r="1996" ht="15.75">
      <c r="A1996" s="727"/>
    </row>
    <row r="1997" ht="15.75">
      <c r="A1997" s="727"/>
    </row>
    <row r="1998" ht="15.75">
      <c r="A1998" s="727"/>
    </row>
    <row r="1999" ht="15.75">
      <c r="A1999" s="727"/>
    </row>
    <row r="2000" ht="15.75">
      <c r="A2000" s="727"/>
    </row>
    <row r="2001" ht="15.75">
      <c r="A2001" s="727"/>
    </row>
    <row r="2002" ht="15.75">
      <c r="A2002" s="727"/>
    </row>
    <row r="2003" ht="15.75">
      <c r="A2003" s="727"/>
    </row>
    <row r="2004" ht="15.75">
      <c r="A2004" s="727"/>
    </row>
    <row r="2005" ht="15.75">
      <c r="A2005" s="727"/>
    </row>
    <row r="2006" ht="15.75">
      <c r="A2006" s="727"/>
    </row>
    <row r="2007" ht="15.75">
      <c r="A2007" s="727"/>
    </row>
    <row r="2008" ht="15.75">
      <c r="A2008" s="727"/>
    </row>
    <row r="2009" ht="15.75">
      <c r="A2009" s="727"/>
    </row>
    <row r="2010" ht="15.75">
      <c r="A2010" s="727"/>
    </row>
    <row r="2011" ht="15.75">
      <c r="A2011" s="727"/>
    </row>
    <row r="2012" ht="15.75">
      <c r="A2012" s="727"/>
    </row>
    <row r="2013" ht="15.75">
      <c r="A2013" s="727"/>
    </row>
    <row r="2014" ht="15.75">
      <c r="A2014" s="727"/>
    </row>
    <row r="2015" ht="15.75">
      <c r="A2015" s="727"/>
    </row>
    <row r="2016" ht="15.75">
      <c r="A2016" s="727"/>
    </row>
    <row r="2017" ht="15.75">
      <c r="A2017" s="727"/>
    </row>
    <row r="2018" ht="15.75">
      <c r="A2018" s="727"/>
    </row>
    <row r="2019" ht="15.75">
      <c r="A2019" s="727"/>
    </row>
    <row r="2020" ht="15.75">
      <c r="A2020" s="727"/>
    </row>
    <row r="2021" ht="15.75">
      <c r="A2021" s="727"/>
    </row>
    <row r="2022" ht="15.75">
      <c r="A2022" s="727"/>
    </row>
    <row r="2023" ht="15.75">
      <c r="A2023" s="727"/>
    </row>
    <row r="2024" ht="15.75">
      <c r="A2024" s="727"/>
    </row>
    <row r="2025" ht="15.75">
      <c r="A2025" s="727"/>
    </row>
    <row r="2026" ht="15.75">
      <c r="A2026" s="727"/>
    </row>
    <row r="2027" ht="15.75">
      <c r="A2027" s="727"/>
    </row>
    <row r="2028" ht="15.75">
      <c r="A2028" s="727"/>
    </row>
    <row r="2029" ht="15.75">
      <c r="A2029" s="727"/>
    </row>
    <row r="2030" ht="15.75">
      <c r="A2030" s="727"/>
    </row>
    <row r="2031" ht="15.75">
      <c r="A2031" s="727"/>
    </row>
    <row r="2032" ht="15.75">
      <c r="A2032" s="727"/>
    </row>
    <row r="2033" ht="15.75">
      <c r="A2033" s="727"/>
    </row>
    <row r="2034" ht="15.75">
      <c r="A2034" s="727"/>
    </row>
    <row r="2035" ht="15.75">
      <c r="A2035" s="727"/>
    </row>
    <row r="2036" ht="15.75">
      <c r="A2036" s="727"/>
    </row>
    <row r="2037" ht="15.75">
      <c r="A2037" s="727"/>
    </row>
    <row r="2038" ht="15.75">
      <c r="A2038" s="727"/>
    </row>
    <row r="2039" ht="15.75">
      <c r="A2039" s="727"/>
    </row>
    <row r="2040" ht="15.75">
      <c r="A2040" s="727"/>
    </row>
    <row r="2041" ht="15.75">
      <c r="A2041" s="727"/>
    </row>
    <row r="2042" ht="15.75">
      <c r="A2042" s="727"/>
    </row>
    <row r="2043" ht="15.75">
      <c r="A2043" s="727"/>
    </row>
    <row r="2044" ht="15.75">
      <c r="A2044" s="727"/>
    </row>
    <row r="2045" ht="15.75">
      <c r="A2045" s="727"/>
    </row>
    <row r="2046" ht="15.75">
      <c r="A2046" s="727"/>
    </row>
    <row r="2047" ht="15.75">
      <c r="A2047" s="727"/>
    </row>
    <row r="2048" ht="15.75">
      <c r="A2048" s="727"/>
    </row>
    <row r="2049" ht="15.75">
      <c r="A2049" s="727"/>
    </row>
    <row r="2050" ht="15.75">
      <c r="A2050" s="727"/>
    </row>
    <row r="2051" ht="15.75">
      <c r="A2051" s="727"/>
    </row>
    <row r="2052" ht="15.75">
      <c r="A2052" s="727"/>
    </row>
    <row r="2053" ht="15.75">
      <c r="A2053" s="727"/>
    </row>
    <row r="2054" ht="15.75">
      <c r="A2054" s="727"/>
    </row>
    <row r="2055" ht="15.75">
      <c r="A2055" s="727"/>
    </row>
    <row r="2056" ht="15.75">
      <c r="A2056" s="727"/>
    </row>
    <row r="2057" ht="15.75">
      <c r="A2057" s="727"/>
    </row>
    <row r="2058" ht="15.75">
      <c r="A2058" s="727"/>
    </row>
    <row r="2059" ht="15.75">
      <c r="A2059" s="727"/>
    </row>
    <row r="2060" ht="15.75">
      <c r="A2060" s="727"/>
    </row>
    <row r="2061" ht="15.75">
      <c r="A2061" s="727"/>
    </row>
    <row r="2062" ht="15.75">
      <c r="A2062" s="727"/>
    </row>
    <row r="2063" ht="15.75">
      <c r="A2063" s="727"/>
    </row>
    <row r="2064" ht="15.75">
      <c r="A2064" s="727"/>
    </row>
    <row r="2065" ht="15.75">
      <c r="A2065" s="727"/>
    </row>
    <row r="2066" ht="15.75">
      <c r="A2066" s="727"/>
    </row>
    <row r="2067" ht="15.75">
      <c r="A2067" s="727"/>
    </row>
    <row r="2068" ht="15.75">
      <c r="A2068" s="727"/>
    </row>
    <row r="2069" ht="15.75">
      <c r="A2069" s="727"/>
    </row>
    <row r="2070" ht="15.75">
      <c r="A2070" s="727"/>
    </row>
    <row r="2071" ht="15.75">
      <c r="A2071" s="727"/>
    </row>
    <row r="2072" ht="15.75">
      <c r="A2072" s="727"/>
    </row>
    <row r="2073" ht="15.75">
      <c r="A2073" s="727"/>
    </row>
    <row r="2074" ht="15.75">
      <c r="A2074" s="727"/>
    </row>
    <row r="2075" ht="15.75">
      <c r="A2075" s="727"/>
    </row>
    <row r="2076" ht="15.75">
      <c r="A2076" s="727"/>
    </row>
    <row r="2077" ht="15.75">
      <c r="A2077" s="727"/>
    </row>
    <row r="2078" ht="15.75">
      <c r="A2078" s="727"/>
    </row>
    <row r="2079" ht="15.75">
      <c r="A2079" s="727"/>
    </row>
    <row r="2080" ht="15.75">
      <c r="A2080" s="727"/>
    </row>
    <row r="2081" ht="15.75">
      <c r="A2081" s="727"/>
    </row>
    <row r="2082" ht="15.75">
      <c r="A2082" s="727"/>
    </row>
    <row r="2083" ht="15.75">
      <c r="A2083" s="727"/>
    </row>
    <row r="2084" ht="15.75">
      <c r="A2084" s="727"/>
    </row>
    <row r="2085" ht="15.75">
      <c r="A2085" s="727"/>
    </row>
    <row r="2086" ht="15.75">
      <c r="A2086" s="727"/>
    </row>
    <row r="2087" ht="15.75">
      <c r="A2087" s="727"/>
    </row>
    <row r="2088" ht="15.75">
      <c r="A2088" s="727"/>
    </row>
    <row r="2089" ht="15.75">
      <c r="A2089" s="727"/>
    </row>
    <row r="2090" ht="15.75">
      <c r="A2090" s="727"/>
    </row>
    <row r="2091" ht="15.75">
      <c r="A2091" s="727"/>
    </row>
    <row r="2092" ht="15.75">
      <c r="A2092" s="727"/>
    </row>
    <row r="2093" ht="15.75">
      <c r="A2093" s="727"/>
    </row>
    <row r="2094" ht="15.75">
      <c r="A2094" s="727"/>
    </row>
    <row r="2095" ht="15.75">
      <c r="A2095" s="727"/>
    </row>
    <row r="2096" ht="15.75">
      <c r="A2096" s="727"/>
    </row>
    <row r="2097" ht="15.75">
      <c r="A2097" s="727"/>
    </row>
    <row r="2098" ht="15.75">
      <c r="A2098" s="727"/>
    </row>
    <row r="2099" ht="15.75">
      <c r="A2099" s="727"/>
    </row>
    <row r="2100" ht="15.75">
      <c r="A2100" s="727"/>
    </row>
    <row r="2101" ht="15.75">
      <c r="A2101" s="727"/>
    </row>
    <row r="2102" ht="15.75">
      <c r="A2102" s="727"/>
    </row>
    <row r="2103" ht="15.75">
      <c r="A2103" s="727"/>
    </row>
    <row r="2104" ht="15.75">
      <c r="A2104" s="727"/>
    </row>
    <row r="2105" ht="15.75">
      <c r="A2105" s="727"/>
    </row>
    <row r="2106" ht="15.75">
      <c r="A2106" s="727"/>
    </row>
    <row r="2107" ht="15.75">
      <c r="A2107" s="727"/>
    </row>
    <row r="2108" ht="15.75">
      <c r="A2108" s="727"/>
    </row>
    <row r="2109" ht="15.75">
      <c r="A2109" s="727"/>
    </row>
    <row r="2110" ht="15.75">
      <c r="A2110" s="727"/>
    </row>
    <row r="2111" ht="15.75">
      <c r="A2111" s="727"/>
    </row>
    <row r="2112" ht="15.75">
      <c r="A2112" s="727"/>
    </row>
    <row r="2113" ht="15.75">
      <c r="A2113" s="727"/>
    </row>
    <row r="2114" ht="15.75">
      <c r="A2114" s="727"/>
    </row>
    <row r="2115" ht="15.75">
      <c r="A2115" s="727"/>
    </row>
    <row r="2116" ht="15.75">
      <c r="A2116" s="727"/>
    </row>
    <row r="2117" ht="15.75">
      <c r="A2117" s="727"/>
    </row>
    <row r="2118" ht="15.75">
      <c r="A2118" s="727"/>
    </row>
    <row r="2119" ht="15.75">
      <c r="A2119" s="727"/>
    </row>
    <row r="2120" ht="15.75">
      <c r="A2120" s="727"/>
    </row>
    <row r="2121" ht="15.75">
      <c r="A2121" s="727"/>
    </row>
    <row r="2122" ht="15.75">
      <c r="A2122" s="727"/>
    </row>
    <row r="2123" ht="15.75">
      <c r="A2123" s="727"/>
    </row>
    <row r="2124" ht="15.75">
      <c r="A2124" s="727"/>
    </row>
    <row r="2125" ht="15.75">
      <c r="A2125" s="727"/>
    </row>
    <row r="2126" ht="15.75">
      <c r="A2126" s="727"/>
    </row>
    <row r="2127" ht="15.75">
      <c r="A2127" s="727"/>
    </row>
    <row r="2128" ht="15.75">
      <c r="A2128" s="727"/>
    </row>
    <row r="2129" ht="15.75">
      <c r="A2129" s="727"/>
    </row>
    <row r="2130" ht="15.75">
      <c r="A2130" s="727"/>
    </row>
    <row r="2131" ht="15.75">
      <c r="A2131" s="727"/>
    </row>
    <row r="2132" ht="15.75">
      <c r="A2132" s="727"/>
    </row>
    <row r="2133" ht="15.75">
      <c r="A2133" s="727"/>
    </row>
    <row r="2134" ht="15.75">
      <c r="A2134" s="727"/>
    </row>
    <row r="2135" ht="15.75">
      <c r="A2135" s="727"/>
    </row>
    <row r="2136" ht="15.75">
      <c r="A2136" s="727"/>
    </row>
    <row r="2137" ht="15.75">
      <c r="A2137" s="727"/>
    </row>
    <row r="2138" ht="15.75">
      <c r="A2138" s="727"/>
    </row>
    <row r="2139" ht="15.75">
      <c r="A2139" s="727"/>
    </row>
    <row r="2140" ht="15.75">
      <c r="A2140" s="727"/>
    </row>
    <row r="2141" ht="15.75">
      <c r="A2141" s="727"/>
    </row>
    <row r="2142" ht="15.75">
      <c r="A2142" s="727"/>
    </row>
    <row r="2143" ht="15.75">
      <c r="A2143" s="727"/>
    </row>
    <row r="2144" ht="15.75">
      <c r="A2144" s="727"/>
    </row>
    <row r="2145" ht="15.75">
      <c r="A2145" s="727"/>
    </row>
    <row r="2146" ht="15.75">
      <c r="A2146" s="727"/>
    </row>
    <row r="2147" ht="15.75">
      <c r="A2147" s="727"/>
    </row>
    <row r="2148" ht="15.75">
      <c r="A2148" s="727"/>
    </row>
    <row r="2149" ht="15.75">
      <c r="A2149" s="727"/>
    </row>
    <row r="2150" ht="15.75">
      <c r="A2150" s="727"/>
    </row>
    <row r="2151" ht="15.75">
      <c r="A2151" s="727"/>
    </row>
    <row r="2152" ht="15.75">
      <c r="A2152" s="727"/>
    </row>
    <row r="2153" ht="15.75">
      <c r="A2153" s="727"/>
    </row>
    <row r="2154" ht="15.75">
      <c r="A2154" s="727"/>
    </row>
    <row r="2155" ht="15.75">
      <c r="A2155" s="727"/>
    </row>
    <row r="2156" ht="15.75">
      <c r="A2156" s="727"/>
    </row>
    <row r="2157" ht="15.75">
      <c r="A2157" s="727"/>
    </row>
    <row r="2158" ht="15.75">
      <c r="A2158" s="727"/>
    </row>
    <row r="2159" ht="15.75">
      <c r="A2159" s="727"/>
    </row>
    <row r="2160" ht="15.75">
      <c r="A2160" s="727"/>
    </row>
    <row r="2161" ht="15.75">
      <c r="A2161" s="727"/>
    </row>
    <row r="2162" ht="15.75">
      <c r="A2162" s="727"/>
    </row>
    <row r="2163" ht="15.75">
      <c r="A2163" s="727"/>
    </row>
    <row r="2164" ht="15.75">
      <c r="A2164" s="727"/>
    </row>
    <row r="2165" ht="15.75">
      <c r="A2165" s="727"/>
    </row>
    <row r="2166" ht="15.75">
      <c r="A2166" s="727"/>
    </row>
    <row r="2167" ht="15.75">
      <c r="A2167" s="727"/>
    </row>
    <row r="2168" ht="15.75">
      <c r="A2168" s="727"/>
    </row>
    <row r="2169" ht="15.75">
      <c r="A2169" s="727"/>
    </row>
    <row r="2170" ht="15.75">
      <c r="A2170" s="727"/>
    </row>
    <row r="2171" ht="15.75">
      <c r="A2171" s="727"/>
    </row>
    <row r="2172" ht="15.75">
      <c r="A2172" s="727"/>
    </row>
    <row r="2173" ht="15.75">
      <c r="A2173" s="727"/>
    </row>
    <row r="2174" ht="15.75">
      <c r="A2174" s="727"/>
    </row>
    <row r="2175" ht="15.75">
      <c r="A2175" s="727"/>
    </row>
    <row r="2176" ht="15.75">
      <c r="A2176" s="727"/>
    </row>
    <row r="2177" ht="15.75">
      <c r="A2177" s="727"/>
    </row>
    <row r="2178" ht="15.75">
      <c r="A2178" s="727"/>
    </row>
    <row r="2179" ht="15.75">
      <c r="A2179" s="727"/>
    </row>
    <row r="2180" ht="15.75">
      <c r="A2180" s="727"/>
    </row>
    <row r="2181" ht="15.75">
      <c r="A2181" s="727"/>
    </row>
    <row r="2182" ht="15.75">
      <c r="A2182" s="727"/>
    </row>
    <row r="2183" ht="15.75">
      <c r="A2183" s="727"/>
    </row>
    <row r="2184" ht="15.75">
      <c r="A2184" s="727"/>
    </row>
    <row r="2185" ht="15.75">
      <c r="A2185" s="727"/>
    </row>
    <row r="2186" ht="15.75">
      <c r="A2186" s="727"/>
    </row>
    <row r="2187" ht="15.75">
      <c r="A2187" s="727"/>
    </row>
    <row r="2188" ht="15.75">
      <c r="A2188" s="727"/>
    </row>
    <row r="2189" ht="15.75">
      <c r="A2189" s="727"/>
    </row>
    <row r="2190" ht="15.75">
      <c r="A2190" s="727"/>
    </row>
    <row r="2191" ht="15.75">
      <c r="A2191" s="727"/>
    </row>
    <row r="2192" ht="15.75">
      <c r="A2192" s="727"/>
    </row>
    <row r="2193" ht="15.75">
      <c r="A2193" s="727"/>
    </row>
    <row r="2194" ht="15.75">
      <c r="A2194" s="727"/>
    </row>
    <row r="2195" ht="15.75">
      <c r="A2195" s="727"/>
    </row>
    <row r="2196" ht="15.75">
      <c r="A2196" s="727"/>
    </row>
    <row r="2197" ht="15.75">
      <c r="A2197" s="727"/>
    </row>
    <row r="2198" ht="15.75">
      <c r="A2198" s="727"/>
    </row>
    <row r="2199" ht="15.75">
      <c r="A2199" s="727"/>
    </row>
    <row r="2200" ht="15.75">
      <c r="A2200" s="727"/>
    </row>
    <row r="2201" ht="15.75">
      <c r="A2201" s="727"/>
    </row>
    <row r="2202" ht="15.75">
      <c r="A2202" s="727"/>
    </row>
    <row r="2203" ht="15.75">
      <c r="A2203" s="727"/>
    </row>
    <row r="2204" ht="15.75">
      <c r="A2204" s="727"/>
    </row>
    <row r="2205" ht="15.75">
      <c r="A2205" s="727"/>
    </row>
    <row r="2206" ht="15.75">
      <c r="A2206" s="727"/>
    </row>
    <row r="2207" ht="15.75">
      <c r="A2207" s="727"/>
    </row>
    <row r="2208" ht="15.75">
      <c r="A2208" s="727"/>
    </row>
    <row r="2209" ht="15.75">
      <c r="A2209" s="727"/>
    </row>
    <row r="2210" ht="15.75">
      <c r="A2210" s="727"/>
    </row>
    <row r="2211" ht="15.75">
      <c r="A2211" s="727"/>
    </row>
    <row r="2212" ht="15.75">
      <c r="A2212" s="727"/>
    </row>
    <row r="2213" ht="15.75">
      <c r="A2213" s="727"/>
    </row>
    <row r="2214" ht="15.75">
      <c r="A2214" s="727"/>
    </row>
    <row r="2215" ht="15.75">
      <c r="A2215" s="727"/>
    </row>
    <row r="2216" ht="15.75">
      <c r="A2216" s="727"/>
    </row>
    <row r="2217" ht="15.75">
      <c r="A2217" s="727"/>
    </row>
    <row r="2218" ht="15.75">
      <c r="A2218" s="727"/>
    </row>
    <row r="2219" ht="15.75">
      <c r="A2219" s="727"/>
    </row>
    <row r="2220" ht="15.75">
      <c r="A2220" s="727"/>
    </row>
    <row r="2221" ht="15.75">
      <c r="A2221" s="727"/>
    </row>
    <row r="2222" ht="15.75">
      <c r="A2222" s="727"/>
    </row>
    <row r="2223" ht="15.75">
      <c r="A2223" s="727"/>
    </row>
    <row r="2224" ht="15.75">
      <c r="A2224" s="727"/>
    </row>
    <row r="2225" ht="15.75">
      <c r="A2225" s="727"/>
    </row>
    <row r="2226" ht="15.75">
      <c r="A2226" s="727"/>
    </row>
    <row r="2227" ht="15.75">
      <c r="A2227" s="727"/>
    </row>
    <row r="2228" ht="15.75">
      <c r="A2228" s="727"/>
    </row>
    <row r="2229" ht="15.75">
      <c r="A2229" s="727"/>
    </row>
    <row r="2230" ht="15.75">
      <c r="A2230" s="727"/>
    </row>
    <row r="2231" ht="15.75">
      <c r="A2231" s="727"/>
    </row>
    <row r="2232" ht="15.75">
      <c r="A2232" s="727"/>
    </row>
    <row r="2233" ht="15.75">
      <c r="A2233" s="727"/>
    </row>
    <row r="2234" ht="15.75">
      <c r="A2234" s="727"/>
    </row>
    <row r="2235" ht="15.75">
      <c r="A2235" s="727"/>
    </row>
    <row r="2236" ht="15.75">
      <c r="A2236" s="727"/>
    </row>
    <row r="2237" ht="15.75">
      <c r="A2237" s="727"/>
    </row>
    <row r="2238" ht="15.75">
      <c r="A2238" s="727"/>
    </row>
    <row r="2239" ht="15.75">
      <c r="A2239" s="727"/>
    </row>
    <row r="2240" ht="15.75">
      <c r="A2240" s="727"/>
    </row>
    <row r="2241" ht="15.75">
      <c r="A2241" s="727"/>
    </row>
    <row r="2242" ht="15.75">
      <c r="A2242" s="727"/>
    </row>
    <row r="2243" ht="15.75">
      <c r="A2243" s="727"/>
    </row>
    <row r="2244" ht="15.75">
      <c r="A2244" s="727"/>
    </row>
    <row r="2245" ht="15.75">
      <c r="A2245" s="727"/>
    </row>
    <row r="2246" ht="15.75">
      <c r="A2246" s="727"/>
    </row>
    <row r="2247" ht="15.75">
      <c r="A2247" s="727"/>
    </row>
    <row r="2248" ht="15.75">
      <c r="A2248" s="727"/>
    </row>
    <row r="2249" ht="15.75">
      <c r="A2249" s="727"/>
    </row>
    <row r="2250" ht="15.75">
      <c r="A2250" s="727"/>
    </row>
    <row r="2251" ht="15.75">
      <c r="A2251" s="727"/>
    </row>
    <row r="2252" ht="15.75">
      <c r="A2252" s="727"/>
    </row>
    <row r="2253" ht="15.75">
      <c r="A2253" s="727"/>
    </row>
    <row r="2254" ht="15.75">
      <c r="A2254" s="727"/>
    </row>
    <row r="2255" ht="15.75">
      <c r="A2255" s="727"/>
    </row>
    <row r="2256" ht="15.75">
      <c r="A2256" s="727"/>
    </row>
    <row r="2257" ht="15.75">
      <c r="A2257" s="727"/>
    </row>
    <row r="2258" ht="15.75">
      <c r="A2258" s="727"/>
    </row>
    <row r="2259" ht="15.75">
      <c r="A2259" s="727"/>
    </row>
    <row r="2260" ht="15.75">
      <c r="A2260" s="727"/>
    </row>
    <row r="2261" ht="15.75">
      <c r="A2261" s="727"/>
    </row>
    <row r="2262" ht="15.75">
      <c r="A2262" s="727"/>
    </row>
    <row r="2263" ht="15.75">
      <c r="A2263" s="727"/>
    </row>
    <row r="2264" ht="15.75">
      <c r="A2264" s="727"/>
    </row>
    <row r="2265" ht="15.75">
      <c r="A2265" s="727"/>
    </row>
    <row r="2266" ht="15.75">
      <c r="A2266" s="727"/>
    </row>
    <row r="2267" ht="15.75">
      <c r="A2267" s="727"/>
    </row>
    <row r="2268" ht="15.75">
      <c r="A2268" s="727"/>
    </row>
    <row r="2269" ht="15.75">
      <c r="A2269" s="727"/>
    </row>
    <row r="2270" ht="15.75">
      <c r="A2270" s="727"/>
    </row>
    <row r="2271" ht="15.75">
      <c r="A2271" s="727"/>
    </row>
    <row r="2272" ht="15.75">
      <c r="A2272" s="727"/>
    </row>
    <row r="2273" ht="15.75">
      <c r="A2273" s="727"/>
    </row>
    <row r="2274" ht="15.75">
      <c r="A2274" s="727"/>
    </row>
    <row r="2275" ht="15.75">
      <c r="A2275" s="727"/>
    </row>
    <row r="2276" ht="15.75">
      <c r="A2276" s="727"/>
    </row>
    <row r="2277" ht="15.75">
      <c r="A2277" s="727"/>
    </row>
    <row r="2278" ht="15.75">
      <c r="A2278" s="727"/>
    </row>
    <row r="2279" ht="15.75">
      <c r="A2279" s="727"/>
    </row>
    <row r="2280" ht="15.75">
      <c r="A2280" s="727"/>
    </row>
    <row r="2281" ht="15.75">
      <c r="A2281" s="727"/>
    </row>
    <row r="2282" ht="15.75">
      <c r="A2282" s="727"/>
    </row>
    <row r="2283" ht="15.75">
      <c r="A2283" s="727"/>
    </row>
    <row r="2284" ht="15.75">
      <c r="A2284" s="727"/>
    </row>
    <row r="2285" ht="15.75">
      <c r="A2285" s="727"/>
    </row>
    <row r="2286" ht="15.75">
      <c r="A2286" s="727"/>
    </row>
    <row r="2287" ht="15.75">
      <c r="A2287" s="727"/>
    </row>
    <row r="2288" ht="15.75">
      <c r="A2288" s="727"/>
    </row>
    <row r="2289" ht="15.75">
      <c r="A2289" s="727"/>
    </row>
    <row r="2290" ht="15.75">
      <c r="A2290" s="727"/>
    </row>
    <row r="2291" ht="15.75">
      <c r="A2291" s="727"/>
    </row>
    <row r="2292" ht="15.75">
      <c r="A2292" s="727"/>
    </row>
    <row r="2293" ht="15.75">
      <c r="A2293" s="727"/>
    </row>
    <row r="2294" ht="15.75">
      <c r="A2294" s="727"/>
    </row>
    <row r="2295" ht="15.75">
      <c r="A2295" s="727"/>
    </row>
    <row r="2296" ht="15.75">
      <c r="A2296" s="727"/>
    </row>
    <row r="2297" ht="15.75">
      <c r="A2297" s="727"/>
    </row>
    <row r="2298" ht="15.75">
      <c r="A2298" s="727"/>
    </row>
    <row r="2299" ht="15.75">
      <c r="A2299" s="727"/>
    </row>
    <row r="2300" ht="15.75">
      <c r="A2300" s="727"/>
    </row>
    <row r="2301" ht="15.75">
      <c r="A2301" s="727"/>
    </row>
    <row r="2302" ht="15.75">
      <c r="A2302" s="727"/>
    </row>
    <row r="2303" ht="15.75">
      <c r="A2303" s="727"/>
    </row>
    <row r="2304" ht="15.75">
      <c r="A2304" s="727"/>
    </row>
    <row r="2305" ht="15.75">
      <c r="A2305" s="727"/>
    </row>
    <row r="2306" ht="15.75">
      <c r="A2306" s="727"/>
    </row>
    <row r="2307" ht="15.75">
      <c r="A2307" s="727"/>
    </row>
    <row r="2308" ht="15.75">
      <c r="A2308" s="727"/>
    </row>
    <row r="2309" ht="15.75">
      <c r="A2309" s="727"/>
    </row>
    <row r="2310" ht="15.75">
      <c r="A2310" s="727"/>
    </row>
    <row r="2311" ht="15.75">
      <c r="A2311" s="727"/>
    </row>
    <row r="2312" ht="15.75">
      <c r="A2312" s="727"/>
    </row>
    <row r="2313" ht="15.75">
      <c r="A2313" s="727"/>
    </row>
    <row r="2314" ht="15.75">
      <c r="A2314" s="727"/>
    </row>
    <row r="2315" ht="15.75">
      <c r="A2315" s="727"/>
    </row>
    <row r="2316" ht="15.75">
      <c r="A2316" s="727"/>
    </row>
    <row r="2317" ht="15.75">
      <c r="A2317" s="727"/>
    </row>
    <row r="2318" ht="15.75">
      <c r="A2318" s="727"/>
    </row>
    <row r="2319" ht="15.75">
      <c r="A2319" s="727"/>
    </row>
    <row r="2320" ht="15.75">
      <c r="A2320" s="727"/>
    </row>
    <row r="2321" ht="15.75">
      <c r="A2321" s="727"/>
    </row>
    <row r="2322" ht="15.75">
      <c r="A2322" s="727"/>
    </row>
    <row r="2323" ht="15.75">
      <c r="A2323" s="727"/>
    </row>
    <row r="2324" ht="15.75">
      <c r="A2324" s="727"/>
    </row>
    <row r="2325" ht="15.75">
      <c r="A2325" s="727"/>
    </row>
    <row r="2326" ht="15.75">
      <c r="A2326" s="727"/>
    </row>
    <row r="2327" ht="15.75">
      <c r="A2327" s="727"/>
    </row>
    <row r="2328" ht="15.75">
      <c r="A2328" s="727"/>
    </row>
    <row r="2329" ht="15.75">
      <c r="A2329" s="727"/>
    </row>
    <row r="2330" ht="15.75">
      <c r="A2330" s="727"/>
    </row>
    <row r="2331" ht="15.75">
      <c r="A2331" s="727"/>
    </row>
    <row r="2332" ht="15.75">
      <c r="A2332" s="727"/>
    </row>
    <row r="2333" ht="15.75">
      <c r="A2333" s="727"/>
    </row>
    <row r="2334" ht="15.75">
      <c r="A2334" s="727"/>
    </row>
    <row r="2335" ht="15.75">
      <c r="A2335" s="727"/>
    </row>
    <row r="2336" ht="15.75">
      <c r="A2336" s="727"/>
    </row>
    <row r="2337" ht="15.75">
      <c r="A2337" s="727"/>
    </row>
    <row r="2338" ht="15.75">
      <c r="A2338" s="727"/>
    </row>
    <row r="2339" ht="15.75">
      <c r="A2339" s="727"/>
    </row>
    <row r="2340" ht="15.75">
      <c r="A2340" s="727"/>
    </row>
    <row r="2341" ht="15.75">
      <c r="A2341" s="727"/>
    </row>
    <row r="2342" ht="15.75">
      <c r="A2342" s="727"/>
    </row>
    <row r="2343" ht="15.75">
      <c r="A2343" s="727"/>
    </row>
    <row r="2344" ht="15.75">
      <c r="A2344" s="727"/>
    </row>
    <row r="2345" ht="15.75">
      <c r="A2345" s="727"/>
    </row>
    <row r="2346" ht="15.75">
      <c r="A2346" s="727"/>
    </row>
    <row r="2347" ht="15.75">
      <c r="A2347" s="727"/>
    </row>
    <row r="2348" ht="15.75">
      <c r="A2348" s="727"/>
    </row>
    <row r="2349" ht="15.75">
      <c r="A2349" s="727"/>
    </row>
    <row r="2350" ht="15.75">
      <c r="A2350" s="727"/>
    </row>
    <row r="2351" ht="15.75">
      <c r="A2351" s="727"/>
    </row>
    <row r="2352" ht="15.75">
      <c r="A2352" s="727"/>
    </row>
    <row r="2353" ht="15.75">
      <c r="A2353" s="727"/>
    </row>
    <row r="2354" ht="15.75">
      <c r="A2354" s="727"/>
    </row>
    <row r="2355" ht="15.75">
      <c r="A2355" s="727"/>
    </row>
    <row r="2356" ht="15.75">
      <c r="A2356" s="727"/>
    </row>
    <row r="2357" ht="15.75">
      <c r="A2357" s="727"/>
    </row>
    <row r="2358" ht="15.75">
      <c r="A2358" s="727"/>
    </row>
    <row r="2359" ht="15.75">
      <c r="A2359" s="727"/>
    </row>
    <row r="2360" ht="15.75">
      <c r="A2360" s="727"/>
    </row>
    <row r="2361" ht="15.75">
      <c r="A2361" s="727"/>
    </row>
    <row r="2362" ht="15.75">
      <c r="A2362" s="727"/>
    </row>
    <row r="2363" ht="15.75">
      <c r="A2363" s="727"/>
    </row>
    <row r="2364" ht="15.75">
      <c r="A2364" s="727"/>
    </row>
    <row r="2365" ht="15.75">
      <c r="A2365" s="727"/>
    </row>
    <row r="2366" ht="15.75">
      <c r="A2366" s="727"/>
    </row>
    <row r="2367" ht="15.75">
      <c r="A2367" s="727"/>
    </row>
    <row r="2368" ht="15.75">
      <c r="A2368" s="727"/>
    </row>
    <row r="2369" ht="15.75">
      <c r="A2369" s="727"/>
    </row>
    <row r="2370" ht="15.75">
      <c r="A2370" s="727"/>
    </row>
    <row r="2371" ht="15.75">
      <c r="A2371" s="727"/>
    </row>
    <row r="2372" ht="15.75">
      <c r="A2372" s="727"/>
    </row>
    <row r="2373" ht="15.75">
      <c r="A2373" s="727"/>
    </row>
    <row r="2374" ht="15.75">
      <c r="A2374" s="727"/>
    </row>
    <row r="2375" ht="15.75">
      <c r="A2375" s="727"/>
    </row>
    <row r="2376" ht="15.75">
      <c r="A2376" s="727"/>
    </row>
    <row r="2377" ht="15.75">
      <c r="A2377" s="727"/>
    </row>
    <row r="2378" ht="15.75">
      <c r="A2378" s="727"/>
    </row>
    <row r="2379" ht="15.75">
      <c r="A2379" s="727"/>
    </row>
    <row r="2380" ht="15.75">
      <c r="A2380" s="727"/>
    </row>
    <row r="2381" ht="15.75">
      <c r="A2381" s="727"/>
    </row>
    <row r="2382" ht="15.75">
      <c r="A2382" s="727"/>
    </row>
    <row r="2383" ht="15.75">
      <c r="A2383" s="727"/>
    </row>
    <row r="2384" ht="15.75">
      <c r="A2384" s="727"/>
    </row>
    <row r="2385" ht="15.75">
      <c r="A2385" s="727"/>
    </row>
    <row r="2386" ht="15.75">
      <c r="A2386" s="727"/>
    </row>
    <row r="2387" ht="15.75">
      <c r="A2387" s="727"/>
    </row>
    <row r="2388" ht="15.75">
      <c r="A2388" s="727"/>
    </row>
    <row r="2389" ht="15.75">
      <c r="A2389" s="727"/>
    </row>
    <row r="2390" ht="15.75">
      <c r="A2390" s="727"/>
    </row>
    <row r="2391" ht="15.75">
      <c r="A2391" s="727"/>
    </row>
    <row r="2392" ht="15.75">
      <c r="A2392" s="727"/>
    </row>
    <row r="2393" ht="15.75">
      <c r="A2393" s="727"/>
    </row>
    <row r="2394" ht="15.75">
      <c r="A2394" s="727"/>
    </row>
    <row r="2395" ht="15.75">
      <c r="A2395" s="727"/>
    </row>
    <row r="2396" ht="15.75">
      <c r="A2396" s="727"/>
    </row>
    <row r="2397" ht="15.75">
      <c r="A2397" s="727"/>
    </row>
    <row r="2398" ht="15.75">
      <c r="A2398" s="727"/>
    </row>
    <row r="2399" ht="15.75">
      <c r="A2399" s="727"/>
    </row>
    <row r="2400" ht="15.75">
      <c r="A2400" s="727"/>
    </row>
    <row r="2401" ht="15.75">
      <c r="A2401" s="727"/>
    </row>
    <row r="2402" ht="15.75">
      <c r="A2402" s="727"/>
    </row>
    <row r="2403" ht="15.75">
      <c r="A2403" s="727"/>
    </row>
    <row r="2404" ht="15.75">
      <c r="A2404" s="727"/>
    </row>
    <row r="2405" ht="15.75">
      <c r="A2405" s="727"/>
    </row>
    <row r="2406" ht="15.75">
      <c r="A2406" s="727"/>
    </row>
    <row r="2407" ht="15.75">
      <c r="A2407" s="727"/>
    </row>
    <row r="2408" ht="15.75">
      <c r="A2408" s="727"/>
    </row>
    <row r="2409" ht="15.75">
      <c r="A2409" s="727"/>
    </row>
    <row r="2410" ht="15.75">
      <c r="A2410" s="727"/>
    </row>
    <row r="2411" ht="15.75">
      <c r="A2411" s="727"/>
    </row>
    <row r="2412" ht="15.75">
      <c r="A2412" s="727"/>
    </row>
    <row r="2413" ht="15.75">
      <c r="A2413" s="727"/>
    </row>
    <row r="2414" ht="15.75">
      <c r="A2414" s="727"/>
    </row>
    <row r="2415" ht="15.75">
      <c r="A2415" s="727"/>
    </row>
    <row r="2416" ht="15.75">
      <c r="A2416" s="727"/>
    </row>
    <row r="2417" ht="15.75">
      <c r="A2417" s="727"/>
    </row>
    <row r="2418" ht="15.75">
      <c r="A2418" s="727"/>
    </row>
    <row r="2419" ht="15.75">
      <c r="A2419" s="727"/>
    </row>
    <row r="2420" ht="15.75">
      <c r="A2420" s="727"/>
    </row>
    <row r="2421" ht="15.75">
      <c r="A2421" s="727"/>
    </row>
    <row r="2422" ht="15.75">
      <c r="A2422" s="727"/>
    </row>
    <row r="2423" ht="15.75">
      <c r="A2423" s="727"/>
    </row>
    <row r="2424" ht="15.75">
      <c r="A2424" s="727"/>
    </row>
    <row r="2425" ht="15.75">
      <c r="A2425" s="727"/>
    </row>
    <row r="2426" ht="15.75">
      <c r="A2426" s="727"/>
    </row>
    <row r="2427" ht="15.75">
      <c r="A2427" s="727"/>
    </row>
    <row r="2428" ht="15.75">
      <c r="A2428" s="727"/>
    </row>
    <row r="2429" ht="15.75">
      <c r="A2429" s="727"/>
    </row>
    <row r="2430" ht="15.75">
      <c r="A2430" s="727"/>
    </row>
    <row r="2431" ht="15.75">
      <c r="A2431" s="727"/>
    </row>
    <row r="2432" ht="15.75">
      <c r="A2432" s="727"/>
    </row>
    <row r="2433" ht="15.75">
      <c r="A2433" s="727"/>
    </row>
    <row r="2434" ht="15.75">
      <c r="A2434" s="727"/>
    </row>
    <row r="2435" ht="15.75">
      <c r="A2435" s="727"/>
    </row>
    <row r="2436" ht="15.75">
      <c r="A2436" s="727"/>
    </row>
    <row r="2437" ht="15.75">
      <c r="A2437" s="727"/>
    </row>
    <row r="2438" ht="15.75">
      <c r="A2438" s="727"/>
    </row>
    <row r="2439" ht="15.75">
      <c r="A2439" s="727"/>
    </row>
    <row r="2440" ht="15.75">
      <c r="A2440" s="727"/>
    </row>
    <row r="2441" ht="15.75">
      <c r="A2441" s="727"/>
    </row>
    <row r="2442" ht="15.75">
      <c r="A2442" s="727"/>
    </row>
    <row r="2443" ht="15.75">
      <c r="A2443" s="727"/>
    </row>
    <row r="2444" ht="15.75">
      <c r="A2444" s="727"/>
    </row>
    <row r="2445" ht="15.75">
      <c r="A2445" s="727"/>
    </row>
    <row r="2446" ht="15.75">
      <c r="A2446" s="727"/>
    </row>
    <row r="2447" ht="15.75">
      <c r="A2447" s="727"/>
    </row>
    <row r="2448" ht="15.75">
      <c r="A2448" s="727"/>
    </row>
    <row r="2449" ht="15.75">
      <c r="A2449" s="727"/>
    </row>
    <row r="2450" ht="15.75">
      <c r="A2450" s="727"/>
    </row>
    <row r="2451" ht="15.75">
      <c r="A2451" s="727"/>
    </row>
    <row r="2452" ht="15.75">
      <c r="A2452" s="727"/>
    </row>
    <row r="2453" ht="15.75">
      <c r="A2453" s="727"/>
    </row>
    <row r="2454" ht="15.75">
      <c r="A2454" s="727"/>
    </row>
    <row r="2455" ht="15.75">
      <c r="A2455" s="727"/>
    </row>
    <row r="2456" ht="15.75">
      <c r="A2456" s="727"/>
    </row>
    <row r="2457" ht="15.75">
      <c r="A2457" s="727"/>
    </row>
    <row r="2458" ht="15.75">
      <c r="A2458" s="727"/>
    </row>
    <row r="2459" ht="15.75">
      <c r="A2459" s="727"/>
    </row>
    <row r="2460" ht="15.75">
      <c r="A2460" s="727"/>
    </row>
    <row r="2461" ht="15.75">
      <c r="A2461" s="727"/>
    </row>
    <row r="2462" ht="15.75">
      <c r="A2462" s="727"/>
    </row>
    <row r="2463" ht="15.75">
      <c r="A2463" s="727"/>
    </row>
    <row r="2464" ht="15.75">
      <c r="A2464" s="727"/>
    </row>
    <row r="2465" ht="15.75">
      <c r="A2465" s="727"/>
    </row>
    <row r="2466" ht="15.75">
      <c r="A2466" s="727"/>
    </row>
    <row r="2467" ht="15.75">
      <c r="A2467" s="727"/>
    </row>
    <row r="2468" ht="15.75">
      <c r="A2468" s="727"/>
    </row>
    <row r="2469" ht="15.75">
      <c r="A2469" s="727"/>
    </row>
    <row r="2470" ht="15.75">
      <c r="A2470" s="727"/>
    </row>
    <row r="2471" ht="15.75">
      <c r="A2471" s="727"/>
    </row>
    <row r="2472" ht="15.75">
      <c r="A2472" s="727"/>
    </row>
    <row r="2473" ht="15.75">
      <c r="A2473" s="727"/>
    </row>
    <row r="2474" ht="15.75">
      <c r="A2474" s="727"/>
    </row>
    <row r="2475" ht="15.75">
      <c r="A2475" s="727"/>
    </row>
    <row r="2476" ht="15.75">
      <c r="A2476" s="727"/>
    </row>
    <row r="2477" ht="15.75">
      <c r="A2477" s="727"/>
    </row>
    <row r="2478" ht="15.75">
      <c r="A2478" s="727"/>
    </row>
    <row r="2479" ht="15.75">
      <c r="A2479" s="727"/>
    </row>
    <row r="2480" ht="15.75">
      <c r="A2480" s="727"/>
    </row>
    <row r="2481" ht="15.75">
      <c r="A2481" s="727"/>
    </row>
    <row r="2482" ht="15.75">
      <c r="A2482" s="727"/>
    </row>
    <row r="2483" ht="15.75">
      <c r="A2483" s="727"/>
    </row>
    <row r="2484" ht="15.75">
      <c r="A2484" s="727"/>
    </row>
    <row r="2485" ht="15.75">
      <c r="A2485" s="727"/>
    </row>
    <row r="2486" ht="15.75">
      <c r="A2486" s="727"/>
    </row>
    <row r="2487" ht="15.75">
      <c r="A2487" s="727"/>
    </row>
    <row r="2488" ht="15.75">
      <c r="A2488" s="727"/>
    </row>
    <row r="2489" ht="15.75">
      <c r="A2489" s="727"/>
    </row>
    <row r="2490" ht="15.75">
      <c r="A2490" s="727"/>
    </row>
    <row r="2491" ht="15.75">
      <c r="A2491" s="727"/>
    </row>
    <row r="2492" ht="15.75">
      <c r="A2492" s="727"/>
    </row>
    <row r="2493" ht="15.75">
      <c r="A2493" s="727"/>
    </row>
    <row r="2494" ht="15.75">
      <c r="A2494" s="727"/>
    </row>
    <row r="2495" ht="15.75">
      <c r="A2495" s="727"/>
    </row>
    <row r="2496" ht="15.75">
      <c r="A2496" s="727"/>
    </row>
    <row r="2497" ht="15.75">
      <c r="A2497" s="727"/>
    </row>
    <row r="2498" ht="15.75">
      <c r="A2498" s="727"/>
    </row>
    <row r="2499" ht="15.75">
      <c r="A2499" s="727"/>
    </row>
    <row r="2500" ht="15.75">
      <c r="A2500" s="727"/>
    </row>
    <row r="2501" ht="15.75">
      <c r="A2501" s="727"/>
    </row>
    <row r="2502" ht="15.75">
      <c r="A2502" s="727"/>
    </row>
    <row r="2503" ht="15.75">
      <c r="A2503" s="727"/>
    </row>
    <row r="2504" ht="15.75">
      <c r="A2504" s="727"/>
    </row>
    <row r="2505" ht="15.75">
      <c r="A2505" s="727"/>
    </row>
    <row r="2506" ht="15.75">
      <c r="A2506" s="727"/>
    </row>
    <row r="2507" ht="15.75">
      <c r="A2507" s="727"/>
    </row>
    <row r="2508" ht="15.75">
      <c r="A2508" s="727"/>
    </row>
    <row r="2509" ht="15.75">
      <c r="A2509" s="727"/>
    </row>
    <row r="2510" ht="15.75">
      <c r="A2510" s="727"/>
    </row>
    <row r="2511" ht="15.75">
      <c r="A2511" s="727"/>
    </row>
    <row r="2512" ht="15.75">
      <c r="A2512" s="727"/>
    </row>
    <row r="2513" ht="15.75">
      <c r="A2513" s="727"/>
    </row>
    <row r="2514" ht="15.75">
      <c r="A2514" s="727"/>
    </row>
    <row r="2515" ht="15.75">
      <c r="A2515" s="727"/>
    </row>
    <row r="2516" ht="15.75">
      <c r="A2516" s="727"/>
    </row>
    <row r="2517" ht="15.75">
      <c r="A2517" s="727"/>
    </row>
    <row r="2518" ht="15.75">
      <c r="A2518" s="727"/>
    </row>
    <row r="2519" ht="15.75">
      <c r="A2519" s="727"/>
    </row>
    <row r="2520" ht="15.75">
      <c r="A2520" s="727"/>
    </row>
    <row r="2521" ht="15.75">
      <c r="A2521" s="727"/>
    </row>
    <row r="2522" ht="15.75">
      <c r="A2522" s="727"/>
    </row>
    <row r="2523" ht="15.75">
      <c r="A2523" s="727"/>
    </row>
    <row r="2524" ht="15.75">
      <c r="A2524" s="727"/>
    </row>
    <row r="2525" ht="15.75">
      <c r="A2525" s="727"/>
    </row>
    <row r="2526" ht="15.75">
      <c r="A2526" s="727"/>
    </row>
    <row r="2527" ht="15.75">
      <c r="A2527" s="727"/>
    </row>
    <row r="2528" ht="15.75">
      <c r="A2528" s="727"/>
    </row>
    <row r="2529" ht="15.75">
      <c r="A2529" s="727"/>
    </row>
    <row r="2530" ht="15.75">
      <c r="A2530" s="727"/>
    </row>
    <row r="2531" ht="15.75">
      <c r="A2531" s="727"/>
    </row>
    <row r="2532" ht="15.75">
      <c r="A2532" s="727"/>
    </row>
    <row r="2533" ht="15.75">
      <c r="A2533" s="727"/>
    </row>
    <row r="2534" ht="15.75">
      <c r="A2534" s="727"/>
    </row>
    <row r="2535" ht="15.75">
      <c r="A2535" s="727"/>
    </row>
    <row r="2536" ht="15.75">
      <c r="A2536" s="727"/>
    </row>
    <row r="2537" ht="15.75">
      <c r="A2537" s="727"/>
    </row>
    <row r="2538" ht="15.75">
      <c r="A2538" s="727"/>
    </row>
    <row r="2539" ht="15.75">
      <c r="A2539" s="727"/>
    </row>
    <row r="2540" ht="15.75">
      <c r="A2540" s="727"/>
    </row>
    <row r="2541" ht="15.75">
      <c r="A2541" s="727"/>
    </row>
    <row r="2542" ht="15.75">
      <c r="A2542" s="727"/>
    </row>
    <row r="2543" ht="15.75">
      <c r="A2543" s="727"/>
    </row>
    <row r="2544" ht="15.75">
      <c r="A2544" s="727"/>
    </row>
    <row r="2545" ht="15.75">
      <c r="A2545" s="727"/>
    </row>
    <row r="2546" ht="15.75">
      <c r="A2546" s="727"/>
    </row>
    <row r="2547" ht="15.75">
      <c r="A2547" s="727"/>
    </row>
    <row r="2548" ht="15.75">
      <c r="A2548" s="727"/>
    </row>
    <row r="2549" ht="15.75">
      <c r="A2549" s="727"/>
    </row>
    <row r="2550" ht="15.75">
      <c r="A2550" s="727"/>
    </row>
    <row r="2551" ht="15.75">
      <c r="A2551" s="727"/>
    </row>
    <row r="2552" ht="15.75">
      <c r="A2552" s="727"/>
    </row>
    <row r="2553" ht="15.75">
      <c r="A2553" s="727"/>
    </row>
    <row r="2554" ht="15.75">
      <c r="A2554" s="727"/>
    </row>
    <row r="2555" ht="15.75">
      <c r="A2555" s="727"/>
    </row>
    <row r="2556" ht="15.75">
      <c r="A2556" s="727"/>
    </row>
    <row r="2557" ht="15.75">
      <c r="A2557" s="727"/>
    </row>
    <row r="2558" ht="15.75">
      <c r="A2558" s="727"/>
    </row>
    <row r="2559" ht="15.75">
      <c r="A2559" s="727"/>
    </row>
    <row r="2560" ht="15.75">
      <c r="A2560" s="727"/>
    </row>
    <row r="2561" ht="15.75">
      <c r="A2561" s="727"/>
    </row>
    <row r="2562" ht="15.75">
      <c r="A2562" s="727"/>
    </row>
    <row r="2563" ht="15.75">
      <c r="A2563" s="727"/>
    </row>
    <row r="2564" ht="15.75">
      <c r="A2564" s="727"/>
    </row>
    <row r="2565" ht="15.75">
      <c r="A2565" s="727"/>
    </row>
    <row r="2566" ht="15.75">
      <c r="A2566" s="727"/>
    </row>
    <row r="2567" ht="15.75">
      <c r="A2567" s="727"/>
    </row>
    <row r="2568" ht="15.75">
      <c r="A2568" s="727"/>
    </row>
    <row r="2569" ht="15.75">
      <c r="A2569" s="727"/>
    </row>
    <row r="2570" ht="15.75">
      <c r="A2570" s="727"/>
    </row>
    <row r="2571" ht="15.75">
      <c r="A2571" s="727"/>
    </row>
    <row r="2572" ht="15.75">
      <c r="A2572" s="727"/>
    </row>
    <row r="2573" ht="15.75">
      <c r="A2573" s="727"/>
    </row>
    <row r="2574" ht="15.75">
      <c r="A2574" s="727"/>
    </row>
    <row r="2575" ht="15.75">
      <c r="A2575" s="727"/>
    </row>
    <row r="2576" ht="15.75">
      <c r="A2576" s="727"/>
    </row>
    <row r="2577" ht="15.75">
      <c r="A2577" s="727"/>
    </row>
    <row r="2578" ht="15.75">
      <c r="A2578" s="727"/>
    </row>
    <row r="2579" ht="15.75">
      <c r="A2579" s="727"/>
    </row>
    <row r="2580" ht="15.75">
      <c r="A2580" s="727"/>
    </row>
    <row r="2581" ht="15.75">
      <c r="A2581" s="727"/>
    </row>
    <row r="2582" ht="15.75">
      <c r="A2582" s="727"/>
    </row>
    <row r="2583" ht="15.75">
      <c r="A2583" s="727"/>
    </row>
    <row r="2584" ht="15.75">
      <c r="A2584" s="727"/>
    </row>
    <row r="2585" ht="15.75">
      <c r="A2585" s="727"/>
    </row>
    <row r="2586" ht="15.75">
      <c r="A2586" s="727"/>
    </row>
    <row r="2587" ht="15.75">
      <c r="A2587" s="727"/>
    </row>
    <row r="2588" ht="15.75">
      <c r="A2588" s="727"/>
    </row>
    <row r="2589" ht="15.75">
      <c r="A2589" s="727"/>
    </row>
    <row r="2590" ht="15.75">
      <c r="A2590" s="727"/>
    </row>
    <row r="2591" ht="15.75">
      <c r="A2591" s="727"/>
    </row>
    <row r="2592" ht="15.75">
      <c r="A2592" s="727"/>
    </row>
    <row r="2593" ht="15.75">
      <c r="A2593" s="727"/>
    </row>
    <row r="2594" ht="15.75">
      <c r="A2594" s="727"/>
    </row>
    <row r="2595" ht="15.75">
      <c r="A2595" s="727"/>
    </row>
    <row r="2596" ht="15.75">
      <c r="A2596" s="727"/>
    </row>
    <row r="2597" ht="15.75">
      <c r="A2597" s="727"/>
    </row>
    <row r="2598" ht="15.75">
      <c r="A2598" s="727"/>
    </row>
    <row r="2599" ht="15.75">
      <c r="A2599" s="727"/>
    </row>
    <row r="2600" ht="15.75">
      <c r="A2600" s="727"/>
    </row>
    <row r="2601" ht="15.75">
      <c r="A2601" s="727"/>
    </row>
    <row r="2602" ht="15.75">
      <c r="A2602" s="727"/>
    </row>
    <row r="2603" ht="15.75">
      <c r="A2603" s="727"/>
    </row>
    <row r="2604" ht="15.75">
      <c r="A2604" s="727"/>
    </row>
    <row r="2605" ht="15.75">
      <c r="A2605" s="727"/>
    </row>
    <row r="2606" ht="15.75">
      <c r="A2606" s="727"/>
    </row>
    <row r="2607" ht="15.75">
      <c r="A2607" s="727"/>
    </row>
    <row r="2608" ht="15.75">
      <c r="A2608" s="727"/>
    </row>
    <row r="2609" ht="15.75">
      <c r="A2609" s="727"/>
    </row>
    <row r="2610" ht="15.75">
      <c r="A2610" s="727"/>
    </row>
    <row r="2611" ht="15.75">
      <c r="A2611" s="727"/>
    </row>
    <row r="2612" ht="15.75">
      <c r="A2612" s="727"/>
    </row>
    <row r="2613" ht="15.75">
      <c r="A2613" s="727"/>
    </row>
    <row r="2614" ht="15.75">
      <c r="A2614" s="727"/>
    </row>
    <row r="2615" ht="15.75">
      <c r="A2615" s="727"/>
    </row>
    <row r="2616" ht="15.75">
      <c r="A2616" s="727"/>
    </row>
    <row r="2617" ht="15.75">
      <c r="A2617" s="727"/>
    </row>
    <row r="2618" ht="15.75">
      <c r="A2618" s="727"/>
    </row>
    <row r="2619" ht="15.75">
      <c r="A2619" s="727"/>
    </row>
    <row r="2620" ht="15.75">
      <c r="A2620" s="727"/>
    </row>
    <row r="2621" ht="15.75">
      <c r="A2621" s="727"/>
    </row>
    <row r="2622" ht="15.75">
      <c r="A2622" s="727"/>
    </row>
    <row r="2623" ht="15.75">
      <c r="A2623" s="727"/>
    </row>
    <row r="2624" ht="15.75">
      <c r="A2624" s="727"/>
    </row>
    <row r="2625" ht="15.75">
      <c r="A2625" s="727"/>
    </row>
    <row r="2626" ht="15.75">
      <c r="A2626" s="727"/>
    </row>
    <row r="2627" ht="15.75">
      <c r="A2627" s="727"/>
    </row>
    <row r="2628" ht="15.75">
      <c r="A2628" s="727"/>
    </row>
    <row r="2629" ht="15.75">
      <c r="A2629" s="727"/>
    </row>
    <row r="2630" ht="15.75">
      <c r="A2630" s="727"/>
    </row>
    <row r="2631" ht="15.75">
      <c r="A2631" s="727"/>
    </row>
    <row r="2632" ht="15.75">
      <c r="A2632" s="727"/>
    </row>
    <row r="2633" ht="15.75">
      <c r="A2633" s="727"/>
    </row>
    <row r="2634" ht="15.75">
      <c r="A2634" s="727"/>
    </row>
    <row r="2635" ht="15.75">
      <c r="A2635" s="727"/>
    </row>
    <row r="2636" ht="15.75">
      <c r="A2636" s="727"/>
    </row>
    <row r="2637" ht="15.75">
      <c r="A2637" s="727"/>
    </row>
    <row r="2638" ht="15.75">
      <c r="A2638" s="727"/>
    </row>
    <row r="2639" ht="15.75">
      <c r="A2639" s="727"/>
    </row>
    <row r="2640" ht="15.75">
      <c r="A2640" s="727"/>
    </row>
    <row r="2641" ht="15.75">
      <c r="A2641" s="727"/>
    </row>
    <row r="2642" ht="15.75">
      <c r="A2642" s="727"/>
    </row>
    <row r="2643" ht="15.75">
      <c r="A2643" s="727"/>
    </row>
    <row r="2644" ht="15.75">
      <c r="A2644" s="727"/>
    </row>
    <row r="2645" ht="15.75">
      <c r="A2645" s="727"/>
    </row>
    <row r="2646" ht="15.75">
      <c r="A2646" s="727"/>
    </row>
    <row r="2647" ht="15.75">
      <c r="A2647" s="727"/>
    </row>
    <row r="2648" ht="15.75">
      <c r="A2648" s="727"/>
    </row>
    <row r="2649" ht="15.75">
      <c r="A2649" s="727"/>
    </row>
    <row r="2650" ht="15.75">
      <c r="A2650" s="727"/>
    </row>
    <row r="2651" ht="15.75">
      <c r="A2651" s="727"/>
    </row>
    <row r="2652" ht="15.75">
      <c r="A2652" s="727"/>
    </row>
    <row r="2653" ht="15.75">
      <c r="A2653" s="727"/>
    </row>
    <row r="2654" ht="15.75">
      <c r="A2654" s="727"/>
    </row>
    <row r="2655" ht="15.75">
      <c r="A2655" s="727"/>
    </row>
    <row r="2656" ht="15.75">
      <c r="A2656" s="727"/>
    </row>
    <row r="2657" ht="15.75">
      <c r="A2657" s="727"/>
    </row>
    <row r="2658" ht="15.75">
      <c r="A2658" s="727"/>
    </row>
    <row r="2659" ht="15.75">
      <c r="A2659" s="727"/>
    </row>
    <row r="2660" ht="15.75">
      <c r="A2660" s="727"/>
    </row>
    <row r="2661" ht="15.75">
      <c r="A2661" s="727"/>
    </row>
    <row r="2662" ht="15.75">
      <c r="A2662" s="727"/>
    </row>
    <row r="2663" ht="15.75">
      <c r="A2663" s="727"/>
    </row>
    <row r="2664" ht="15.75">
      <c r="A2664" s="727"/>
    </row>
    <row r="2665" ht="15.75">
      <c r="A2665" s="727"/>
    </row>
    <row r="2666" ht="15.75">
      <c r="A2666" s="727"/>
    </row>
    <row r="2667" ht="15.75">
      <c r="A2667" s="727"/>
    </row>
    <row r="2668" ht="15.75">
      <c r="A2668" s="727"/>
    </row>
    <row r="2669" ht="15.75">
      <c r="A2669" s="727"/>
    </row>
    <row r="2670" ht="15.75">
      <c r="A2670" s="727"/>
    </row>
    <row r="2671" ht="15.75">
      <c r="A2671" s="727"/>
    </row>
    <row r="2672" ht="15.75">
      <c r="A2672" s="727"/>
    </row>
    <row r="2673" ht="15.75">
      <c r="A2673" s="727"/>
    </row>
    <row r="2674" ht="15.75">
      <c r="A2674" s="727"/>
    </row>
    <row r="2675" ht="15.75">
      <c r="A2675" s="727"/>
    </row>
    <row r="2676" ht="15.75">
      <c r="A2676" s="727"/>
    </row>
    <row r="2677" ht="15.75">
      <c r="A2677" s="727"/>
    </row>
    <row r="2678" ht="15.75">
      <c r="A2678" s="727"/>
    </row>
    <row r="2679" ht="15.75">
      <c r="A2679" s="727"/>
    </row>
    <row r="2680" ht="15.75">
      <c r="A2680" s="727"/>
    </row>
    <row r="2681" ht="15.75">
      <c r="A2681" s="727"/>
    </row>
    <row r="2682" ht="15.75">
      <c r="A2682" s="727"/>
    </row>
    <row r="2683" ht="15.75">
      <c r="A2683" s="727"/>
    </row>
    <row r="2684" ht="15.75">
      <c r="A2684" s="727"/>
    </row>
    <row r="2685" ht="15.75">
      <c r="A2685" s="727"/>
    </row>
    <row r="2686" ht="15.75">
      <c r="A2686" s="727"/>
    </row>
    <row r="2687" ht="15.75">
      <c r="A2687" s="727"/>
    </row>
    <row r="2688" ht="15.75">
      <c r="A2688" s="727"/>
    </row>
    <row r="2689" ht="15.75">
      <c r="A2689" s="727"/>
    </row>
    <row r="2690" ht="15.75">
      <c r="A2690" s="727"/>
    </row>
    <row r="2691" ht="15.75">
      <c r="A2691" s="727"/>
    </row>
    <row r="2692" ht="15.75">
      <c r="A2692" s="727"/>
    </row>
    <row r="2693" ht="15.75">
      <c r="A2693" s="727"/>
    </row>
    <row r="2694" ht="15.75">
      <c r="A2694" s="727"/>
    </row>
    <row r="2695" ht="15.75">
      <c r="A2695" s="727"/>
    </row>
    <row r="2696" ht="15.75">
      <c r="A2696" s="727"/>
    </row>
    <row r="2697" ht="15.75">
      <c r="A2697" s="727"/>
    </row>
    <row r="2698" ht="15.75">
      <c r="A2698" s="727"/>
    </row>
    <row r="2699" ht="15.75">
      <c r="A2699" s="727"/>
    </row>
    <row r="2700" ht="15.75">
      <c r="A2700" s="727"/>
    </row>
    <row r="2701" ht="15.75">
      <c r="A2701" s="727"/>
    </row>
    <row r="2702" ht="15.75">
      <c r="A2702" s="727"/>
    </row>
    <row r="2703" ht="15.75">
      <c r="A2703" s="727"/>
    </row>
    <row r="2704" ht="15.75">
      <c r="A2704" s="727"/>
    </row>
    <row r="2705" ht="15.75">
      <c r="A2705" s="727"/>
    </row>
    <row r="2706" ht="15.75">
      <c r="A2706" s="727"/>
    </row>
    <row r="2707" ht="15.75">
      <c r="A2707" s="727"/>
    </row>
    <row r="2708" ht="15.75">
      <c r="A2708" s="727"/>
    </row>
    <row r="2709" ht="15.75">
      <c r="A2709" s="727"/>
    </row>
    <row r="2710" ht="15.75">
      <c r="A2710" s="727"/>
    </row>
    <row r="2711" ht="15.75">
      <c r="A2711" s="727"/>
    </row>
    <row r="2712" ht="15.75">
      <c r="A2712" s="727"/>
    </row>
    <row r="2713" ht="15.75">
      <c r="A2713" s="727"/>
    </row>
    <row r="2714" ht="15.75">
      <c r="A2714" s="727"/>
    </row>
    <row r="2715" ht="15.75">
      <c r="A2715" s="727"/>
    </row>
    <row r="2716" ht="15.75">
      <c r="A2716" s="727"/>
    </row>
    <row r="2717" ht="15.75">
      <c r="A2717" s="727"/>
    </row>
    <row r="2718" ht="15.75">
      <c r="A2718" s="727"/>
    </row>
    <row r="2719" ht="15.75">
      <c r="A2719" s="727"/>
    </row>
    <row r="2720" ht="15.75">
      <c r="A2720" s="727"/>
    </row>
    <row r="2721" ht="15.75">
      <c r="A2721" s="727"/>
    </row>
    <row r="2722" ht="15.75">
      <c r="A2722" s="727"/>
    </row>
    <row r="2723" ht="15.75">
      <c r="A2723" s="727"/>
    </row>
    <row r="2724" ht="15.75">
      <c r="A2724" s="727"/>
    </row>
    <row r="2725" ht="15.75">
      <c r="A2725" s="727"/>
    </row>
    <row r="2726" ht="15.75">
      <c r="A2726" s="727"/>
    </row>
    <row r="2727" ht="15.75">
      <c r="A2727" s="727"/>
    </row>
    <row r="2728" ht="15.75">
      <c r="A2728" s="727"/>
    </row>
    <row r="2729" ht="15.75">
      <c r="A2729" s="727"/>
    </row>
    <row r="2730" ht="15.75">
      <c r="A2730" s="727"/>
    </row>
    <row r="2731" ht="15.75">
      <c r="A2731" s="727"/>
    </row>
    <row r="2732" ht="15.75">
      <c r="A2732" s="727"/>
    </row>
    <row r="2733" ht="15.75">
      <c r="A2733" s="727"/>
    </row>
    <row r="2734" ht="15.75">
      <c r="A2734" s="727"/>
    </row>
    <row r="2735" ht="15.75">
      <c r="A2735" s="727"/>
    </row>
    <row r="2736" ht="15.75">
      <c r="A2736" s="727"/>
    </row>
    <row r="2737" ht="15.75">
      <c r="A2737" s="727"/>
    </row>
    <row r="2738" ht="15.75">
      <c r="A2738" s="727"/>
    </row>
    <row r="2739" ht="15.75">
      <c r="A2739" s="727"/>
    </row>
    <row r="2740" ht="15.75">
      <c r="A2740" s="727"/>
    </row>
    <row r="2741" ht="15.75">
      <c r="A2741" s="727"/>
    </row>
    <row r="2742" ht="15.75">
      <c r="A2742" s="727"/>
    </row>
    <row r="2743" ht="15.75">
      <c r="A2743" s="727"/>
    </row>
    <row r="2744" ht="15.75">
      <c r="A2744" s="727"/>
    </row>
    <row r="2745" ht="15.75">
      <c r="A2745" s="727"/>
    </row>
    <row r="2746" ht="15.75">
      <c r="A2746" s="727"/>
    </row>
    <row r="2747" ht="15.75">
      <c r="A2747" s="727"/>
    </row>
    <row r="2748" ht="15.75">
      <c r="A2748" s="727"/>
    </row>
    <row r="2749" ht="15.75">
      <c r="A2749" s="727"/>
    </row>
    <row r="2750" ht="15.75">
      <c r="A2750" s="727"/>
    </row>
    <row r="2751" ht="15.75">
      <c r="A2751" s="727"/>
    </row>
    <row r="2752" ht="15.75">
      <c r="A2752" s="727"/>
    </row>
    <row r="2753" ht="15.75">
      <c r="A2753" s="727"/>
    </row>
    <row r="2754" ht="15.75">
      <c r="A2754" s="727"/>
    </row>
    <row r="2755" ht="15.75">
      <c r="A2755" s="727"/>
    </row>
    <row r="2756" ht="15.75">
      <c r="A2756" s="727"/>
    </row>
    <row r="2757" ht="15.75">
      <c r="A2757" s="727"/>
    </row>
    <row r="2758" ht="15.75">
      <c r="A2758" s="727"/>
    </row>
    <row r="2759" ht="15.75">
      <c r="A2759" s="727"/>
    </row>
    <row r="2760" ht="15.75">
      <c r="A2760" s="727"/>
    </row>
    <row r="2761" ht="15.75">
      <c r="A2761" s="727"/>
    </row>
    <row r="2762" ht="15.75">
      <c r="A2762" s="727"/>
    </row>
    <row r="2763" ht="15.75">
      <c r="A2763" s="727"/>
    </row>
    <row r="2764" ht="15.75">
      <c r="A2764" s="727"/>
    </row>
    <row r="2765" ht="15.75">
      <c r="A2765" s="727"/>
    </row>
    <row r="2766" ht="15.75">
      <c r="A2766" s="727"/>
    </row>
    <row r="2767" ht="15.75">
      <c r="A2767" s="727"/>
    </row>
    <row r="2768" ht="15.75">
      <c r="A2768" s="727"/>
    </row>
    <row r="2769" ht="15.75">
      <c r="A2769" s="727"/>
    </row>
    <row r="2770" ht="15.75">
      <c r="A2770" s="727"/>
    </row>
    <row r="2771" ht="15.75">
      <c r="A2771" s="727"/>
    </row>
    <row r="2772" ht="15.75">
      <c r="A2772" s="727"/>
    </row>
    <row r="2773" ht="15.75">
      <c r="A2773" s="727"/>
    </row>
    <row r="2774" ht="15.75">
      <c r="A2774" s="727"/>
    </row>
    <row r="2775" ht="15.75">
      <c r="A2775" s="727"/>
    </row>
    <row r="2776" ht="15.75">
      <c r="A2776" s="727"/>
    </row>
    <row r="2777" ht="15.75">
      <c r="A2777" s="727"/>
    </row>
    <row r="2778" ht="15.75">
      <c r="A2778" s="727"/>
    </row>
    <row r="2779" ht="15.75">
      <c r="A2779" s="727"/>
    </row>
    <row r="2780" ht="15.75">
      <c r="A2780" s="727"/>
    </row>
    <row r="2781" ht="15.75">
      <c r="A2781" s="727"/>
    </row>
    <row r="2782" ht="15.75">
      <c r="A2782" s="727"/>
    </row>
    <row r="2783" ht="15.75">
      <c r="A2783" s="727"/>
    </row>
    <row r="2784" ht="15.75">
      <c r="A2784" s="727"/>
    </row>
    <row r="2785" ht="15.75">
      <c r="A2785" s="727"/>
    </row>
    <row r="2786" ht="15.75">
      <c r="A2786" s="727"/>
    </row>
    <row r="2787" ht="15.75">
      <c r="A2787" s="727"/>
    </row>
    <row r="2788" ht="15.75">
      <c r="A2788" s="727"/>
    </row>
    <row r="2789" ht="15.75">
      <c r="A2789" s="727"/>
    </row>
    <row r="2790" ht="15.75">
      <c r="A2790" s="727"/>
    </row>
    <row r="2791" ht="15.75">
      <c r="A2791" s="727"/>
    </row>
    <row r="2792" ht="15.75">
      <c r="A2792" s="727"/>
    </row>
    <row r="2793" ht="15.75">
      <c r="A2793" s="727"/>
    </row>
    <row r="2794" ht="15.75">
      <c r="A2794" s="727"/>
    </row>
    <row r="2795" ht="15.75">
      <c r="A2795" s="727"/>
    </row>
    <row r="2796" ht="15.75">
      <c r="A2796" s="727"/>
    </row>
    <row r="2797" ht="15.75">
      <c r="A2797" s="727"/>
    </row>
    <row r="2798" ht="15.75">
      <c r="A2798" s="727"/>
    </row>
    <row r="2799" ht="15.75">
      <c r="A2799" s="727"/>
    </row>
    <row r="2800" ht="15.75">
      <c r="A2800" s="727"/>
    </row>
    <row r="2801" ht="15.75">
      <c r="A2801" s="727"/>
    </row>
    <row r="2802" ht="15.75">
      <c r="A2802" s="727"/>
    </row>
    <row r="2803" ht="15.75">
      <c r="A2803" s="727"/>
    </row>
    <row r="2804" ht="15.75">
      <c r="A2804" s="727"/>
    </row>
    <row r="2805" ht="15.75">
      <c r="A2805" s="727"/>
    </row>
    <row r="2806" ht="15.75">
      <c r="A2806" s="727"/>
    </row>
    <row r="2807" ht="15.75">
      <c r="A2807" s="727"/>
    </row>
    <row r="2808" ht="15.75">
      <c r="A2808" s="727"/>
    </row>
    <row r="2809" ht="15.75">
      <c r="A2809" s="727"/>
    </row>
    <row r="2810" ht="15.75">
      <c r="A2810" s="727"/>
    </row>
    <row r="2811" ht="15.75">
      <c r="A2811" s="727"/>
    </row>
    <row r="2812" ht="15.75">
      <c r="A2812" s="727"/>
    </row>
    <row r="2813" ht="15.75">
      <c r="A2813" s="727"/>
    </row>
    <row r="2814" ht="15.75">
      <c r="A2814" s="727"/>
    </row>
    <row r="2815" ht="15.75">
      <c r="A2815" s="727"/>
    </row>
    <row r="2816" ht="15.75">
      <c r="A2816" s="727"/>
    </row>
    <row r="2817" ht="15.75">
      <c r="A2817" s="727"/>
    </row>
    <row r="2818" ht="15.75">
      <c r="A2818" s="727"/>
    </row>
    <row r="2819" ht="15.75">
      <c r="A2819" s="727"/>
    </row>
    <row r="2820" ht="15.75">
      <c r="A2820" s="727"/>
    </row>
    <row r="2821" ht="15.75">
      <c r="A2821" s="727"/>
    </row>
    <row r="2822" ht="15.75">
      <c r="A2822" s="727"/>
    </row>
    <row r="2823" ht="15.75">
      <c r="A2823" s="727"/>
    </row>
    <row r="2824" ht="15.75">
      <c r="A2824" s="727"/>
    </row>
    <row r="2825" ht="15.75">
      <c r="A2825" s="727"/>
    </row>
    <row r="2826" ht="15.75">
      <c r="A2826" s="727"/>
    </row>
    <row r="2827" ht="15.75">
      <c r="A2827" s="727"/>
    </row>
    <row r="2828" ht="15.75">
      <c r="A2828" s="727"/>
    </row>
    <row r="2829" ht="15.75">
      <c r="A2829" s="727"/>
    </row>
    <row r="2830" ht="15.75">
      <c r="A2830" s="727"/>
    </row>
    <row r="2831" ht="15.75">
      <c r="A2831" s="727"/>
    </row>
    <row r="2832" ht="15.75">
      <c r="A2832" s="727"/>
    </row>
    <row r="2833" ht="15.75">
      <c r="A2833" s="727"/>
    </row>
    <row r="2834" ht="15.75">
      <c r="A2834" s="727"/>
    </row>
    <row r="2835" ht="15.75">
      <c r="A2835" s="727"/>
    </row>
    <row r="2836" ht="15.75">
      <c r="A2836" s="727"/>
    </row>
    <row r="2837" ht="15.75">
      <c r="A2837" s="727"/>
    </row>
    <row r="2838" ht="15.75">
      <c r="A2838" s="727"/>
    </row>
    <row r="2839" ht="15.75">
      <c r="A2839" s="727"/>
    </row>
    <row r="2840" ht="15.75">
      <c r="A2840" s="727"/>
    </row>
    <row r="2841" ht="15.75">
      <c r="A2841" s="727"/>
    </row>
    <row r="2842" ht="15.75">
      <c r="A2842" s="727"/>
    </row>
    <row r="2843" ht="15.75">
      <c r="A2843" s="727"/>
    </row>
    <row r="2844" ht="15.75">
      <c r="A2844" s="727"/>
    </row>
    <row r="2845" ht="15.75">
      <c r="A2845" s="727"/>
    </row>
    <row r="2846" ht="15.75">
      <c r="A2846" s="727"/>
    </row>
    <row r="2847" ht="15.75">
      <c r="A2847" s="727"/>
    </row>
    <row r="2848" ht="15.75">
      <c r="A2848" s="727"/>
    </row>
    <row r="2849" ht="15.75">
      <c r="A2849" s="727"/>
    </row>
    <row r="2850" ht="15.75">
      <c r="A2850" s="727"/>
    </row>
    <row r="2851" ht="15.75">
      <c r="A2851" s="727"/>
    </row>
    <row r="2852" ht="15.75">
      <c r="A2852" s="727"/>
    </row>
    <row r="2853" ht="15.75">
      <c r="A2853" s="727"/>
    </row>
    <row r="2854" ht="15.75">
      <c r="A2854" s="727"/>
    </row>
    <row r="2855" ht="15.75">
      <c r="A2855" s="727"/>
    </row>
    <row r="2856" ht="15.75">
      <c r="A2856" s="727"/>
    </row>
    <row r="2857" ht="15.75">
      <c r="A2857" s="727"/>
    </row>
    <row r="2858" ht="15.75">
      <c r="A2858" s="727"/>
    </row>
    <row r="2859" ht="15.75">
      <c r="A2859" s="727"/>
    </row>
    <row r="2860" ht="15.75">
      <c r="A2860" s="727"/>
    </row>
    <row r="2861" ht="15.75">
      <c r="A2861" s="727"/>
    </row>
    <row r="2862" ht="15.75">
      <c r="A2862" s="727"/>
    </row>
    <row r="2863" ht="15.75">
      <c r="A2863" s="727"/>
    </row>
    <row r="2864" ht="15.75">
      <c r="A2864" s="727"/>
    </row>
    <row r="2865" ht="15.75">
      <c r="A2865" s="727"/>
    </row>
    <row r="2866" ht="15.75">
      <c r="A2866" s="727"/>
    </row>
    <row r="2867" ht="15.75">
      <c r="A2867" s="727"/>
    </row>
    <row r="2868" ht="15.75">
      <c r="A2868" s="727"/>
    </row>
    <row r="2869" ht="15.75">
      <c r="A2869" s="727"/>
    </row>
    <row r="2870" ht="15.75">
      <c r="A2870" s="727"/>
    </row>
    <row r="2871" ht="15.75">
      <c r="A2871" s="727"/>
    </row>
    <row r="2872" ht="15.75">
      <c r="A2872" s="727"/>
    </row>
    <row r="2873" ht="15.75">
      <c r="A2873" s="727"/>
    </row>
    <row r="2874" ht="15.75">
      <c r="A2874" s="727"/>
    </row>
    <row r="2875" ht="15.75">
      <c r="A2875" s="727"/>
    </row>
    <row r="2876" ht="15.75">
      <c r="A2876" s="727"/>
    </row>
    <row r="2877" ht="15.75">
      <c r="A2877" s="727"/>
    </row>
    <row r="2878" ht="15.75">
      <c r="A2878" s="727"/>
    </row>
    <row r="2879" ht="15.75">
      <c r="A2879" s="727"/>
    </row>
    <row r="2880" ht="15.75">
      <c r="A2880" s="727"/>
    </row>
    <row r="2881" ht="15.75">
      <c r="A2881" s="727"/>
    </row>
    <row r="2882" ht="15.75">
      <c r="A2882" s="727"/>
    </row>
    <row r="2883" ht="15.75">
      <c r="A2883" s="727"/>
    </row>
    <row r="2884" ht="15.75">
      <c r="A2884" s="727"/>
    </row>
    <row r="2885" ht="15.75">
      <c r="A2885" s="727"/>
    </row>
    <row r="2886" ht="15.75">
      <c r="A2886" s="727"/>
    </row>
    <row r="2887" ht="15.75">
      <c r="A2887" s="727"/>
    </row>
    <row r="2888" ht="15.75">
      <c r="A2888" s="727"/>
    </row>
    <row r="2889" ht="15.75">
      <c r="A2889" s="727"/>
    </row>
    <row r="2890" ht="15.75">
      <c r="A2890" s="727"/>
    </row>
    <row r="2891" ht="15.75">
      <c r="A2891" s="727"/>
    </row>
    <row r="2892" ht="15.75">
      <c r="A2892" s="727"/>
    </row>
    <row r="2893" ht="15.75">
      <c r="A2893" s="727"/>
    </row>
    <row r="2894" ht="15.75">
      <c r="A2894" s="727"/>
    </row>
    <row r="2895" ht="15.75">
      <c r="A2895" s="727"/>
    </row>
    <row r="2896" ht="15.75">
      <c r="A2896" s="727"/>
    </row>
    <row r="2897" ht="15.75">
      <c r="A2897" s="727"/>
    </row>
    <row r="2898" ht="15.75">
      <c r="A2898" s="727"/>
    </row>
    <row r="2899" ht="15.75">
      <c r="A2899" s="727"/>
    </row>
    <row r="2900" ht="15.75">
      <c r="A2900" s="727"/>
    </row>
    <row r="2901" ht="15.75">
      <c r="A2901" s="727"/>
    </row>
    <row r="2902" ht="15.75">
      <c r="A2902" s="727"/>
    </row>
    <row r="2903" ht="15.75">
      <c r="A2903" s="727"/>
    </row>
    <row r="2904" ht="15.75">
      <c r="A2904" s="727"/>
    </row>
    <row r="2905" ht="15.75">
      <c r="A2905" s="727"/>
    </row>
    <row r="2906" ht="15.75">
      <c r="A2906" s="727"/>
    </row>
    <row r="2907" ht="15.75">
      <c r="A2907" s="727"/>
    </row>
    <row r="2908" ht="15.75">
      <c r="A2908" s="727"/>
    </row>
    <row r="2909" ht="15.75">
      <c r="A2909" s="727"/>
    </row>
    <row r="2910" ht="15.75">
      <c r="A2910" s="727"/>
    </row>
    <row r="2911" ht="15.75">
      <c r="A2911" s="727"/>
    </row>
    <row r="2912" ht="15.75">
      <c r="A2912" s="727"/>
    </row>
    <row r="2913" ht="15.75">
      <c r="A2913" s="727"/>
    </row>
    <row r="2914" ht="15.75">
      <c r="A2914" s="727"/>
    </row>
    <row r="2915" ht="15.75">
      <c r="A2915" s="727"/>
    </row>
    <row r="2916" ht="15.75">
      <c r="A2916" s="727"/>
    </row>
    <row r="2917" ht="15.75">
      <c r="A2917" s="727"/>
    </row>
    <row r="2918" ht="15.75">
      <c r="A2918" s="727"/>
    </row>
    <row r="2919" ht="15.75">
      <c r="A2919" s="727"/>
    </row>
    <row r="2920" ht="15.75">
      <c r="A2920" s="727"/>
    </row>
    <row r="2921" ht="15.75">
      <c r="A2921" s="727"/>
    </row>
    <row r="2922" ht="15.75">
      <c r="A2922" s="727"/>
    </row>
    <row r="2923" ht="15.75">
      <c r="A2923" s="727"/>
    </row>
    <row r="2924" ht="15.75">
      <c r="A2924" s="727"/>
    </row>
    <row r="2925" ht="15.75">
      <c r="A2925" s="727"/>
    </row>
    <row r="2926" ht="15.75">
      <c r="A2926" s="727"/>
    </row>
    <row r="2927" ht="15.75">
      <c r="A2927" s="727"/>
    </row>
    <row r="2928" ht="15.75">
      <c r="A2928" s="727"/>
    </row>
    <row r="2929" ht="15.75">
      <c r="A2929" s="727"/>
    </row>
    <row r="2930" ht="15.75">
      <c r="A2930" s="727"/>
    </row>
    <row r="2931" ht="15.75">
      <c r="A2931" s="727"/>
    </row>
    <row r="2932" ht="15.75">
      <c r="A2932" s="727"/>
    </row>
    <row r="2933" ht="15.75">
      <c r="A2933" s="727"/>
    </row>
    <row r="2934" ht="15.75">
      <c r="A2934" s="727"/>
    </row>
    <row r="2935" ht="15.75">
      <c r="A2935" s="727"/>
    </row>
    <row r="2936" ht="15.75">
      <c r="A2936" s="727"/>
    </row>
    <row r="2937" ht="15.75">
      <c r="A2937" s="727"/>
    </row>
    <row r="2938" ht="15.75">
      <c r="A2938" s="727"/>
    </row>
    <row r="2939" ht="15.75">
      <c r="A2939" s="727"/>
    </row>
    <row r="2940" ht="15.75">
      <c r="A2940" s="727"/>
    </row>
    <row r="2941" ht="15.75">
      <c r="A2941" s="727"/>
    </row>
    <row r="2942" ht="15.75">
      <c r="A2942" s="727"/>
    </row>
    <row r="2943" ht="15.75">
      <c r="A2943" s="727"/>
    </row>
    <row r="2944" ht="15.75">
      <c r="A2944" s="727"/>
    </row>
    <row r="2945" ht="15.75">
      <c r="A2945" s="727"/>
    </row>
    <row r="2946" ht="15.75">
      <c r="A2946" s="727"/>
    </row>
    <row r="2947" ht="15.75">
      <c r="A2947" s="727"/>
    </row>
    <row r="2948" ht="15.75">
      <c r="A2948" s="727"/>
    </row>
    <row r="2949" ht="15.75">
      <c r="A2949" s="727"/>
    </row>
    <row r="2950" ht="15.75">
      <c r="A2950" s="727"/>
    </row>
    <row r="2951" ht="15.75">
      <c r="A2951" s="727"/>
    </row>
    <row r="2952" ht="15.75">
      <c r="A2952" s="727"/>
    </row>
    <row r="2953" ht="15.75">
      <c r="A2953" s="727"/>
    </row>
    <row r="2954" ht="15.75">
      <c r="A2954" s="727"/>
    </row>
    <row r="2955" ht="15.75">
      <c r="A2955" s="727"/>
    </row>
    <row r="2956" ht="15.75">
      <c r="A2956" s="727"/>
    </row>
    <row r="2957" ht="15.75">
      <c r="A2957" s="727"/>
    </row>
    <row r="2958" ht="15.75">
      <c r="A2958" s="727"/>
    </row>
    <row r="2959" ht="15.75">
      <c r="A2959" s="727"/>
    </row>
    <row r="2960" ht="15.75">
      <c r="A2960" s="727"/>
    </row>
    <row r="2961" ht="15.75">
      <c r="A2961" s="727"/>
    </row>
    <row r="2962" ht="15.75">
      <c r="A2962" s="727"/>
    </row>
    <row r="2963" ht="15.75">
      <c r="A2963" s="727"/>
    </row>
    <row r="2964" ht="15.75">
      <c r="A2964" s="727"/>
    </row>
    <row r="2965" ht="15.75">
      <c r="A2965" s="727"/>
    </row>
    <row r="2966" ht="15.75">
      <c r="A2966" s="727"/>
    </row>
    <row r="2967" ht="15.75">
      <c r="A2967" s="727"/>
    </row>
    <row r="2968" ht="15.75">
      <c r="A2968" s="727"/>
    </row>
    <row r="2969" ht="15.75">
      <c r="A2969" s="727"/>
    </row>
    <row r="2970" ht="15.75">
      <c r="A2970" s="727"/>
    </row>
    <row r="2971" ht="15.75">
      <c r="A2971" s="727"/>
    </row>
    <row r="2972" ht="15.75">
      <c r="A2972" s="727"/>
    </row>
    <row r="2973" ht="15.75">
      <c r="A2973" s="727"/>
    </row>
    <row r="2974" ht="15.75">
      <c r="A2974" s="727"/>
    </row>
    <row r="2975" ht="15.75">
      <c r="A2975" s="727"/>
    </row>
    <row r="2976" ht="15.75">
      <c r="A2976" s="727"/>
    </row>
    <row r="2977" ht="15.75">
      <c r="A2977" s="727"/>
    </row>
    <row r="2978" ht="15.75">
      <c r="A2978" s="727"/>
    </row>
    <row r="2979" ht="15.75">
      <c r="A2979" s="727"/>
    </row>
    <row r="2980" ht="15.75">
      <c r="A2980" s="727"/>
    </row>
    <row r="2981" ht="15.75">
      <c r="A2981" s="727"/>
    </row>
    <row r="2982" ht="15.75">
      <c r="A2982" s="727"/>
    </row>
    <row r="2983" ht="15.75">
      <c r="A2983" s="727"/>
    </row>
    <row r="2984" ht="15.75">
      <c r="A2984" s="727"/>
    </row>
    <row r="2985" ht="15.75">
      <c r="A2985" s="727"/>
    </row>
    <row r="2986" ht="15.75">
      <c r="A2986" s="727"/>
    </row>
    <row r="2987" ht="15.75">
      <c r="A2987" s="727"/>
    </row>
    <row r="2988" ht="15.75">
      <c r="A2988" s="727"/>
    </row>
    <row r="2989" ht="15.75">
      <c r="A2989" s="727"/>
    </row>
    <row r="2990" ht="15.75">
      <c r="A2990" s="727"/>
    </row>
    <row r="2991" ht="15.75">
      <c r="A2991" s="727"/>
    </row>
    <row r="2992" ht="15.75">
      <c r="A2992" s="727"/>
    </row>
    <row r="2993" ht="15.75">
      <c r="A2993" s="727"/>
    </row>
    <row r="2994" ht="15.75">
      <c r="A2994" s="727"/>
    </row>
    <row r="2995" ht="15.75">
      <c r="A2995" s="727"/>
    </row>
    <row r="2996" ht="15.75">
      <c r="A2996" s="727"/>
    </row>
    <row r="2997" ht="15.75">
      <c r="A2997" s="727"/>
    </row>
    <row r="2998" ht="15.75">
      <c r="A2998" s="727"/>
    </row>
    <row r="2999" ht="15.75">
      <c r="A2999" s="727"/>
    </row>
    <row r="3000" ht="15.75">
      <c r="A3000" s="727"/>
    </row>
    <row r="3001" ht="15.75">
      <c r="A3001" s="727"/>
    </row>
    <row r="3002" ht="15.75">
      <c r="A3002" s="727"/>
    </row>
    <row r="3003" ht="15.75">
      <c r="A3003" s="727"/>
    </row>
    <row r="3004" ht="15.75">
      <c r="A3004" s="727"/>
    </row>
    <row r="3005" ht="15.75">
      <c r="A3005" s="727"/>
    </row>
    <row r="3006" ht="15.75">
      <c r="A3006" s="727"/>
    </row>
    <row r="3007" ht="15.75">
      <c r="A3007" s="727"/>
    </row>
    <row r="3008" ht="15.75">
      <c r="A3008" s="727"/>
    </row>
    <row r="3009" ht="15.75">
      <c r="A3009" s="727"/>
    </row>
    <row r="3010" ht="15.75">
      <c r="A3010" s="727"/>
    </row>
    <row r="3011" ht="15.75">
      <c r="A3011" s="727"/>
    </row>
    <row r="3012" ht="15.75">
      <c r="A3012" s="727"/>
    </row>
    <row r="3013" ht="15.75">
      <c r="A3013" s="727"/>
    </row>
    <row r="3014" ht="15.75">
      <c r="A3014" s="727"/>
    </row>
    <row r="3015" ht="15.75">
      <c r="A3015" s="727"/>
    </row>
    <row r="3016" ht="15.75">
      <c r="A3016" s="727"/>
    </row>
    <row r="3017" ht="15.75">
      <c r="A3017" s="727"/>
    </row>
    <row r="3018" ht="15.75">
      <c r="A3018" s="727"/>
    </row>
    <row r="3019" ht="15.75">
      <c r="A3019" s="727"/>
    </row>
    <row r="3020" ht="15.75">
      <c r="A3020" s="727"/>
    </row>
    <row r="3021" ht="15.75">
      <c r="A3021" s="727"/>
    </row>
    <row r="3022" ht="15.75">
      <c r="A3022" s="727"/>
    </row>
    <row r="3023" ht="15.75">
      <c r="A3023" s="727"/>
    </row>
    <row r="3024" ht="15.75">
      <c r="A3024" s="727"/>
    </row>
    <row r="3025" ht="15.75">
      <c r="A3025" s="727"/>
    </row>
    <row r="3026" ht="15.75">
      <c r="A3026" s="727"/>
    </row>
    <row r="3027" ht="15.75">
      <c r="A3027" s="727"/>
    </row>
    <row r="3028" ht="15.75">
      <c r="A3028" s="727"/>
    </row>
    <row r="3029" ht="15.75">
      <c r="A3029" s="727"/>
    </row>
    <row r="3030" ht="15.75">
      <c r="A3030" s="727"/>
    </row>
    <row r="3031" ht="15.75">
      <c r="A3031" s="727"/>
    </row>
    <row r="3032" ht="15.75">
      <c r="A3032" s="727"/>
    </row>
    <row r="3033" ht="15.75">
      <c r="A3033" s="727"/>
    </row>
    <row r="3034" ht="15.75">
      <c r="A3034" s="727"/>
    </row>
    <row r="3035" ht="15.75">
      <c r="A3035" s="727"/>
    </row>
    <row r="3036" ht="15.75">
      <c r="A3036" s="727"/>
    </row>
    <row r="3037" ht="15.75">
      <c r="A3037" s="727"/>
    </row>
    <row r="3038" ht="15.75">
      <c r="A3038" s="727"/>
    </row>
    <row r="3039" ht="15.75">
      <c r="A3039" s="727"/>
    </row>
    <row r="3040" ht="15.75">
      <c r="A3040" s="727"/>
    </row>
    <row r="3041" ht="15.75">
      <c r="A3041" s="727"/>
    </row>
    <row r="3042" ht="15.75">
      <c r="A3042" s="727"/>
    </row>
    <row r="3043" ht="15.75">
      <c r="A3043" s="727"/>
    </row>
    <row r="3044" ht="15.75">
      <c r="A3044" s="727"/>
    </row>
    <row r="3045" ht="15.75">
      <c r="A3045" s="727"/>
    </row>
    <row r="3046" ht="15.75">
      <c r="A3046" s="727"/>
    </row>
    <row r="3047" ht="15.75">
      <c r="A3047" s="727"/>
    </row>
    <row r="3048" ht="15.75">
      <c r="A3048" s="727"/>
    </row>
    <row r="3049" ht="15.75">
      <c r="A3049" s="727"/>
    </row>
    <row r="3050" ht="15.75">
      <c r="A3050" s="727"/>
    </row>
    <row r="3051" ht="15.75">
      <c r="A3051" s="727"/>
    </row>
    <row r="3052" ht="15.75">
      <c r="A3052" s="727"/>
    </row>
    <row r="3053" ht="15.75">
      <c r="A3053" s="727"/>
    </row>
    <row r="3054" ht="15.75">
      <c r="A3054" s="727"/>
    </row>
    <row r="3055" ht="15.75">
      <c r="A3055" s="727"/>
    </row>
    <row r="3056" ht="15.75">
      <c r="A3056" s="727"/>
    </row>
    <row r="3057" ht="15.75">
      <c r="A3057" s="727"/>
    </row>
    <row r="3058" ht="15.75">
      <c r="A3058" s="727"/>
    </row>
    <row r="3059" ht="15.75">
      <c r="A3059" s="727"/>
    </row>
    <row r="3060" ht="15.75">
      <c r="A3060" s="727"/>
    </row>
    <row r="3061" ht="15.75">
      <c r="A3061" s="727"/>
    </row>
    <row r="3062" ht="15.75">
      <c r="A3062" s="727"/>
    </row>
    <row r="3063" ht="15.75">
      <c r="A3063" s="727"/>
    </row>
    <row r="3064" ht="15.75">
      <c r="A3064" s="727"/>
    </row>
    <row r="3065" ht="15.75">
      <c r="A3065" s="727"/>
    </row>
    <row r="3066" ht="15.75">
      <c r="A3066" s="727"/>
    </row>
    <row r="3067" ht="15.75">
      <c r="A3067" s="727"/>
    </row>
    <row r="3068" ht="15.75">
      <c r="A3068" s="727"/>
    </row>
    <row r="3069" ht="15.75">
      <c r="A3069" s="727"/>
    </row>
    <row r="3070" ht="15.75">
      <c r="A3070" s="727"/>
    </row>
    <row r="3071" ht="15.75">
      <c r="A3071" s="727"/>
    </row>
    <row r="3072" ht="15.75">
      <c r="A3072" s="727"/>
    </row>
    <row r="3073" ht="15.75">
      <c r="A3073" s="727"/>
    </row>
    <row r="3074" ht="15.75">
      <c r="A3074" s="727"/>
    </row>
    <row r="3075" ht="15.75">
      <c r="A3075" s="727"/>
    </row>
    <row r="3076" ht="15.75">
      <c r="A3076" s="727"/>
    </row>
    <row r="3077" ht="15.75">
      <c r="A3077" s="727"/>
    </row>
    <row r="3078" ht="15.75">
      <c r="A3078" s="727"/>
    </row>
    <row r="3079" ht="15.75">
      <c r="A3079" s="727"/>
    </row>
    <row r="3080" ht="15.75">
      <c r="A3080" s="727"/>
    </row>
    <row r="3081" ht="15.75">
      <c r="A3081" s="727"/>
    </row>
    <row r="3082" ht="15.75">
      <c r="A3082" s="727"/>
    </row>
    <row r="3083" ht="15.75">
      <c r="A3083" s="727"/>
    </row>
    <row r="3084" ht="15.75">
      <c r="A3084" s="727"/>
    </row>
    <row r="3085" ht="15.75">
      <c r="A3085" s="727"/>
    </row>
    <row r="3086" ht="15.75">
      <c r="A3086" s="727"/>
    </row>
    <row r="3087" ht="15.75">
      <c r="A3087" s="727"/>
    </row>
    <row r="3088" ht="15.75">
      <c r="A3088" s="727"/>
    </row>
    <row r="3089" ht="15.75">
      <c r="A3089" s="727"/>
    </row>
    <row r="3090" ht="15.75">
      <c r="A3090" s="727"/>
    </row>
    <row r="3091" ht="15.75">
      <c r="A3091" s="727"/>
    </row>
    <row r="3092" ht="15.75">
      <c r="A3092" s="727"/>
    </row>
    <row r="3093" ht="15.75">
      <c r="A3093" s="727"/>
    </row>
    <row r="3094" ht="15.75">
      <c r="A3094" s="727"/>
    </row>
    <row r="3095" ht="15.75">
      <c r="A3095" s="727"/>
    </row>
    <row r="3096" ht="15.75">
      <c r="A3096" s="727"/>
    </row>
    <row r="3097" ht="15.75">
      <c r="A3097" s="727"/>
    </row>
    <row r="3098" ht="15.75">
      <c r="A3098" s="727"/>
    </row>
    <row r="3099" ht="15.75">
      <c r="A3099" s="727"/>
    </row>
    <row r="3100" ht="15.75">
      <c r="A3100" s="727"/>
    </row>
    <row r="3101" ht="15.75">
      <c r="A3101" s="727"/>
    </row>
    <row r="3102" ht="15.75">
      <c r="A3102" s="727"/>
    </row>
    <row r="3103" ht="15.75">
      <c r="A3103" s="727"/>
    </row>
    <row r="3104" ht="15.75">
      <c r="A3104" s="727"/>
    </row>
    <row r="3105" ht="15.75">
      <c r="A3105" s="727"/>
    </row>
    <row r="3106" ht="15.75">
      <c r="A3106" s="727"/>
    </row>
    <row r="3107" ht="15.75">
      <c r="A3107" s="727"/>
    </row>
    <row r="3108" ht="15.75">
      <c r="A3108" s="727"/>
    </row>
    <row r="3109" ht="15.75">
      <c r="A3109" s="727"/>
    </row>
    <row r="3110" ht="15.75">
      <c r="A3110" s="727"/>
    </row>
    <row r="3111" ht="15.75">
      <c r="A3111" s="727"/>
    </row>
    <row r="3112" ht="15.75">
      <c r="A3112" s="727"/>
    </row>
    <row r="3113" ht="15.75">
      <c r="A3113" s="727"/>
    </row>
    <row r="3114" ht="15.75">
      <c r="A3114" s="727"/>
    </row>
    <row r="3115" ht="15.75">
      <c r="A3115" s="727"/>
    </row>
    <row r="3116" ht="15.75">
      <c r="A3116" s="727"/>
    </row>
    <row r="3117" ht="15.75">
      <c r="A3117" s="727"/>
    </row>
    <row r="3118" ht="15.75">
      <c r="A3118" s="727"/>
    </row>
    <row r="3119" ht="15.75">
      <c r="A3119" s="727"/>
    </row>
    <row r="3120" ht="15.75">
      <c r="A3120" s="727"/>
    </row>
    <row r="3121" ht="15.75">
      <c r="A3121" s="727"/>
    </row>
    <row r="3122" ht="15.75">
      <c r="A3122" s="727"/>
    </row>
    <row r="3123" ht="15.75">
      <c r="A3123" s="727"/>
    </row>
    <row r="3124" ht="15.75">
      <c r="A3124" s="727"/>
    </row>
    <row r="3125" ht="15.75">
      <c r="A3125" s="727"/>
    </row>
    <row r="3126" ht="15.75">
      <c r="A3126" s="727"/>
    </row>
    <row r="3127" ht="15.75">
      <c r="A3127" s="727"/>
    </row>
    <row r="3128" ht="15.75">
      <c r="A3128" s="727"/>
    </row>
    <row r="3129" ht="15.75">
      <c r="A3129" s="727"/>
    </row>
    <row r="3130" ht="15.75">
      <c r="A3130" s="727"/>
    </row>
    <row r="3131" ht="15.75">
      <c r="A3131" s="727"/>
    </row>
    <row r="3132" ht="15.75">
      <c r="A3132" s="727"/>
    </row>
    <row r="3133" ht="15.75">
      <c r="A3133" s="727"/>
    </row>
    <row r="3134" ht="15.75">
      <c r="A3134" s="727"/>
    </row>
    <row r="3135" ht="15.75">
      <c r="A3135" s="727"/>
    </row>
    <row r="3136" ht="15.75">
      <c r="A3136" s="727"/>
    </row>
    <row r="3137" ht="15.75">
      <c r="A3137" s="727"/>
    </row>
    <row r="3138" ht="15.75">
      <c r="A3138" s="727"/>
    </row>
    <row r="3139" ht="15.75">
      <c r="A3139" s="727"/>
    </row>
    <row r="3140" ht="15.75">
      <c r="A3140" s="727"/>
    </row>
    <row r="3141" ht="15.75">
      <c r="A3141" s="727"/>
    </row>
    <row r="3142" ht="15.75">
      <c r="A3142" s="727"/>
    </row>
    <row r="3143" ht="15.75">
      <c r="A3143" s="727"/>
    </row>
    <row r="3144" ht="15.75">
      <c r="A3144" s="727"/>
    </row>
    <row r="3145" ht="15.75">
      <c r="A3145" s="727"/>
    </row>
    <row r="3146" ht="15.75">
      <c r="A3146" s="727"/>
    </row>
    <row r="3147" ht="15.75">
      <c r="A3147" s="727"/>
    </row>
    <row r="3148" ht="15.75">
      <c r="A3148" s="727"/>
    </row>
    <row r="3149" ht="15.75">
      <c r="A3149" s="727"/>
    </row>
    <row r="3150" ht="15.75">
      <c r="A3150" s="727"/>
    </row>
    <row r="3151" ht="15.75">
      <c r="A3151" s="727"/>
    </row>
    <row r="3152" ht="15.75">
      <c r="A3152" s="727"/>
    </row>
    <row r="3153" ht="15.75">
      <c r="A3153" s="727"/>
    </row>
    <row r="3154" ht="15.75">
      <c r="A3154" s="727"/>
    </row>
    <row r="3155" ht="15.75">
      <c r="A3155" s="727"/>
    </row>
    <row r="3156" ht="15.75">
      <c r="A3156" s="727"/>
    </row>
    <row r="3157" ht="15.75">
      <c r="A3157" s="727"/>
    </row>
    <row r="3158" ht="15.75">
      <c r="A3158" s="727"/>
    </row>
    <row r="3159" ht="15.75">
      <c r="A3159" s="727"/>
    </row>
    <row r="3160" ht="15.75">
      <c r="A3160" s="727"/>
    </row>
    <row r="3161" ht="15.75">
      <c r="A3161" s="727"/>
    </row>
    <row r="3162" ht="15.75">
      <c r="A3162" s="727"/>
    </row>
    <row r="3163" ht="15.75">
      <c r="A3163" s="727"/>
    </row>
    <row r="3164" ht="15.75">
      <c r="A3164" s="727"/>
    </row>
    <row r="3165" ht="15.75">
      <c r="A3165" s="727"/>
    </row>
    <row r="3166" ht="15.75">
      <c r="A3166" s="727"/>
    </row>
    <row r="3167" ht="15.75">
      <c r="A3167" s="727"/>
    </row>
    <row r="3168" ht="15.75">
      <c r="A3168" s="727"/>
    </row>
    <row r="3169" ht="15.75">
      <c r="A3169" s="727"/>
    </row>
    <row r="3170" ht="15.75">
      <c r="A3170" s="727"/>
    </row>
    <row r="3171" ht="15.75">
      <c r="A3171" s="727"/>
    </row>
    <row r="3172" ht="15.75">
      <c r="A3172" s="727"/>
    </row>
    <row r="3173" ht="15.75">
      <c r="A3173" s="727"/>
    </row>
    <row r="3174" ht="15.75">
      <c r="A3174" s="727"/>
    </row>
    <row r="3175" ht="15.75">
      <c r="A3175" s="727"/>
    </row>
    <row r="3176" ht="15.75">
      <c r="A3176" s="727"/>
    </row>
    <row r="3177" ht="15.75">
      <c r="A3177" s="727"/>
    </row>
    <row r="3178" ht="15.75">
      <c r="A3178" s="727"/>
    </row>
    <row r="3179" ht="15.75">
      <c r="A3179" s="727"/>
    </row>
    <row r="3180" ht="15.75">
      <c r="A3180" s="727"/>
    </row>
    <row r="3181" ht="15.75">
      <c r="A3181" s="727"/>
    </row>
    <row r="3182" ht="15.75">
      <c r="A3182" s="727"/>
    </row>
    <row r="3183" ht="15.75">
      <c r="A3183" s="727"/>
    </row>
    <row r="3184" ht="15.75">
      <c r="A3184" s="727"/>
    </row>
    <row r="3185" ht="15.75">
      <c r="A3185" s="727"/>
    </row>
    <row r="3186" ht="15.75">
      <c r="A3186" s="727"/>
    </row>
    <row r="3187" ht="15.75">
      <c r="A3187" s="727"/>
    </row>
    <row r="3188" ht="15.75">
      <c r="A3188" s="727"/>
    </row>
    <row r="3189" ht="15.75">
      <c r="A3189" s="727"/>
    </row>
    <row r="3190" ht="15.75">
      <c r="A3190" s="727"/>
    </row>
    <row r="3191" ht="15.75">
      <c r="A3191" s="727"/>
    </row>
    <row r="3192" ht="15.75">
      <c r="A3192" s="727"/>
    </row>
    <row r="3193" ht="15.75">
      <c r="A3193" s="727"/>
    </row>
    <row r="3194" ht="15.75">
      <c r="A3194" s="727"/>
    </row>
    <row r="3195" ht="15.75">
      <c r="A3195" s="727"/>
    </row>
    <row r="3196" ht="15.75">
      <c r="A3196" s="727"/>
    </row>
    <row r="3197" ht="15.75">
      <c r="A3197" s="727"/>
    </row>
    <row r="3198" ht="15.75">
      <c r="A3198" s="727"/>
    </row>
    <row r="3199" ht="15.75">
      <c r="A3199" s="727"/>
    </row>
    <row r="3200" ht="15.75">
      <c r="A3200" s="727"/>
    </row>
    <row r="3201" ht="15.75">
      <c r="A3201" s="727"/>
    </row>
    <row r="3202" ht="15.75">
      <c r="A3202" s="727"/>
    </row>
    <row r="3203" ht="15.75">
      <c r="A3203" s="727"/>
    </row>
    <row r="3204" ht="15.75">
      <c r="A3204" s="727"/>
    </row>
    <row r="3205" ht="15.75">
      <c r="A3205" s="727"/>
    </row>
    <row r="3206" ht="15.75">
      <c r="A3206" s="727"/>
    </row>
    <row r="3207" ht="15.75">
      <c r="A3207" s="727"/>
    </row>
    <row r="3208" ht="15.75">
      <c r="A3208" s="727"/>
    </row>
    <row r="3209" ht="15.75">
      <c r="A3209" s="727"/>
    </row>
    <row r="3210" ht="15.75">
      <c r="A3210" s="727"/>
    </row>
    <row r="3211" ht="15.75">
      <c r="A3211" s="727"/>
    </row>
    <row r="3212" ht="15.75">
      <c r="A3212" s="727"/>
    </row>
    <row r="3213" ht="15.75">
      <c r="A3213" s="727"/>
    </row>
    <row r="3214" ht="15.75">
      <c r="A3214" s="727"/>
    </row>
    <row r="3215" ht="15.75">
      <c r="A3215" s="727"/>
    </row>
    <row r="3216" ht="15.75">
      <c r="A3216" s="727"/>
    </row>
    <row r="3217" ht="15.75">
      <c r="A3217" s="727"/>
    </row>
    <row r="3218" ht="15.75">
      <c r="A3218" s="727"/>
    </row>
    <row r="3219" ht="15.75">
      <c r="A3219" s="727"/>
    </row>
    <row r="3220" ht="15.75">
      <c r="A3220" s="727"/>
    </row>
    <row r="3221" ht="15.75">
      <c r="A3221" s="727"/>
    </row>
    <row r="3222" ht="15.75">
      <c r="A3222" s="727"/>
    </row>
    <row r="3223" ht="15.75">
      <c r="A3223" s="727"/>
    </row>
    <row r="3224" ht="15.75">
      <c r="A3224" s="727"/>
    </row>
    <row r="3225" ht="15.75">
      <c r="A3225" s="727"/>
    </row>
    <row r="3226" ht="15.75">
      <c r="A3226" s="727"/>
    </row>
    <row r="3227" ht="15.75">
      <c r="A3227" s="727"/>
    </row>
    <row r="3228" ht="15.75">
      <c r="A3228" s="727"/>
    </row>
    <row r="3229" ht="15.75">
      <c r="A3229" s="727"/>
    </row>
    <row r="3230" ht="15.75">
      <c r="A3230" s="727"/>
    </row>
    <row r="3231" ht="15.75">
      <c r="A3231" s="727"/>
    </row>
    <row r="3232" ht="15.75">
      <c r="A3232" s="727"/>
    </row>
    <row r="3233" ht="15.75">
      <c r="A3233" s="727"/>
    </row>
    <row r="3234" ht="15.75">
      <c r="A3234" s="727"/>
    </row>
    <row r="3235" ht="15.75">
      <c r="A3235" s="727"/>
    </row>
    <row r="3236" ht="15.75">
      <c r="A3236" s="727"/>
    </row>
    <row r="3237" ht="15.75">
      <c r="A3237" s="727"/>
    </row>
    <row r="3238" ht="15.75">
      <c r="A3238" s="727"/>
    </row>
    <row r="3239" ht="15.75">
      <c r="A3239" s="727"/>
    </row>
    <row r="3240" ht="15.75">
      <c r="A3240" s="727"/>
    </row>
    <row r="3241" ht="15.75">
      <c r="A3241" s="727"/>
    </row>
    <row r="3242" ht="15.75">
      <c r="A3242" s="727"/>
    </row>
    <row r="3243" ht="15.75">
      <c r="A3243" s="727"/>
    </row>
    <row r="3244" ht="15.75">
      <c r="A3244" s="727"/>
    </row>
    <row r="3245" ht="15.75">
      <c r="A3245" s="727"/>
    </row>
    <row r="3246" ht="15.75">
      <c r="A3246" s="727"/>
    </row>
    <row r="3247" ht="15.75">
      <c r="A3247" s="727"/>
    </row>
    <row r="3248" ht="15.75">
      <c r="A3248" s="727"/>
    </row>
    <row r="3249" ht="15.75">
      <c r="A3249" s="727"/>
    </row>
    <row r="3250" ht="15.75">
      <c r="A3250" s="727"/>
    </row>
    <row r="3251" ht="15.75">
      <c r="A3251" s="727"/>
    </row>
    <row r="3252" ht="15.75">
      <c r="A3252" s="727"/>
    </row>
    <row r="3253" ht="15.75">
      <c r="A3253" s="727"/>
    </row>
    <row r="3254" ht="15.75">
      <c r="A3254" s="727"/>
    </row>
    <row r="3255" ht="15.75">
      <c r="A3255" s="727"/>
    </row>
    <row r="3256" ht="15.75">
      <c r="A3256" s="727"/>
    </row>
    <row r="3257" ht="15.75">
      <c r="A3257" s="727"/>
    </row>
    <row r="3258" ht="15.75">
      <c r="A3258" s="727"/>
    </row>
    <row r="3259" ht="15.75">
      <c r="A3259" s="727"/>
    </row>
    <row r="3260" ht="15.75">
      <c r="A3260" s="727"/>
    </row>
    <row r="3261" ht="15.75">
      <c r="A3261" s="727"/>
    </row>
    <row r="3262" ht="15.75">
      <c r="A3262" s="727"/>
    </row>
    <row r="3263" ht="15.75">
      <c r="A3263" s="727"/>
    </row>
    <row r="3264" ht="15.75">
      <c r="A3264" s="727"/>
    </row>
    <row r="3265" ht="15.75">
      <c r="A3265" s="727"/>
    </row>
    <row r="3266" ht="15.75">
      <c r="A3266" s="727"/>
    </row>
    <row r="3267" ht="15.75">
      <c r="A3267" s="727"/>
    </row>
    <row r="3268" ht="15.75">
      <c r="A3268" s="727"/>
    </row>
    <row r="3269" ht="15.75">
      <c r="A3269" s="727"/>
    </row>
    <row r="3270" ht="15.75">
      <c r="A3270" s="727"/>
    </row>
    <row r="3271" ht="15.75">
      <c r="A3271" s="727"/>
    </row>
    <row r="3272" ht="15.75">
      <c r="A3272" s="727"/>
    </row>
    <row r="3273" ht="15.75">
      <c r="A3273" s="727"/>
    </row>
    <row r="3274" ht="15.75">
      <c r="A3274" s="727"/>
    </row>
    <row r="3275" ht="15.75">
      <c r="A3275" s="727"/>
    </row>
    <row r="3276" ht="15.75">
      <c r="A3276" s="727"/>
    </row>
    <row r="3277" ht="15.75">
      <c r="A3277" s="727"/>
    </row>
    <row r="3278" ht="15.75">
      <c r="A3278" s="727"/>
    </row>
    <row r="3279" ht="15.75">
      <c r="A3279" s="727"/>
    </row>
    <row r="3280" ht="15.75">
      <c r="A3280" s="727"/>
    </row>
    <row r="3281" ht="15.75">
      <c r="A3281" s="727"/>
    </row>
    <row r="3282" ht="15.75">
      <c r="A3282" s="727"/>
    </row>
    <row r="3283" ht="15.75">
      <c r="A3283" s="727"/>
    </row>
    <row r="3284" ht="15.75">
      <c r="A3284" s="727"/>
    </row>
    <row r="3285" ht="15.75">
      <c r="A3285" s="727"/>
    </row>
    <row r="3286" ht="15.75">
      <c r="A3286" s="727"/>
    </row>
    <row r="3287" ht="15.75">
      <c r="A3287" s="727"/>
    </row>
    <row r="3288" ht="15.75">
      <c r="A3288" s="727"/>
    </row>
    <row r="3289" ht="15.75">
      <c r="A3289" s="727"/>
    </row>
    <row r="3290" ht="15.75">
      <c r="A3290" s="727"/>
    </row>
    <row r="3291" ht="15.75">
      <c r="A3291" s="727"/>
    </row>
    <row r="3292" ht="15.75">
      <c r="A3292" s="727"/>
    </row>
    <row r="3293" ht="15.75">
      <c r="A3293" s="727"/>
    </row>
    <row r="3294" ht="15.75">
      <c r="A3294" s="727"/>
    </row>
    <row r="3295" ht="15.75">
      <c r="A3295" s="727"/>
    </row>
    <row r="3296" ht="15.75">
      <c r="A3296" s="727"/>
    </row>
    <row r="3297" ht="15.75">
      <c r="A3297" s="727"/>
    </row>
    <row r="3298" ht="15.75">
      <c r="A3298" s="727"/>
    </row>
    <row r="3299" ht="15.75">
      <c r="A3299" s="727"/>
    </row>
    <row r="3300" ht="15.75">
      <c r="A3300" s="727"/>
    </row>
    <row r="3301" ht="15.75">
      <c r="A3301" s="727"/>
    </row>
    <row r="3302" ht="15.75">
      <c r="A3302" s="727"/>
    </row>
    <row r="3303" ht="15.75">
      <c r="A3303" s="727"/>
    </row>
    <row r="3304" ht="15.75">
      <c r="A3304" s="727"/>
    </row>
    <row r="3305" ht="15.75">
      <c r="A3305" s="727"/>
    </row>
    <row r="3306" ht="15.75">
      <c r="A3306" s="727"/>
    </row>
    <row r="3307" ht="15.75">
      <c r="A3307" s="727"/>
    </row>
    <row r="3308" ht="15.75">
      <c r="A3308" s="727"/>
    </row>
    <row r="3309" ht="15.75">
      <c r="A3309" s="727"/>
    </row>
    <row r="3310" ht="15.75">
      <c r="A3310" s="727"/>
    </row>
    <row r="3311" ht="15.75">
      <c r="A3311" s="727"/>
    </row>
    <row r="3312" ht="15.75">
      <c r="A3312" s="727"/>
    </row>
    <row r="3313" ht="15.75">
      <c r="A3313" s="727"/>
    </row>
    <row r="3314" ht="15.75">
      <c r="A3314" s="727"/>
    </row>
    <row r="3315" ht="15.75">
      <c r="A3315" s="727"/>
    </row>
    <row r="3316" ht="15.75">
      <c r="A3316" s="727"/>
    </row>
    <row r="3317" ht="15.75">
      <c r="A3317" s="727"/>
    </row>
    <row r="3318" ht="15.75">
      <c r="A3318" s="727"/>
    </row>
    <row r="3319" ht="15.75">
      <c r="A3319" s="727"/>
    </row>
    <row r="3320" ht="15.75">
      <c r="A3320" s="727"/>
    </row>
    <row r="3321" ht="15.75">
      <c r="A3321" s="727"/>
    </row>
    <row r="3322" ht="15.75">
      <c r="A3322" s="727"/>
    </row>
    <row r="3323" ht="15.75">
      <c r="A3323" s="727"/>
    </row>
    <row r="3324" ht="15.75">
      <c r="A3324" s="727"/>
    </row>
    <row r="3325" ht="15.75">
      <c r="A3325" s="727"/>
    </row>
    <row r="3326" ht="15.75">
      <c r="A3326" s="727"/>
    </row>
    <row r="3327" ht="15.75">
      <c r="A3327" s="727"/>
    </row>
    <row r="3328" ht="15.75">
      <c r="A3328" s="727"/>
    </row>
    <row r="3329" ht="15.75">
      <c r="A3329" s="727"/>
    </row>
    <row r="3330" ht="15.75">
      <c r="A3330" s="727"/>
    </row>
    <row r="3331" ht="15.75">
      <c r="A3331" s="727"/>
    </row>
    <row r="3332" ht="15.75">
      <c r="A3332" s="727"/>
    </row>
    <row r="3333" ht="15.75">
      <c r="A3333" s="727"/>
    </row>
    <row r="3334" ht="15.75">
      <c r="A3334" s="727"/>
    </row>
    <row r="3335" ht="15.75">
      <c r="A3335" s="727"/>
    </row>
    <row r="3336" ht="15.75">
      <c r="A3336" s="727"/>
    </row>
    <row r="3337" ht="15.75">
      <c r="A3337" s="727"/>
    </row>
    <row r="3338" ht="15.75">
      <c r="A3338" s="727"/>
    </row>
    <row r="3339" ht="15.75">
      <c r="A3339" s="727"/>
    </row>
    <row r="3340" ht="15.75">
      <c r="A3340" s="727"/>
    </row>
    <row r="3341" ht="15.75">
      <c r="A3341" s="727"/>
    </row>
    <row r="3342" ht="15.75">
      <c r="A3342" s="727"/>
    </row>
    <row r="3343" ht="15.75">
      <c r="A3343" s="727"/>
    </row>
    <row r="3344" ht="15.75">
      <c r="A3344" s="727"/>
    </row>
    <row r="3345" ht="15.75">
      <c r="A3345" s="727"/>
    </row>
    <row r="3346" ht="15.75">
      <c r="A3346" s="727"/>
    </row>
    <row r="3347" ht="15.75">
      <c r="A3347" s="727"/>
    </row>
    <row r="3348" ht="15.75">
      <c r="A3348" s="727"/>
    </row>
    <row r="3349" ht="15.75">
      <c r="A3349" s="727"/>
    </row>
    <row r="3350" ht="15.75">
      <c r="A3350" s="727"/>
    </row>
    <row r="3351" ht="15.75">
      <c r="A3351" s="727"/>
    </row>
    <row r="3352" ht="15.75">
      <c r="A3352" s="727"/>
    </row>
    <row r="3353" ht="15.75">
      <c r="A3353" s="727"/>
    </row>
    <row r="3354" ht="15.75">
      <c r="A3354" s="727"/>
    </row>
    <row r="3355" ht="15.75">
      <c r="A3355" s="727"/>
    </row>
    <row r="3356" ht="15.75">
      <c r="A3356" s="727"/>
    </row>
    <row r="3357" ht="15.75">
      <c r="A3357" s="727"/>
    </row>
    <row r="3358" ht="15.75">
      <c r="A3358" s="727"/>
    </row>
    <row r="3359" ht="15.75">
      <c r="A3359" s="727"/>
    </row>
    <row r="3360" ht="15.75">
      <c r="A3360" s="727"/>
    </row>
    <row r="3361" ht="15.75">
      <c r="A3361" s="727"/>
    </row>
    <row r="3362" ht="15.75">
      <c r="A3362" s="727"/>
    </row>
    <row r="3363" ht="15.75">
      <c r="A3363" s="727"/>
    </row>
    <row r="3364" ht="15.75">
      <c r="A3364" s="727"/>
    </row>
    <row r="3365" ht="15.75">
      <c r="A3365" s="727"/>
    </row>
    <row r="3366" ht="15.75">
      <c r="A3366" s="727"/>
    </row>
    <row r="3367" ht="15.75">
      <c r="A3367" s="727"/>
    </row>
    <row r="3368" ht="15.75">
      <c r="A3368" s="727"/>
    </row>
    <row r="3369" ht="15.75">
      <c r="A3369" s="727"/>
    </row>
    <row r="3370" ht="15.75">
      <c r="A3370" s="727"/>
    </row>
    <row r="3371" ht="15.75">
      <c r="A3371" s="727"/>
    </row>
    <row r="3372" ht="15.75">
      <c r="A3372" s="727"/>
    </row>
    <row r="3373" ht="15.75">
      <c r="A3373" s="727"/>
    </row>
    <row r="3374" ht="15.75">
      <c r="A3374" s="727"/>
    </row>
    <row r="3375" ht="15.75">
      <c r="A3375" s="727"/>
    </row>
    <row r="3376" ht="15.75">
      <c r="A3376" s="727"/>
    </row>
    <row r="3377" ht="15.75">
      <c r="A3377" s="727"/>
    </row>
    <row r="3378" ht="15.75">
      <c r="A3378" s="727"/>
    </row>
    <row r="3379" ht="15.75">
      <c r="A3379" s="727"/>
    </row>
    <row r="3380" ht="15.75">
      <c r="A3380" s="727"/>
    </row>
    <row r="3381" ht="15.75">
      <c r="A3381" s="727"/>
    </row>
    <row r="3382" ht="15.75">
      <c r="A3382" s="727"/>
    </row>
    <row r="3383" ht="15.75">
      <c r="A3383" s="727"/>
    </row>
    <row r="3384" ht="15.75">
      <c r="A3384" s="727"/>
    </row>
    <row r="3385" ht="15.75">
      <c r="A3385" s="727"/>
    </row>
    <row r="3386" ht="15.75">
      <c r="A3386" s="727"/>
    </row>
    <row r="3387" ht="15.75">
      <c r="A3387" s="727"/>
    </row>
    <row r="3388" ht="15.75">
      <c r="A3388" s="727"/>
    </row>
    <row r="3389" ht="15.75">
      <c r="A3389" s="727"/>
    </row>
    <row r="3390" ht="15.75">
      <c r="A3390" s="727"/>
    </row>
    <row r="3391" ht="15.75">
      <c r="A3391" s="727"/>
    </row>
    <row r="3392" ht="15.75">
      <c r="A3392" s="727"/>
    </row>
    <row r="3393" ht="15.75">
      <c r="A3393" s="727"/>
    </row>
    <row r="3394" ht="15.75">
      <c r="A3394" s="727"/>
    </row>
    <row r="3395" ht="15.75">
      <c r="A3395" s="727"/>
    </row>
    <row r="3396" ht="15.75">
      <c r="A3396" s="727"/>
    </row>
    <row r="3397" ht="15.75">
      <c r="A3397" s="727"/>
    </row>
    <row r="3398" ht="15.75">
      <c r="A3398" s="727"/>
    </row>
    <row r="3399" ht="15.75">
      <c r="A3399" s="727"/>
    </row>
    <row r="3400" ht="15.75">
      <c r="A3400" s="727"/>
    </row>
    <row r="3401" ht="15.75">
      <c r="A3401" s="727"/>
    </row>
    <row r="3402" ht="15.75">
      <c r="A3402" s="727"/>
    </row>
    <row r="3403" ht="15.75">
      <c r="A3403" s="727"/>
    </row>
    <row r="3404" ht="15.75">
      <c r="A3404" s="727"/>
    </row>
    <row r="3405" ht="15.75">
      <c r="A3405" s="727"/>
    </row>
    <row r="3406" ht="15.75">
      <c r="A3406" s="727"/>
    </row>
    <row r="3407" ht="15.75">
      <c r="A3407" s="727"/>
    </row>
    <row r="3408" ht="15.75">
      <c r="A3408" s="727"/>
    </row>
    <row r="3409" ht="15.75">
      <c r="A3409" s="727"/>
    </row>
    <row r="3410" ht="15.75">
      <c r="A3410" s="727"/>
    </row>
    <row r="3411" ht="15.75">
      <c r="A3411" s="727"/>
    </row>
    <row r="3412" ht="15.75">
      <c r="A3412" s="727"/>
    </row>
    <row r="3413" ht="15.75">
      <c r="A3413" s="727"/>
    </row>
    <row r="3414" ht="15.75">
      <c r="A3414" s="727"/>
    </row>
    <row r="3415" ht="15.75">
      <c r="A3415" s="727"/>
    </row>
    <row r="3416" ht="15.75">
      <c r="A3416" s="727"/>
    </row>
    <row r="3417" ht="15.75">
      <c r="A3417" s="727"/>
    </row>
    <row r="3418" ht="15.75">
      <c r="A3418" s="727"/>
    </row>
    <row r="3419" ht="15.75">
      <c r="A3419" s="727"/>
    </row>
    <row r="3420" ht="15.75">
      <c r="A3420" s="727"/>
    </row>
    <row r="3421" ht="15.75">
      <c r="A3421" s="727"/>
    </row>
    <row r="3422" ht="15.75">
      <c r="A3422" s="727"/>
    </row>
    <row r="3423" ht="15.75">
      <c r="A3423" s="727"/>
    </row>
    <row r="3424" ht="15.75">
      <c r="A3424" s="727"/>
    </row>
    <row r="3425" ht="15.75">
      <c r="A3425" s="727"/>
    </row>
    <row r="3426" ht="15.75">
      <c r="A3426" s="727"/>
    </row>
    <row r="3427" ht="15.75">
      <c r="A3427" s="727"/>
    </row>
    <row r="3428" ht="15.75">
      <c r="A3428" s="727"/>
    </row>
    <row r="3429" ht="15.75">
      <c r="A3429" s="727"/>
    </row>
    <row r="3430" ht="15.75">
      <c r="A3430" s="727"/>
    </row>
    <row r="3431" ht="15.75">
      <c r="A3431" s="727"/>
    </row>
    <row r="3432" ht="15.75">
      <c r="A3432" s="727"/>
    </row>
    <row r="3433" ht="15.75">
      <c r="A3433" s="727"/>
    </row>
    <row r="3434" ht="15.75">
      <c r="A3434" s="727"/>
    </row>
    <row r="3435" ht="15.75">
      <c r="A3435" s="727"/>
    </row>
    <row r="3436" ht="15.75">
      <c r="A3436" s="727"/>
    </row>
    <row r="3437" ht="15.75">
      <c r="A3437" s="727"/>
    </row>
    <row r="3438" ht="15.75">
      <c r="A3438" s="727"/>
    </row>
    <row r="3439" ht="15.75">
      <c r="A3439" s="727"/>
    </row>
    <row r="3440" ht="15.75">
      <c r="A3440" s="727"/>
    </row>
    <row r="3441" ht="15.75">
      <c r="A3441" s="727"/>
    </row>
    <row r="3442" ht="15.75">
      <c r="A3442" s="727"/>
    </row>
    <row r="3443" ht="15.75">
      <c r="A3443" s="727"/>
    </row>
    <row r="3444" ht="15.75">
      <c r="A3444" s="727"/>
    </row>
    <row r="3445" ht="15.75">
      <c r="A3445" s="727"/>
    </row>
    <row r="3446" ht="15.75">
      <c r="A3446" s="727"/>
    </row>
    <row r="3447" ht="15.75">
      <c r="A3447" s="727"/>
    </row>
    <row r="3448" ht="15.75">
      <c r="A3448" s="727"/>
    </row>
    <row r="3449" ht="15.75">
      <c r="A3449" s="727"/>
    </row>
    <row r="3450" ht="15.75">
      <c r="A3450" s="727"/>
    </row>
    <row r="3451" ht="15.75">
      <c r="A3451" s="727"/>
    </row>
    <row r="3452" ht="15.75">
      <c r="A3452" s="727"/>
    </row>
    <row r="3453" ht="15.75">
      <c r="A3453" s="727"/>
    </row>
    <row r="3454" ht="15.75">
      <c r="A3454" s="727"/>
    </row>
    <row r="3455" ht="15.75">
      <c r="A3455" s="727"/>
    </row>
    <row r="3456" ht="15.75">
      <c r="A3456" s="727"/>
    </row>
    <row r="3457" ht="15.75">
      <c r="A3457" s="727"/>
    </row>
    <row r="3458" ht="15.75">
      <c r="A3458" s="727"/>
    </row>
    <row r="3459" ht="15.75">
      <c r="A3459" s="727"/>
    </row>
    <row r="3460" ht="15.75">
      <c r="A3460" s="727"/>
    </row>
    <row r="3461" ht="15.75">
      <c r="A3461" s="727"/>
    </row>
    <row r="3462" ht="15.75">
      <c r="A3462" s="727"/>
    </row>
    <row r="3463" ht="15.75">
      <c r="A3463" s="727"/>
    </row>
    <row r="3464" ht="15.75">
      <c r="A3464" s="727"/>
    </row>
    <row r="3465" ht="15.75">
      <c r="A3465" s="727"/>
    </row>
    <row r="3466" ht="15.75">
      <c r="A3466" s="727"/>
    </row>
    <row r="3467" ht="15.75">
      <c r="A3467" s="727"/>
    </row>
    <row r="3468" ht="15.75">
      <c r="A3468" s="727"/>
    </row>
    <row r="3469" ht="15.75">
      <c r="A3469" s="727"/>
    </row>
    <row r="3470" ht="15.75">
      <c r="A3470" s="727"/>
    </row>
    <row r="3471" ht="15.75">
      <c r="A3471" s="727"/>
    </row>
    <row r="3472" ht="15.75">
      <c r="A3472" s="727"/>
    </row>
    <row r="3473" ht="15.75">
      <c r="A3473" s="727"/>
    </row>
    <row r="3474" ht="15.75">
      <c r="A3474" s="727"/>
    </row>
    <row r="3475" ht="15.75">
      <c r="A3475" s="727"/>
    </row>
    <row r="3476" ht="15.75">
      <c r="A3476" s="727"/>
    </row>
    <row r="3477" ht="15.75">
      <c r="A3477" s="727"/>
    </row>
    <row r="3478" ht="15.75">
      <c r="A3478" s="727"/>
    </row>
    <row r="3479" ht="15.75">
      <c r="A3479" s="727"/>
    </row>
    <row r="3480" ht="15.75">
      <c r="A3480" s="727"/>
    </row>
    <row r="3481" ht="15.75">
      <c r="A3481" s="727"/>
    </row>
    <row r="3482" ht="15.75">
      <c r="A3482" s="727"/>
    </row>
    <row r="3483" ht="15.75">
      <c r="A3483" s="727"/>
    </row>
    <row r="3484" ht="15.75">
      <c r="A3484" s="727"/>
    </row>
    <row r="3485" ht="15.75">
      <c r="A3485" s="727"/>
    </row>
    <row r="3486" ht="15.75">
      <c r="A3486" s="727"/>
    </row>
    <row r="3487" ht="15.75">
      <c r="A3487" s="727"/>
    </row>
    <row r="3488" ht="15.75">
      <c r="A3488" s="727"/>
    </row>
    <row r="3489" ht="15.75">
      <c r="A3489" s="727"/>
    </row>
    <row r="3490" ht="15.75">
      <c r="A3490" s="727"/>
    </row>
    <row r="3491" ht="15.75">
      <c r="A3491" s="727"/>
    </row>
    <row r="3492" ht="15.75">
      <c r="A3492" s="727"/>
    </row>
    <row r="3493" ht="15.75">
      <c r="A3493" s="727"/>
    </row>
    <row r="3494" ht="15.75">
      <c r="A3494" s="727"/>
    </row>
    <row r="3495" ht="15.75">
      <c r="A3495" s="727"/>
    </row>
    <row r="3496" ht="15.75">
      <c r="A3496" s="727"/>
    </row>
    <row r="3497" ht="15.75">
      <c r="A3497" s="727"/>
    </row>
    <row r="3498" ht="15.75">
      <c r="A3498" s="727"/>
    </row>
    <row r="3499" ht="15.75">
      <c r="A3499" s="727"/>
    </row>
    <row r="3500" ht="15.75">
      <c r="A3500" s="727"/>
    </row>
    <row r="3501" ht="15.75">
      <c r="A3501" s="727"/>
    </row>
    <row r="3502" ht="15.75">
      <c r="A3502" s="727"/>
    </row>
    <row r="3503" ht="15.75">
      <c r="A3503" s="727"/>
    </row>
    <row r="3504" ht="15.75">
      <c r="A3504" s="727"/>
    </row>
    <row r="3505" ht="15.75">
      <c r="A3505" s="727"/>
    </row>
    <row r="3506" ht="15.75">
      <c r="A3506" s="727"/>
    </row>
    <row r="3507" ht="15.75">
      <c r="A3507" s="727"/>
    </row>
    <row r="3508" ht="15.75">
      <c r="A3508" s="727"/>
    </row>
    <row r="3509" ht="15.75">
      <c r="A3509" s="727"/>
    </row>
    <row r="3510" ht="15.75">
      <c r="A3510" s="727"/>
    </row>
    <row r="3511" ht="15.75">
      <c r="A3511" s="727"/>
    </row>
    <row r="3512" ht="15.75">
      <c r="A3512" s="727"/>
    </row>
    <row r="3513" ht="15.75">
      <c r="A3513" s="727"/>
    </row>
    <row r="3514" ht="15.75">
      <c r="A3514" s="727"/>
    </row>
    <row r="3515" ht="15.75">
      <c r="A3515" s="727"/>
    </row>
    <row r="3516" ht="15.75">
      <c r="A3516" s="727"/>
    </row>
    <row r="3517" ht="15.75">
      <c r="A3517" s="727"/>
    </row>
    <row r="3518" ht="15.75">
      <c r="A3518" s="727"/>
    </row>
    <row r="3519" ht="15.75">
      <c r="A3519" s="727"/>
    </row>
    <row r="3520" ht="15.75">
      <c r="A3520" s="727"/>
    </row>
    <row r="3521" ht="15.75">
      <c r="A3521" s="727"/>
    </row>
    <row r="3522" ht="15.75">
      <c r="A3522" s="727"/>
    </row>
    <row r="3523" ht="15.75">
      <c r="A3523" s="727"/>
    </row>
    <row r="3524" ht="15.75">
      <c r="A3524" s="727"/>
    </row>
    <row r="3525" ht="15.75">
      <c r="A3525" s="727"/>
    </row>
    <row r="3526" ht="15.75">
      <c r="A3526" s="727"/>
    </row>
    <row r="3527" ht="15.75">
      <c r="A3527" s="727"/>
    </row>
    <row r="3528" ht="15.75">
      <c r="A3528" s="727"/>
    </row>
    <row r="3529" ht="15.75">
      <c r="A3529" s="727"/>
    </row>
    <row r="3530" ht="15.75">
      <c r="A3530" s="727"/>
    </row>
    <row r="3531" ht="15.75">
      <c r="A3531" s="727"/>
    </row>
    <row r="3532" ht="15.75">
      <c r="A3532" s="727"/>
    </row>
    <row r="3533" ht="15.75">
      <c r="A3533" s="727"/>
    </row>
    <row r="3534" ht="15.75">
      <c r="A3534" s="727"/>
    </row>
    <row r="3535" ht="15.75">
      <c r="A3535" s="727"/>
    </row>
    <row r="3536" ht="15.75">
      <c r="A3536" s="727"/>
    </row>
    <row r="3537" ht="15.75">
      <c r="A3537" s="727"/>
    </row>
    <row r="3538" ht="15.75">
      <c r="A3538" s="727"/>
    </row>
    <row r="3539" ht="15.75">
      <c r="A3539" s="727"/>
    </row>
    <row r="3540" ht="15.75">
      <c r="A3540" s="727"/>
    </row>
    <row r="3541" ht="15.75">
      <c r="A3541" s="727"/>
    </row>
    <row r="3542" ht="15.75">
      <c r="A3542" s="727"/>
    </row>
    <row r="3543" ht="15.75">
      <c r="A3543" s="727"/>
    </row>
    <row r="3544" ht="15.75">
      <c r="A3544" s="727"/>
    </row>
    <row r="3545" ht="15.75">
      <c r="A3545" s="727"/>
    </row>
    <row r="3546" ht="15.75">
      <c r="A3546" s="727"/>
    </row>
    <row r="3547" ht="15.75">
      <c r="A3547" s="727"/>
    </row>
    <row r="3548" ht="15.75">
      <c r="A3548" s="727"/>
    </row>
    <row r="3549" ht="15.75">
      <c r="A3549" s="727"/>
    </row>
    <row r="3550" ht="15.75">
      <c r="A3550" s="727"/>
    </row>
    <row r="3551" ht="15.75">
      <c r="A3551" s="727"/>
    </row>
    <row r="3552" ht="15.75">
      <c r="A3552" s="727"/>
    </row>
    <row r="3553" ht="15.75">
      <c r="A3553" s="727"/>
    </row>
    <row r="3554" ht="15.75">
      <c r="A3554" s="727"/>
    </row>
    <row r="3555" ht="15.75">
      <c r="A3555" s="727"/>
    </row>
    <row r="3556" ht="15.75">
      <c r="A3556" s="727"/>
    </row>
    <row r="3557" ht="15.75">
      <c r="A3557" s="727"/>
    </row>
    <row r="3558" ht="15.75">
      <c r="A3558" s="727"/>
    </row>
    <row r="3559" ht="15.75">
      <c r="A3559" s="727"/>
    </row>
    <row r="3560" ht="15.75">
      <c r="A3560" s="727"/>
    </row>
    <row r="3561" ht="15.75">
      <c r="A3561" s="727"/>
    </row>
    <row r="3562" ht="15.75">
      <c r="A3562" s="727"/>
    </row>
    <row r="3563" ht="15.75">
      <c r="A3563" s="727"/>
    </row>
    <row r="3564" ht="15.75">
      <c r="A3564" s="727"/>
    </row>
    <row r="3565" ht="15.75">
      <c r="A3565" s="727"/>
    </row>
    <row r="3566" ht="15.75">
      <c r="A3566" s="727"/>
    </row>
    <row r="3567" ht="15.75">
      <c r="A3567" s="727"/>
    </row>
    <row r="3568" ht="15.75">
      <c r="A3568" s="727"/>
    </row>
    <row r="3569" ht="15.75">
      <c r="A3569" s="727"/>
    </row>
    <row r="3570" ht="15.75">
      <c r="A3570" s="727"/>
    </row>
    <row r="3571" ht="15.75">
      <c r="A3571" s="727"/>
    </row>
    <row r="3572" ht="15.75">
      <c r="A3572" s="727"/>
    </row>
    <row r="3573" ht="15.75">
      <c r="A3573" s="727"/>
    </row>
    <row r="3574" ht="15.75">
      <c r="A3574" s="727"/>
    </row>
    <row r="3575" ht="15.75">
      <c r="A3575" s="727"/>
    </row>
    <row r="3576" ht="15.75">
      <c r="A3576" s="727"/>
    </row>
    <row r="3577" ht="15.75">
      <c r="A3577" s="727"/>
    </row>
    <row r="3578" ht="15.75">
      <c r="A3578" s="727"/>
    </row>
    <row r="3579" ht="15.75">
      <c r="A3579" s="727"/>
    </row>
    <row r="3580" ht="15.75">
      <c r="A3580" s="727"/>
    </row>
    <row r="3581" ht="15.75">
      <c r="A3581" s="727"/>
    </row>
    <row r="3582" ht="15.75">
      <c r="A3582" s="727"/>
    </row>
    <row r="3583" ht="15.75">
      <c r="A3583" s="727"/>
    </row>
    <row r="3584" ht="15.75">
      <c r="A3584" s="727"/>
    </row>
    <row r="3585" ht="15.75">
      <c r="A3585" s="727"/>
    </row>
    <row r="3586" ht="15.75">
      <c r="A3586" s="727"/>
    </row>
    <row r="3587" ht="15.75">
      <c r="A3587" s="727"/>
    </row>
    <row r="3588" ht="15.75">
      <c r="A3588" s="727"/>
    </row>
    <row r="3589" ht="15.75">
      <c r="A3589" s="727"/>
    </row>
    <row r="3590" ht="15.75">
      <c r="A3590" s="727"/>
    </row>
    <row r="3591" ht="15.75">
      <c r="A3591" s="727"/>
    </row>
    <row r="3592" ht="15.75">
      <c r="A3592" s="727"/>
    </row>
    <row r="3593" ht="15.75">
      <c r="A3593" s="727"/>
    </row>
    <row r="3594" ht="15.75">
      <c r="A3594" s="727"/>
    </row>
    <row r="3595" ht="15.75">
      <c r="A3595" s="727"/>
    </row>
    <row r="3596" ht="15.75">
      <c r="A3596" s="727"/>
    </row>
    <row r="3597" ht="15.75">
      <c r="A3597" s="727"/>
    </row>
    <row r="3598" ht="15.75">
      <c r="A3598" s="727"/>
    </row>
    <row r="3599" ht="15.75">
      <c r="A3599" s="727"/>
    </row>
    <row r="3600" ht="15.75">
      <c r="A3600" s="727"/>
    </row>
    <row r="3601" ht="15.75">
      <c r="A3601" s="727"/>
    </row>
    <row r="3602" ht="15.75">
      <c r="A3602" s="727"/>
    </row>
    <row r="3603" ht="15.75">
      <c r="A3603" s="727"/>
    </row>
    <row r="3604" ht="15.75">
      <c r="A3604" s="727"/>
    </row>
    <row r="3605" ht="15.75">
      <c r="A3605" s="727"/>
    </row>
    <row r="3606" ht="15.75">
      <c r="A3606" s="727"/>
    </row>
    <row r="3607" ht="15.75">
      <c r="A3607" s="727"/>
    </row>
    <row r="3608" ht="15.75">
      <c r="A3608" s="727"/>
    </row>
    <row r="3609" ht="15.75">
      <c r="A3609" s="727"/>
    </row>
    <row r="3610" ht="15.75">
      <c r="A3610" s="727"/>
    </row>
    <row r="3611" ht="15.75">
      <c r="A3611" s="727"/>
    </row>
    <row r="3612" ht="15.75">
      <c r="A3612" s="727"/>
    </row>
    <row r="3613" ht="15.75">
      <c r="A3613" s="727"/>
    </row>
    <row r="3614" ht="15.75">
      <c r="A3614" s="727"/>
    </row>
    <row r="3615" ht="15.75">
      <c r="A3615" s="727"/>
    </row>
    <row r="3616" ht="15.75">
      <c r="A3616" s="727"/>
    </row>
    <row r="3617" ht="15.75">
      <c r="A3617" s="727"/>
    </row>
    <row r="3618" ht="15.75">
      <c r="A3618" s="727"/>
    </row>
    <row r="3619" ht="15.75">
      <c r="A3619" s="727"/>
    </row>
    <row r="3620" ht="15.75">
      <c r="A3620" s="727"/>
    </row>
    <row r="3621" ht="15.75">
      <c r="A3621" s="727"/>
    </row>
    <row r="3622" ht="15.75">
      <c r="A3622" s="727"/>
    </row>
    <row r="3623" ht="15.75">
      <c r="A3623" s="727"/>
    </row>
    <row r="3624" ht="15.75">
      <c r="A3624" s="727"/>
    </row>
    <row r="3625" ht="15.75">
      <c r="A3625" s="727"/>
    </row>
    <row r="3626" ht="15.75">
      <c r="A3626" s="727"/>
    </row>
    <row r="3627" ht="15.75">
      <c r="A3627" s="727"/>
    </row>
    <row r="3628" ht="15.75">
      <c r="A3628" s="727"/>
    </row>
    <row r="3629" ht="15.75">
      <c r="A3629" s="727"/>
    </row>
    <row r="3630" ht="15.75">
      <c r="A3630" s="727"/>
    </row>
    <row r="3631" ht="15.75">
      <c r="A3631" s="727"/>
    </row>
    <row r="3632" ht="15.75">
      <c r="A3632" s="727"/>
    </row>
    <row r="3633" ht="15.75">
      <c r="A3633" s="727"/>
    </row>
    <row r="3634" ht="15.75">
      <c r="A3634" s="727"/>
    </row>
    <row r="3635" ht="15.75">
      <c r="A3635" s="727"/>
    </row>
    <row r="3636" ht="15.75">
      <c r="A3636" s="727"/>
    </row>
    <row r="3637" ht="15.75">
      <c r="A3637" s="727"/>
    </row>
    <row r="3638" ht="15.75">
      <c r="A3638" s="727"/>
    </row>
    <row r="3639" ht="15.75">
      <c r="A3639" s="727"/>
    </row>
    <row r="3640" ht="15.75">
      <c r="A3640" s="727"/>
    </row>
    <row r="3641" ht="15.75">
      <c r="A3641" s="727"/>
    </row>
    <row r="3642" ht="15.75">
      <c r="A3642" s="727"/>
    </row>
    <row r="3643" ht="15.75">
      <c r="A3643" s="727"/>
    </row>
    <row r="3644" ht="15.75">
      <c r="A3644" s="727"/>
    </row>
    <row r="3645" ht="15.75">
      <c r="A3645" s="727"/>
    </row>
    <row r="3646" ht="15.75">
      <c r="A3646" s="727"/>
    </row>
    <row r="3647" ht="15.75">
      <c r="A3647" s="727"/>
    </row>
    <row r="3648" ht="15.75">
      <c r="A3648" s="727"/>
    </row>
    <row r="3649" ht="15.75">
      <c r="A3649" s="727"/>
    </row>
    <row r="3650" ht="15.75">
      <c r="A3650" s="727"/>
    </row>
    <row r="3651" ht="15.75">
      <c r="A3651" s="727"/>
    </row>
    <row r="3652" ht="15.75">
      <c r="A3652" s="727"/>
    </row>
    <row r="3653" ht="15.75">
      <c r="A3653" s="727"/>
    </row>
    <row r="3654" ht="15.75">
      <c r="A3654" s="727"/>
    </row>
    <row r="3655" ht="15.75">
      <c r="A3655" s="727"/>
    </row>
    <row r="3656" ht="15.75">
      <c r="A3656" s="727"/>
    </row>
    <row r="3657" ht="15.75">
      <c r="A3657" s="727"/>
    </row>
    <row r="3658" ht="15.75">
      <c r="A3658" s="727"/>
    </row>
    <row r="3659" ht="15.75">
      <c r="A3659" s="727"/>
    </row>
    <row r="3660" ht="15.75">
      <c r="A3660" s="727"/>
    </row>
    <row r="3661" ht="15.75">
      <c r="A3661" s="727"/>
    </row>
    <row r="3662" ht="15.75">
      <c r="A3662" s="727"/>
    </row>
    <row r="3663" ht="15.75">
      <c r="A3663" s="727"/>
    </row>
    <row r="3664" ht="15.75">
      <c r="A3664" s="727"/>
    </row>
    <row r="3665" ht="15.75">
      <c r="A3665" s="727"/>
    </row>
    <row r="3666" ht="15.75">
      <c r="A3666" s="727"/>
    </row>
    <row r="3667" ht="15.75">
      <c r="A3667" s="727"/>
    </row>
    <row r="3668" ht="15.75">
      <c r="A3668" s="727"/>
    </row>
    <row r="3669" ht="15.75">
      <c r="A3669" s="727"/>
    </row>
    <row r="3670" ht="15.75">
      <c r="A3670" s="727"/>
    </row>
    <row r="3671" ht="15.75">
      <c r="A3671" s="727"/>
    </row>
    <row r="3672" ht="15.75">
      <c r="A3672" s="727"/>
    </row>
    <row r="3673" ht="15.75">
      <c r="A3673" s="727"/>
    </row>
    <row r="3674" ht="15.75">
      <c r="A3674" s="727"/>
    </row>
    <row r="3675" ht="15.75">
      <c r="A3675" s="727"/>
    </row>
    <row r="3676" ht="15.75">
      <c r="A3676" s="727"/>
    </row>
    <row r="3677" ht="15.75">
      <c r="A3677" s="727"/>
    </row>
    <row r="3678" ht="15.75">
      <c r="A3678" s="727"/>
    </row>
    <row r="3679" ht="15.75">
      <c r="A3679" s="727"/>
    </row>
    <row r="3680" ht="15.75">
      <c r="A3680" s="727"/>
    </row>
    <row r="3681" ht="15.75">
      <c r="A3681" s="727"/>
    </row>
    <row r="3682" ht="15.75">
      <c r="A3682" s="727"/>
    </row>
    <row r="3683" ht="15.75">
      <c r="A3683" s="727"/>
    </row>
    <row r="3684" ht="15.75">
      <c r="A3684" s="727"/>
    </row>
    <row r="3685" ht="15.75">
      <c r="A3685" s="727"/>
    </row>
    <row r="3686" ht="15.75">
      <c r="A3686" s="727"/>
    </row>
    <row r="3687" ht="15.75">
      <c r="A3687" s="727"/>
    </row>
    <row r="3688" ht="15.75">
      <c r="A3688" s="727"/>
    </row>
    <row r="3689" ht="15.75">
      <c r="A3689" s="727"/>
    </row>
    <row r="3690" ht="15.75">
      <c r="A3690" s="727"/>
    </row>
    <row r="3691" ht="15.75">
      <c r="A3691" s="727"/>
    </row>
    <row r="3692" ht="15.75">
      <c r="A3692" s="727"/>
    </row>
    <row r="3693" ht="15.75">
      <c r="A3693" s="727"/>
    </row>
    <row r="3694" ht="15.75">
      <c r="A3694" s="727"/>
    </row>
    <row r="3695" ht="15.75">
      <c r="A3695" s="727"/>
    </row>
    <row r="3696" ht="15.75">
      <c r="A3696" s="727"/>
    </row>
    <row r="3697" ht="15.75">
      <c r="A3697" s="727"/>
    </row>
    <row r="3698" ht="15.75">
      <c r="A3698" s="727"/>
    </row>
    <row r="3699" ht="15.75">
      <c r="A3699" s="727"/>
    </row>
    <row r="3700" ht="15.75">
      <c r="A3700" s="727"/>
    </row>
    <row r="3701" ht="15.75">
      <c r="A3701" s="727"/>
    </row>
    <row r="3702" ht="15.75">
      <c r="A3702" s="727"/>
    </row>
    <row r="3703" ht="15.75">
      <c r="A3703" s="727"/>
    </row>
    <row r="3704" ht="15.75">
      <c r="A3704" s="727"/>
    </row>
    <row r="3705" ht="15.75">
      <c r="A3705" s="727"/>
    </row>
    <row r="3706" ht="15.75">
      <c r="A3706" s="727"/>
    </row>
    <row r="3707" ht="15.75">
      <c r="A3707" s="727"/>
    </row>
    <row r="3708" ht="15.75">
      <c r="A3708" s="727"/>
    </row>
    <row r="3709" ht="15.75">
      <c r="A3709" s="727"/>
    </row>
    <row r="3710" ht="15.75">
      <c r="A3710" s="727"/>
    </row>
    <row r="3711" ht="15.75">
      <c r="A3711" s="727"/>
    </row>
    <row r="3712" ht="15.75">
      <c r="A3712" s="727"/>
    </row>
    <row r="3713" ht="15.75">
      <c r="A3713" s="727"/>
    </row>
    <row r="3714" ht="15.75">
      <c r="A3714" s="727"/>
    </row>
    <row r="3715" ht="15.75">
      <c r="A3715" s="727"/>
    </row>
    <row r="3716" ht="15.75">
      <c r="A3716" s="727"/>
    </row>
    <row r="3717" ht="15.75">
      <c r="A3717" s="727"/>
    </row>
    <row r="3718" ht="15.75">
      <c r="A3718" s="727"/>
    </row>
    <row r="3719" ht="15.75">
      <c r="A3719" s="727"/>
    </row>
    <row r="3720" ht="15.75">
      <c r="A3720" s="727"/>
    </row>
    <row r="3721" ht="15.75">
      <c r="A3721" s="727"/>
    </row>
    <row r="3722" ht="15.75">
      <c r="A3722" s="727"/>
    </row>
    <row r="3723" ht="15.75">
      <c r="A3723" s="727"/>
    </row>
    <row r="3724" ht="15.75">
      <c r="A3724" s="727"/>
    </row>
    <row r="3725" ht="15.75">
      <c r="A3725" s="727"/>
    </row>
    <row r="3726" ht="15.75">
      <c r="A3726" s="727"/>
    </row>
    <row r="3727" ht="15.75">
      <c r="A3727" s="727"/>
    </row>
    <row r="3728" ht="15.75">
      <c r="A3728" s="727"/>
    </row>
    <row r="3729" ht="15.75">
      <c r="A3729" s="727"/>
    </row>
    <row r="3730" ht="15.75">
      <c r="A3730" s="727"/>
    </row>
    <row r="3731" ht="15.75">
      <c r="A3731" s="727"/>
    </row>
    <row r="3732" ht="15.75">
      <c r="A3732" s="727"/>
    </row>
    <row r="3733" ht="15.75">
      <c r="A3733" s="727"/>
    </row>
    <row r="3734" ht="15.75">
      <c r="A3734" s="727"/>
    </row>
    <row r="3735" ht="15.75">
      <c r="A3735" s="727"/>
    </row>
    <row r="3736" ht="15.75">
      <c r="A3736" s="727"/>
    </row>
    <row r="3737" ht="15.75">
      <c r="A3737" s="727"/>
    </row>
    <row r="3738" ht="15.75">
      <c r="A3738" s="727"/>
    </row>
    <row r="3739" ht="15.75">
      <c r="A3739" s="727"/>
    </row>
    <row r="3740" ht="15.75">
      <c r="A3740" s="727"/>
    </row>
    <row r="3741" ht="15.75">
      <c r="A3741" s="727"/>
    </row>
    <row r="3742" ht="15.75">
      <c r="A3742" s="727"/>
    </row>
    <row r="3743" ht="15.75">
      <c r="A3743" s="727"/>
    </row>
    <row r="3744" ht="15.75">
      <c r="A3744" s="727"/>
    </row>
    <row r="3745" ht="15.75">
      <c r="A3745" s="727"/>
    </row>
    <row r="3746" ht="15.75">
      <c r="A3746" s="727"/>
    </row>
    <row r="3747" ht="15.75">
      <c r="A3747" s="727"/>
    </row>
    <row r="3748" ht="15.75">
      <c r="A3748" s="727"/>
    </row>
    <row r="3749" ht="15.75">
      <c r="A3749" s="727"/>
    </row>
    <row r="3750" ht="15.75">
      <c r="A3750" s="727"/>
    </row>
    <row r="3751" ht="15.75">
      <c r="A3751" s="727"/>
    </row>
    <row r="3752" ht="15.75">
      <c r="A3752" s="727"/>
    </row>
    <row r="3753" ht="15.75">
      <c r="A3753" s="727"/>
    </row>
    <row r="3754" ht="15.75">
      <c r="A3754" s="727"/>
    </row>
    <row r="3755" ht="15.75">
      <c r="A3755" s="727"/>
    </row>
    <row r="3756" ht="15.75">
      <c r="A3756" s="727"/>
    </row>
    <row r="3757" ht="15.75">
      <c r="A3757" s="727"/>
    </row>
    <row r="3758" ht="15.75">
      <c r="A3758" s="727"/>
    </row>
    <row r="3759" ht="15.75">
      <c r="A3759" s="727"/>
    </row>
    <row r="3760" ht="15.75">
      <c r="A3760" s="727"/>
    </row>
    <row r="3761" ht="15.75">
      <c r="A3761" s="727"/>
    </row>
    <row r="3762" ht="15.75">
      <c r="A3762" s="727"/>
    </row>
    <row r="3763" ht="15.75">
      <c r="A3763" s="727"/>
    </row>
    <row r="3764" ht="15.75">
      <c r="A3764" s="727"/>
    </row>
    <row r="3765" ht="15.75">
      <c r="A3765" s="727"/>
    </row>
    <row r="3766" ht="15.75">
      <c r="A3766" s="727"/>
    </row>
    <row r="3767" ht="15.75">
      <c r="A3767" s="727"/>
    </row>
    <row r="3768" ht="15.75">
      <c r="A3768" s="727"/>
    </row>
    <row r="3769" ht="15.75">
      <c r="A3769" s="727"/>
    </row>
    <row r="3770" ht="15.75">
      <c r="A3770" s="727"/>
    </row>
    <row r="3771" ht="15.75">
      <c r="A3771" s="727"/>
    </row>
    <row r="3772" ht="15.75">
      <c r="A3772" s="727"/>
    </row>
    <row r="3773" ht="15.75">
      <c r="A3773" s="727"/>
    </row>
    <row r="3774" ht="15.75">
      <c r="A3774" s="727"/>
    </row>
    <row r="3775" ht="15.75">
      <c r="A3775" s="727"/>
    </row>
    <row r="3776" ht="15.75">
      <c r="A3776" s="727"/>
    </row>
    <row r="3777" ht="15.75">
      <c r="A3777" s="727"/>
    </row>
    <row r="3778" ht="15.75">
      <c r="A3778" s="727"/>
    </row>
    <row r="3779" ht="15.75">
      <c r="A3779" s="727"/>
    </row>
    <row r="3780" ht="15.75">
      <c r="A3780" s="727"/>
    </row>
    <row r="3781" ht="15.75">
      <c r="A3781" s="727"/>
    </row>
    <row r="3782" ht="15.75">
      <c r="A3782" s="727"/>
    </row>
    <row r="3783" ht="15.75">
      <c r="A3783" s="727"/>
    </row>
    <row r="3784" ht="15.75">
      <c r="A3784" s="727"/>
    </row>
    <row r="3785" ht="15.75">
      <c r="A3785" s="727"/>
    </row>
    <row r="3786" ht="15.75">
      <c r="A3786" s="727"/>
    </row>
    <row r="3787" ht="15.75">
      <c r="A3787" s="727"/>
    </row>
    <row r="3788" ht="15.75">
      <c r="A3788" s="727"/>
    </row>
    <row r="3789" ht="15.75">
      <c r="A3789" s="727"/>
    </row>
    <row r="3790" ht="15.75">
      <c r="A3790" s="727"/>
    </row>
    <row r="3791" ht="15.75">
      <c r="A3791" s="727"/>
    </row>
    <row r="3792" ht="15.75">
      <c r="A3792" s="727"/>
    </row>
    <row r="3793" ht="15.75">
      <c r="A3793" s="727"/>
    </row>
    <row r="3794" ht="15.75">
      <c r="A3794" s="727"/>
    </row>
    <row r="3795" ht="15.75">
      <c r="A3795" s="727"/>
    </row>
    <row r="3796" ht="15.75">
      <c r="A3796" s="727"/>
    </row>
    <row r="3797" ht="15.75">
      <c r="A3797" s="727"/>
    </row>
    <row r="3798" ht="15.75">
      <c r="A3798" s="727"/>
    </row>
    <row r="3799" ht="15.75">
      <c r="A3799" s="727"/>
    </row>
    <row r="3800" ht="15.75">
      <c r="A3800" s="727"/>
    </row>
    <row r="3801" ht="15.75">
      <c r="A3801" s="727"/>
    </row>
    <row r="3802" ht="15.75">
      <c r="A3802" s="727"/>
    </row>
    <row r="3803" ht="15.75">
      <c r="A3803" s="727"/>
    </row>
    <row r="3804" ht="15.75">
      <c r="A3804" s="727"/>
    </row>
    <row r="3805" ht="15.75">
      <c r="A3805" s="727"/>
    </row>
    <row r="3806" ht="15.75">
      <c r="A3806" s="727"/>
    </row>
    <row r="3807" ht="15.75">
      <c r="A3807" s="727"/>
    </row>
    <row r="3808" ht="15.75">
      <c r="A3808" s="727"/>
    </row>
    <row r="3809" ht="15.75">
      <c r="A3809" s="727"/>
    </row>
    <row r="3810" ht="15.75">
      <c r="A3810" s="727"/>
    </row>
    <row r="3811" ht="15.75">
      <c r="A3811" s="727"/>
    </row>
    <row r="3812" ht="15.75">
      <c r="A3812" s="727"/>
    </row>
    <row r="3813" ht="15.75">
      <c r="A3813" s="727"/>
    </row>
    <row r="3814" ht="15.75">
      <c r="A3814" s="727"/>
    </row>
    <row r="3815" ht="15.75">
      <c r="A3815" s="727"/>
    </row>
    <row r="3816" ht="15.75">
      <c r="A3816" s="727"/>
    </row>
    <row r="3817" ht="15.75">
      <c r="A3817" s="727"/>
    </row>
    <row r="3818" ht="15.75">
      <c r="A3818" s="727"/>
    </row>
    <row r="3819" ht="15.75">
      <c r="A3819" s="727"/>
    </row>
    <row r="3820" ht="15.75">
      <c r="A3820" s="727"/>
    </row>
    <row r="3821" ht="15.75">
      <c r="A3821" s="727"/>
    </row>
    <row r="3822" ht="15.75">
      <c r="A3822" s="727"/>
    </row>
    <row r="3823" ht="15.75">
      <c r="A3823" s="727"/>
    </row>
    <row r="3824" ht="15.75">
      <c r="A3824" s="727"/>
    </row>
    <row r="3825" ht="15.75">
      <c r="A3825" s="727"/>
    </row>
    <row r="3826" ht="15.75">
      <c r="A3826" s="727"/>
    </row>
    <row r="3827" ht="15.75">
      <c r="A3827" s="727"/>
    </row>
    <row r="3828" ht="15.75">
      <c r="A3828" s="727"/>
    </row>
    <row r="3829" ht="15.75">
      <c r="A3829" s="727"/>
    </row>
    <row r="3830" ht="15.75">
      <c r="A3830" s="727"/>
    </row>
    <row r="3831" ht="15.75">
      <c r="A3831" s="727"/>
    </row>
    <row r="3832" ht="15.75">
      <c r="A3832" s="727"/>
    </row>
    <row r="3833" ht="15.75">
      <c r="A3833" s="727"/>
    </row>
    <row r="3834" ht="15.75">
      <c r="A3834" s="727"/>
    </row>
    <row r="3835" ht="15.75">
      <c r="A3835" s="727"/>
    </row>
    <row r="3836" ht="15.75">
      <c r="A3836" s="727"/>
    </row>
    <row r="3837" ht="15.75">
      <c r="A3837" s="727"/>
    </row>
    <row r="3838" ht="15.75">
      <c r="A3838" s="727"/>
    </row>
    <row r="3839" ht="15.75">
      <c r="A3839" s="727"/>
    </row>
    <row r="3840" ht="15.75">
      <c r="A3840" s="727"/>
    </row>
    <row r="3841" ht="15.75">
      <c r="A3841" s="727"/>
    </row>
    <row r="3842" ht="15.75">
      <c r="A3842" s="727"/>
    </row>
    <row r="3843" ht="15.75">
      <c r="A3843" s="727"/>
    </row>
    <row r="3844" ht="15.75">
      <c r="A3844" s="727"/>
    </row>
    <row r="3845" ht="15.75">
      <c r="A3845" s="727"/>
    </row>
    <row r="3846" ht="15.75">
      <c r="A3846" s="727"/>
    </row>
    <row r="3847" ht="15.75">
      <c r="A3847" s="727"/>
    </row>
    <row r="3848" ht="15.75">
      <c r="A3848" s="727"/>
    </row>
    <row r="3849" ht="15.75">
      <c r="A3849" s="727"/>
    </row>
    <row r="3850" ht="15.75">
      <c r="A3850" s="727"/>
    </row>
    <row r="3851" ht="15.75">
      <c r="A3851" s="727"/>
    </row>
    <row r="3852" ht="15.75">
      <c r="A3852" s="727"/>
    </row>
    <row r="3853" ht="15.75">
      <c r="A3853" s="727"/>
    </row>
    <row r="3854" ht="15.75">
      <c r="A3854" s="727"/>
    </row>
    <row r="3855" ht="15.75">
      <c r="A3855" s="727"/>
    </row>
    <row r="3856" ht="15.75">
      <c r="A3856" s="727"/>
    </row>
    <row r="3857" ht="15.75">
      <c r="A3857" s="727"/>
    </row>
    <row r="3858" ht="15.75">
      <c r="A3858" s="727"/>
    </row>
    <row r="3859" ht="15.75">
      <c r="A3859" s="727"/>
    </row>
    <row r="3860" ht="15.75">
      <c r="A3860" s="727"/>
    </row>
    <row r="3861" ht="15.75">
      <c r="A3861" s="727"/>
    </row>
    <row r="3862" ht="15.75">
      <c r="A3862" s="727"/>
    </row>
    <row r="3863" ht="15.75">
      <c r="A3863" s="727"/>
    </row>
    <row r="3864" ht="15.75">
      <c r="A3864" s="727"/>
    </row>
    <row r="3865" ht="15.75">
      <c r="A3865" s="727"/>
    </row>
    <row r="3866" ht="15.75">
      <c r="A3866" s="727"/>
    </row>
    <row r="3867" ht="15.75">
      <c r="A3867" s="727"/>
    </row>
    <row r="3868" ht="15.75">
      <c r="A3868" s="727"/>
    </row>
    <row r="3869" ht="15.75">
      <c r="A3869" s="727"/>
    </row>
    <row r="3870" ht="15.75">
      <c r="A3870" s="727"/>
    </row>
    <row r="3871" ht="15.75">
      <c r="A3871" s="727"/>
    </row>
    <row r="3872" ht="15.75">
      <c r="A3872" s="727"/>
    </row>
    <row r="3873" ht="15.75">
      <c r="A3873" s="727"/>
    </row>
    <row r="3874" ht="15.75">
      <c r="A3874" s="727"/>
    </row>
    <row r="3875" ht="15.75">
      <c r="A3875" s="727"/>
    </row>
    <row r="3876" ht="15.75">
      <c r="A3876" s="727"/>
    </row>
    <row r="3877" ht="15.75">
      <c r="A3877" s="727"/>
    </row>
    <row r="3878" ht="15.75">
      <c r="A3878" s="727"/>
    </row>
    <row r="3879" ht="15.75">
      <c r="A3879" s="727"/>
    </row>
    <row r="3880" ht="15.75">
      <c r="A3880" s="727"/>
    </row>
    <row r="3881" ht="15.75">
      <c r="A3881" s="727"/>
    </row>
    <row r="3882" ht="15.75">
      <c r="A3882" s="727"/>
    </row>
    <row r="3883" ht="15.75">
      <c r="A3883" s="727"/>
    </row>
    <row r="3884" ht="15.75">
      <c r="A3884" s="727"/>
    </row>
    <row r="3885" ht="15.75">
      <c r="A3885" s="727"/>
    </row>
    <row r="3886" ht="15.75">
      <c r="A3886" s="727"/>
    </row>
    <row r="3887" ht="15.75">
      <c r="A3887" s="727"/>
    </row>
    <row r="3888" ht="15.75">
      <c r="A3888" s="727"/>
    </row>
    <row r="3889" ht="15.75">
      <c r="A3889" s="727"/>
    </row>
    <row r="3890" ht="15.75">
      <c r="A3890" s="727"/>
    </row>
    <row r="3891" ht="15.75">
      <c r="A3891" s="727"/>
    </row>
    <row r="3892" ht="15.75">
      <c r="A3892" s="727"/>
    </row>
    <row r="3893" ht="15.75">
      <c r="A3893" s="727"/>
    </row>
    <row r="3894" ht="15.75">
      <c r="A3894" s="727"/>
    </row>
    <row r="3895" ht="15.75">
      <c r="A3895" s="727"/>
    </row>
    <row r="3896" ht="15.75">
      <c r="A3896" s="727"/>
    </row>
    <row r="3897" ht="15.75">
      <c r="A3897" s="727"/>
    </row>
    <row r="3898" ht="15.75">
      <c r="A3898" s="727"/>
    </row>
    <row r="3899" ht="15.75">
      <c r="A3899" s="727"/>
    </row>
    <row r="3900" ht="15.75">
      <c r="A3900" s="727"/>
    </row>
    <row r="3901" ht="15.75">
      <c r="A3901" s="727"/>
    </row>
    <row r="3902" ht="15.75">
      <c r="A3902" s="727"/>
    </row>
    <row r="3903" ht="15.75">
      <c r="A3903" s="727"/>
    </row>
    <row r="3904" ht="15.75">
      <c r="A3904" s="727"/>
    </row>
    <row r="3905" ht="15.75">
      <c r="A3905" s="727"/>
    </row>
    <row r="3906" ht="15.75">
      <c r="A3906" s="727"/>
    </row>
    <row r="3907" ht="15.75">
      <c r="A3907" s="727"/>
    </row>
    <row r="3908" ht="15.75">
      <c r="A3908" s="727"/>
    </row>
    <row r="3909" ht="15.75">
      <c r="A3909" s="727"/>
    </row>
    <row r="3910" ht="15.75">
      <c r="A3910" s="727"/>
    </row>
    <row r="3911" ht="15.75">
      <c r="A3911" s="727"/>
    </row>
    <row r="3912" ht="15.75">
      <c r="A3912" s="727"/>
    </row>
    <row r="3913" ht="15.75">
      <c r="A3913" s="727"/>
    </row>
    <row r="3914" ht="15.75">
      <c r="A3914" s="727"/>
    </row>
    <row r="3915" ht="15.75">
      <c r="A3915" s="727"/>
    </row>
    <row r="3916" ht="15.75">
      <c r="A3916" s="727"/>
    </row>
    <row r="3917" ht="15.75">
      <c r="A3917" s="727"/>
    </row>
    <row r="3918" ht="15.75">
      <c r="A3918" s="727"/>
    </row>
    <row r="3919" ht="15.75">
      <c r="A3919" s="727"/>
    </row>
    <row r="3920" ht="15.75">
      <c r="A3920" s="727"/>
    </row>
    <row r="3921" ht="15.75">
      <c r="A3921" s="727"/>
    </row>
    <row r="3922" ht="15.75">
      <c r="A3922" s="727"/>
    </row>
    <row r="3923" ht="15.75">
      <c r="A3923" s="727"/>
    </row>
    <row r="3924" ht="15.75">
      <c r="A3924" s="727"/>
    </row>
    <row r="3925" ht="15.75">
      <c r="A3925" s="727"/>
    </row>
    <row r="3926" ht="15.75">
      <c r="A3926" s="727"/>
    </row>
    <row r="3927" ht="15.75">
      <c r="A3927" s="727"/>
    </row>
    <row r="3928" ht="15.75">
      <c r="A3928" s="727"/>
    </row>
    <row r="3929" ht="15.75">
      <c r="A3929" s="727"/>
    </row>
    <row r="3930" ht="15.75">
      <c r="A3930" s="727"/>
    </row>
    <row r="3931" ht="15.75">
      <c r="A3931" s="727"/>
    </row>
    <row r="3932" ht="15.75">
      <c r="A3932" s="727"/>
    </row>
    <row r="3933" ht="15.75">
      <c r="A3933" s="727"/>
    </row>
    <row r="3934" ht="15.75">
      <c r="A3934" s="727"/>
    </row>
    <row r="3935" ht="15.75">
      <c r="A3935" s="727"/>
    </row>
    <row r="3936" ht="15.75">
      <c r="A3936" s="727"/>
    </row>
    <row r="3937" ht="15.75">
      <c r="A3937" s="727"/>
    </row>
    <row r="3938" ht="15.75">
      <c r="A3938" s="727"/>
    </row>
    <row r="3939" ht="15.75">
      <c r="A3939" s="727"/>
    </row>
    <row r="3940" ht="15.75">
      <c r="A3940" s="727"/>
    </row>
    <row r="3941" ht="15.75">
      <c r="A3941" s="727"/>
    </row>
    <row r="3942" ht="15.75">
      <c r="A3942" s="727"/>
    </row>
    <row r="3943" ht="15.75">
      <c r="A3943" s="727"/>
    </row>
    <row r="3944" ht="15.75">
      <c r="A3944" s="727"/>
    </row>
    <row r="3945" ht="15.75">
      <c r="A3945" s="727"/>
    </row>
    <row r="3946" ht="15.75">
      <c r="A3946" s="727"/>
    </row>
    <row r="3947" ht="15.75">
      <c r="A3947" s="727"/>
    </row>
    <row r="3948" ht="15.75">
      <c r="A3948" s="727"/>
    </row>
    <row r="3949" ht="15.75">
      <c r="A3949" s="727"/>
    </row>
    <row r="3950" ht="15.75">
      <c r="A3950" s="727"/>
    </row>
    <row r="3951" ht="15.75">
      <c r="A3951" s="727"/>
    </row>
    <row r="3952" ht="15.75">
      <c r="A3952" s="727"/>
    </row>
    <row r="3953" ht="15.75">
      <c r="A3953" s="727"/>
    </row>
    <row r="3954" ht="15.75">
      <c r="A3954" s="727"/>
    </row>
    <row r="3955" ht="15.75">
      <c r="A3955" s="727"/>
    </row>
    <row r="3956" ht="15.75">
      <c r="A3956" s="727"/>
    </row>
    <row r="3957" ht="15.75">
      <c r="A3957" s="727"/>
    </row>
    <row r="3958" ht="15.75">
      <c r="A3958" s="727"/>
    </row>
    <row r="3959" ht="15.75">
      <c r="A3959" s="727"/>
    </row>
    <row r="3960" ht="15.75">
      <c r="A3960" s="727"/>
    </row>
    <row r="3961" ht="15.75">
      <c r="A3961" s="727"/>
    </row>
    <row r="3962" ht="15.75">
      <c r="A3962" s="727"/>
    </row>
    <row r="3963" ht="15.75">
      <c r="A3963" s="727"/>
    </row>
    <row r="3964" ht="15.75">
      <c r="A3964" s="727"/>
    </row>
    <row r="3965" ht="15.75">
      <c r="A3965" s="727"/>
    </row>
    <row r="3966" ht="15.75">
      <c r="A3966" s="727"/>
    </row>
    <row r="3967" ht="15.75">
      <c r="A3967" s="727"/>
    </row>
    <row r="3968" ht="15.75">
      <c r="A3968" s="727"/>
    </row>
    <row r="3969" ht="15.75">
      <c r="A3969" s="727"/>
    </row>
    <row r="3970" ht="15.75">
      <c r="A3970" s="727"/>
    </row>
    <row r="3971" ht="15.75">
      <c r="A3971" s="727"/>
    </row>
    <row r="3972" ht="15.75">
      <c r="A3972" s="727"/>
    </row>
    <row r="3973" ht="15.75">
      <c r="A3973" s="727"/>
    </row>
    <row r="3974" ht="15.75">
      <c r="A3974" s="727"/>
    </row>
    <row r="3975" ht="15.75">
      <c r="A3975" s="727"/>
    </row>
    <row r="3976" ht="15.75">
      <c r="A3976" s="727"/>
    </row>
    <row r="3977" ht="15.75">
      <c r="A3977" s="727"/>
    </row>
    <row r="3978" ht="15.75">
      <c r="A3978" s="727"/>
    </row>
    <row r="3979" ht="15.75">
      <c r="A3979" s="727"/>
    </row>
    <row r="3980" ht="15.75">
      <c r="A3980" s="727"/>
    </row>
    <row r="3981" ht="15.75">
      <c r="A3981" s="727"/>
    </row>
    <row r="3982" ht="15.75">
      <c r="A3982" s="727"/>
    </row>
    <row r="3983" ht="15.75">
      <c r="A3983" s="727"/>
    </row>
    <row r="3984" ht="15.75">
      <c r="A3984" s="727"/>
    </row>
    <row r="3985" ht="15.75">
      <c r="A3985" s="727"/>
    </row>
    <row r="3986" ht="15.75">
      <c r="A3986" s="727"/>
    </row>
    <row r="3987" ht="15.75">
      <c r="A3987" s="727"/>
    </row>
    <row r="3988" ht="15.75">
      <c r="A3988" s="727"/>
    </row>
    <row r="3989" ht="15.75">
      <c r="A3989" s="727"/>
    </row>
    <row r="3990" ht="15.75">
      <c r="A3990" s="727"/>
    </row>
    <row r="3991" ht="15.75">
      <c r="A3991" s="727"/>
    </row>
    <row r="3992" ht="15.75">
      <c r="A3992" s="727"/>
    </row>
    <row r="3993" ht="15.75">
      <c r="A3993" s="727"/>
    </row>
    <row r="3994" ht="15.75">
      <c r="A3994" s="727"/>
    </row>
    <row r="3995" ht="15.75">
      <c r="A3995" s="727"/>
    </row>
    <row r="3996" ht="15.75">
      <c r="A3996" s="727"/>
    </row>
    <row r="3997" ht="15.75">
      <c r="A3997" s="727"/>
    </row>
    <row r="3998" ht="15.75">
      <c r="A3998" s="727"/>
    </row>
    <row r="3999" ht="15.75">
      <c r="A3999" s="727"/>
    </row>
    <row r="4000" ht="15.75">
      <c r="A4000" s="727"/>
    </row>
    <row r="4001" ht="15.75">
      <c r="A4001" s="727"/>
    </row>
    <row r="4002" ht="15.75">
      <c r="A4002" s="727"/>
    </row>
    <row r="4003" ht="15.75">
      <c r="A4003" s="727"/>
    </row>
    <row r="4004" ht="15.75">
      <c r="A4004" s="727"/>
    </row>
    <row r="4005" ht="15.75">
      <c r="A4005" s="727"/>
    </row>
    <row r="4006" ht="15.75">
      <c r="A4006" s="727"/>
    </row>
    <row r="4007" ht="15.75">
      <c r="A4007" s="727"/>
    </row>
    <row r="4008" ht="15.75">
      <c r="A4008" s="727"/>
    </row>
    <row r="4009" ht="15.75">
      <c r="A4009" s="727"/>
    </row>
    <row r="4010" ht="15.75">
      <c r="A4010" s="727"/>
    </row>
    <row r="4011" ht="15.75">
      <c r="A4011" s="727"/>
    </row>
    <row r="4012" ht="15.75">
      <c r="A4012" s="727"/>
    </row>
    <row r="4013" ht="15.75">
      <c r="A4013" s="727"/>
    </row>
    <row r="4014" ht="15.75">
      <c r="A4014" s="727"/>
    </row>
    <row r="4015" ht="15.75">
      <c r="A4015" s="727"/>
    </row>
    <row r="4016" ht="15.75">
      <c r="A4016" s="727"/>
    </row>
    <row r="4017" ht="15.75">
      <c r="A4017" s="727"/>
    </row>
    <row r="4018" ht="15.75">
      <c r="A4018" s="727"/>
    </row>
    <row r="4019" ht="15.75">
      <c r="A4019" s="727"/>
    </row>
    <row r="4020" ht="15.75">
      <c r="A4020" s="727"/>
    </row>
    <row r="4021" ht="15.75">
      <c r="A4021" s="727"/>
    </row>
    <row r="4022" ht="15.75">
      <c r="A4022" s="727"/>
    </row>
    <row r="4023" ht="15.75">
      <c r="A4023" s="727"/>
    </row>
    <row r="4024" ht="15.75">
      <c r="A4024" s="727"/>
    </row>
    <row r="4025" ht="15.75">
      <c r="A4025" s="727"/>
    </row>
    <row r="4026" ht="15.75">
      <c r="A4026" s="727"/>
    </row>
    <row r="4027" ht="15.75">
      <c r="A4027" s="727"/>
    </row>
    <row r="4028" ht="15.75">
      <c r="A4028" s="727"/>
    </row>
    <row r="4029" ht="15.75">
      <c r="A4029" s="727"/>
    </row>
    <row r="4030" ht="15.75">
      <c r="A4030" s="727"/>
    </row>
    <row r="4031" ht="15.75">
      <c r="A4031" s="727"/>
    </row>
    <row r="4032" ht="15.75">
      <c r="A4032" s="727"/>
    </row>
    <row r="4033" ht="15.75">
      <c r="A4033" s="727"/>
    </row>
    <row r="4034" ht="15.75">
      <c r="A4034" s="727"/>
    </row>
    <row r="4035" ht="15.75">
      <c r="A4035" s="727"/>
    </row>
    <row r="4036" ht="15.75">
      <c r="A4036" s="727"/>
    </row>
    <row r="4037" ht="15.75">
      <c r="A4037" s="727"/>
    </row>
    <row r="4038" ht="15.75">
      <c r="A4038" s="727"/>
    </row>
    <row r="4039" ht="15.75">
      <c r="A4039" s="727"/>
    </row>
    <row r="4040" ht="15.75">
      <c r="A4040" s="727"/>
    </row>
    <row r="4041" ht="15.75">
      <c r="A4041" s="727"/>
    </row>
    <row r="4042" ht="15.75">
      <c r="A4042" s="727"/>
    </row>
    <row r="4043" ht="15.75">
      <c r="A4043" s="727"/>
    </row>
    <row r="4044" ht="15.75">
      <c r="A4044" s="727"/>
    </row>
    <row r="4045" ht="15.75">
      <c r="A4045" s="727"/>
    </row>
    <row r="4046" ht="15.75">
      <c r="A4046" s="727"/>
    </row>
    <row r="4047" ht="15.75">
      <c r="A4047" s="727"/>
    </row>
    <row r="4048" ht="15.75">
      <c r="A4048" s="727"/>
    </row>
    <row r="4049" ht="15.75">
      <c r="A4049" s="727"/>
    </row>
    <row r="4050" ht="15.75">
      <c r="A4050" s="727"/>
    </row>
    <row r="4051" ht="15.75">
      <c r="A4051" s="727"/>
    </row>
    <row r="4052" ht="15.75">
      <c r="A4052" s="727"/>
    </row>
    <row r="4053" ht="15.75">
      <c r="A4053" s="727"/>
    </row>
    <row r="4054" ht="15.75">
      <c r="A4054" s="727"/>
    </row>
    <row r="4055" ht="15.75">
      <c r="A4055" s="727"/>
    </row>
    <row r="4056" ht="15.75">
      <c r="A4056" s="727"/>
    </row>
    <row r="4057" ht="15.75">
      <c r="A4057" s="727"/>
    </row>
    <row r="4058" ht="15.75">
      <c r="A4058" s="727"/>
    </row>
    <row r="4059" ht="15.75">
      <c r="A4059" s="727"/>
    </row>
    <row r="4060" ht="15.75">
      <c r="A4060" s="727"/>
    </row>
    <row r="4061" ht="15.75">
      <c r="A4061" s="727"/>
    </row>
    <row r="4062" ht="15.75">
      <c r="A4062" s="727"/>
    </row>
    <row r="4063" ht="15.75">
      <c r="A4063" s="727"/>
    </row>
    <row r="4064" ht="15.75">
      <c r="A4064" s="727"/>
    </row>
    <row r="4065" ht="15.75">
      <c r="A4065" s="727"/>
    </row>
    <row r="4066" ht="15.75">
      <c r="A4066" s="727"/>
    </row>
    <row r="4067" ht="15.75">
      <c r="A4067" s="727"/>
    </row>
    <row r="4068" ht="15.75">
      <c r="A4068" s="727"/>
    </row>
    <row r="4069" ht="15.75">
      <c r="A4069" s="727"/>
    </row>
    <row r="4070" ht="15.75">
      <c r="A4070" s="727"/>
    </row>
    <row r="4071" ht="15.75">
      <c r="A4071" s="727"/>
    </row>
    <row r="4072" ht="15.75">
      <c r="A4072" s="727"/>
    </row>
    <row r="4073" ht="15.75">
      <c r="A4073" s="727"/>
    </row>
    <row r="4074" ht="15.75">
      <c r="A4074" s="727"/>
    </row>
    <row r="4075" ht="15.75">
      <c r="A4075" s="727"/>
    </row>
    <row r="4076" ht="15.75">
      <c r="A4076" s="727"/>
    </row>
    <row r="4077" ht="15.75">
      <c r="A4077" s="727"/>
    </row>
    <row r="4078" ht="15.75">
      <c r="A4078" s="727"/>
    </row>
    <row r="4079" ht="15.75">
      <c r="A4079" s="727"/>
    </row>
    <row r="4080" ht="15.75">
      <c r="A4080" s="727"/>
    </row>
    <row r="4081" ht="15.75">
      <c r="A4081" s="727"/>
    </row>
    <row r="4082" ht="15.75">
      <c r="A4082" s="727"/>
    </row>
    <row r="4083" ht="15.75">
      <c r="A4083" s="727"/>
    </row>
    <row r="4084" ht="15.75">
      <c r="A4084" s="727"/>
    </row>
    <row r="4085" ht="15.75">
      <c r="A4085" s="727"/>
    </row>
    <row r="4086" ht="15.75">
      <c r="A4086" s="727"/>
    </row>
    <row r="4087" ht="15.75">
      <c r="A4087" s="727"/>
    </row>
    <row r="4088" ht="15.75">
      <c r="A4088" s="727"/>
    </row>
    <row r="4089" ht="15.75">
      <c r="A4089" s="727"/>
    </row>
    <row r="4090" ht="15.75">
      <c r="A4090" s="727"/>
    </row>
    <row r="4091" ht="15.75">
      <c r="A4091" s="727"/>
    </row>
    <row r="4092" ht="15.75">
      <c r="A4092" s="727"/>
    </row>
    <row r="4093" ht="15.75">
      <c r="A4093" s="727"/>
    </row>
    <row r="4094" ht="15.75">
      <c r="A4094" s="727"/>
    </row>
    <row r="4095" ht="15.75">
      <c r="A4095" s="727"/>
    </row>
    <row r="4096" ht="15.75">
      <c r="A4096" s="727"/>
    </row>
    <row r="4097" ht="15.75">
      <c r="A4097" s="727"/>
    </row>
    <row r="4098" ht="15.75">
      <c r="A4098" s="727"/>
    </row>
    <row r="4099" ht="15.75">
      <c r="A4099" s="727"/>
    </row>
    <row r="4100" ht="15.75">
      <c r="A4100" s="727"/>
    </row>
    <row r="4101" ht="15.75">
      <c r="A4101" s="727"/>
    </row>
    <row r="4102" ht="15.75">
      <c r="A4102" s="727"/>
    </row>
    <row r="4103" ht="15.75">
      <c r="A4103" s="727"/>
    </row>
    <row r="4104" ht="15.75">
      <c r="A4104" s="727"/>
    </row>
    <row r="4105" ht="15.75">
      <c r="A4105" s="727"/>
    </row>
    <row r="4106" ht="15.75">
      <c r="A4106" s="727"/>
    </row>
    <row r="4107" ht="15.75">
      <c r="A4107" s="727"/>
    </row>
    <row r="4108" ht="15.75">
      <c r="A4108" s="727"/>
    </row>
    <row r="4109" ht="15.75">
      <c r="A4109" s="727"/>
    </row>
    <row r="4110" ht="15.75">
      <c r="A4110" s="727"/>
    </row>
    <row r="4111" ht="15.75">
      <c r="A4111" s="727"/>
    </row>
    <row r="4112" ht="15.75">
      <c r="A4112" s="727"/>
    </row>
    <row r="4113" ht="15.75">
      <c r="A4113" s="727"/>
    </row>
    <row r="4114" ht="15.75">
      <c r="A4114" s="727"/>
    </row>
    <row r="4115" ht="15.75">
      <c r="A4115" s="727"/>
    </row>
    <row r="4116" ht="15.75">
      <c r="A4116" s="727"/>
    </row>
    <row r="4117" ht="15.75">
      <c r="A4117" s="727"/>
    </row>
    <row r="4118" ht="15.75">
      <c r="A4118" s="727"/>
    </row>
    <row r="4119" ht="15.75">
      <c r="A4119" s="727"/>
    </row>
    <row r="4120" ht="15.75">
      <c r="A4120" s="727"/>
    </row>
    <row r="4121" ht="15.75">
      <c r="A4121" s="727"/>
    </row>
    <row r="4122" ht="15.75">
      <c r="A4122" s="727"/>
    </row>
    <row r="4123" ht="15.75">
      <c r="A4123" s="727"/>
    </row>
    <row r="4124" ht="15.75">
      <c r="A4124" s="727"/>
    </row>
    <row r="4125" ht="15.75">
      <c r="A4125" s="727"/>
    </row>
    <row r="4126" ht="15.75">
      <c r="A4126" s="727"/>
    </row>
    <row r="4127" ht="15.75">
      <c r="A4127" s="727"/>
    </row>
    <row r="4128" ht="15.75">
      <c r="A4128" s="727"/>
    </row>
    <row r="4129" ht="15.75">
      <c r="A4129" s="727"/>
    </row>
    <row r="4130" ht="15.75">
      <c r="A4130" s="727"/>
    </row>
    <row r="4131" ht="15.75">
      <c r="A4131" s="727"/>
    </row>
    <row r="4132" ht="15.75">
      <c r="A4132" s="727"/>
    </row>
    <row r="4133" ht="15.75">
      <c r="A4133" s="727"/>
    </row>
    <row r="4134" ht="15.75">
      <c r="A4134" s="727"/>
    </row>
    <row r="4135" ht="15.75">
      <c r="A4135" s="727"/>
    </row>
    <row r="4136" ht="15.75">
      <c r="A4136" s="727"/>
    </row>
    <row r="4137" ht="15.75">
      <c r="A4137" s="727"/>
    </row>
    <row r="4138" ht="15.75">
      <c r="A4138" s="727"/>
    </row>
    <row r="4139" ht="15.75">
      <c r="A4139" s="727"/>
    </row>
    <row r="4140" ht="15.75">
      <c r="A4140" s="727"/>
    </row>
    <row r="4141" ht="15.75">
      <c r="A4141" s="727"/>
    </row>
    <row r="4142" ht="15.75">
      <c r="A4142" s="727"/>
    </row>
    <row r="4143" ht="15.75">
      <c r="A4143" s="727"/>
    </row>
    <row r="4144" ht="15.75">
      <c r="A4144" s="727"/>
    </row>
    <row r="4145" ht="15.75">
      <c r="A4145" s="727"/>
    </row>
    <row r="4146" ht="15.75">
      <c r="A4146" s="727"/>
    </row>
    <row r="4147" ht="15.75">
      <c r="A4147" s="727"/>
    </row>
    <row r="4148" ht="15.75">
      <c r="A4148" s="727"/>
    </row>
    <row r="4149" ht="15.75">
      <c r="A4149" s="727"/>
    </row>
    <row r="4150" ht="15.75">
      <c r="A4150" s="727"/>
    </row>
    <row r="4151" ht="15.75">
      <c r="A4151" s="727"/>
    </row>
    <row r="4152" ht="15.75">
      <c r="A4152" s="727"/>
    </row>
    <row r="4153" ht="15.75">
      <c r="A4153" s="727"/>
    </row>
    <row r="4154" ht="15.75">
      <c r="A4154" s="727"/>
    </row>
    <row r="4155" ht="15.75">
      <c r="A4155" s="727"/>
    </row>
    <row r="4156" ht="15.75">
      <c r="A4156" s="727"/>
    </row>
    <row r="4157" ht="15.75">
      <c r="A4157" s="727"/>
    </row>
    <row r="4158" ht="15.75">
      <c r="A4158" s="727"/>
    </row>
    <row r="4159" ht="15.75">
      <c r="A4159" s="727"/>
    </row>
    <row r="4160" ht="15.75">
      <c r="A4160" s="727"/>
    </row>
    <row r="4161" ht="15.75">
      <c r="A4161" s="727"/>
    </row>
    <row r="4162" ht="15.75">
      <c r="A4162" s="727"/>
    </row>
    <row r="4163" ht="15.75">
      <c r="A4163" s="727"/>
    </row>
    <row r="4164" ht="15.75">
      <c r="A4164" s="727"/>
    </row>
    <row r="4165" ht="15.75">
      <c r="A4165" s="727"/>
    </row>
    <row r="4166" ht="15.75">
      <c r="A4166" s="727"/>
    </row>
    <row r="4167" ht="15.75">
      <c r="A4167" s="727"/>
    </row>
    <row r="4168" ht="15.75">
      <c r="A4168" s="727"/>
    </row>
    <row r="4169" ht="15.75">
      <c r="A4169" s="727"/>
    </row>
    <row r="4170" ht="15.75">
      <c r="A4170" s="727"/>
    </row>
    <row r="4171" ht="15.75">
      <c r="A4171" s="727"/>
    </row>
    <row r="4172" ht="15.75">
      <c r="A4172" s="727"/>
    </row>
    <row r="4173" ht="15.75">
      <c r="A4173" s="727"/>
    </row>
    <row r="4174" ht="15.75">
      <c r="A4174" s="727"/>
    </row>
    <row r="4175" ht="15.75">
      <c r="A4175" s="727"/>
    </row>
    <row r="4176" ht="15.75">
      <c r="A4176" s="727"/>
    </row>
    <row r="4177" ht="15.75">
      <c r="A4177" s="727"/>
    </row>
    <row r="4178" ht="15.75">
      <c r="A4178" s="727"/>
    </row>
    <row r="4179" ht="15.75">
      <c r="A4179" s="727"/>
    </row>
    <row r="4180" ht="15.75">
      <c r="A4180" s="727"/>
    </row>
    <row r="4181" ht="15.75">
      <c r="A4181" s="727"/>
    </row>
    <row r="4182" ht="15.75">
      <c r="A4182" s="727"/>
    </row>
    <row r="4183" ht="15.75">
      <c r="A4183" s="727"/>
    </row>
    <row r="4184" ht="15.75">
      <c r="A4184" s="727"/>
    </row>
    <row r="4185" ht="15.75">
      <c r="A4185" s="727"/>
    </row>
    <row r="4186" ht="15.75">
      <c r="A4186" s="727"/>
    </row>
    <row r="4187" ht="15.75">
      <c r="A4187" s="727"/>
    </row>
    <row r="4188" ht="15.75">
      <c r="A4188" s="727"/>
    </row>
    <row r="4189" ht="15.75">
      <c r="A4189" s="727"/>
    </row>
    <row r="4190" ht="15.75">
      <c r="A4190" s="727"/>
    </row>
    <row r="4191" ht="15.75">
      <c r="A4191" s="727"/>
    </row>
    <row r="4192" ht="15.75">
      <c r="A4192" s="727"/>
    </row>
    <row r="4193" ht="15.75">
      <c r="A4193" s="727"/>
    </row>
    <row r="4194" ht="15.75">
      <c r="A4194" s="727"/>
    </row>
    <row r="4195" ht="15.75">
      <c r="A4195" s="727"/>
    </row>
    <row r="4196" ht="15.75">
      <c r="A4196" s="727"/>
    </row>
    <row r="4197" ht="15.75">
      <c r="A4197" s="727"/>
    </row>
    <row r="4198" ht="15.75">
      <c r="A4198" s="727"/>
    </row>
    <row r="4199" ht="15.75">
      <c r="A4199" s="727"/>
    </row>
    <row r="4200" ht="15.75">
      <c r="A4200" s="727"/>
    </row>
    <row r="4201" ht="15.75">
      <c r="A4201" s="727"/>
    </row>
    <row r="4202" ht="15.75">
      <c r="A4202" s="727"/>
    </row>
    <row r="4203" ht="15.75">
      <c r="A4203" s="727"/>
    </row>
    <row r="4204" ht="15.75">
      <c r="A4204" s="727"/>
    </row>
    <row r="4205" ht="15.75">
      <c r="A4205" s="727"/>
    </row>
    <row r="4206" ht="15.75">
      <c r="A4206" s="727"/>
    </row>
    <row r="4207" ht="15.75">
      <c r="A4207" s="727"/>
    </row>
    <row r="4208" ht="15.75">
      <c r="A4208" s="727"/>
    </row>
    <row r="4209" ht="15.75">
      <c r="A4209" s="727"/>
    </row>
    <row r="4210" ht="15.75">
      <c r="A4210" s="727"/>
    </row>
    <row r="4211" ht="15.75">
      <c r="A4211" s="727"/>
    </row>
    <row r="4212" ht="15.75">
      <c r="A4212" s="727"/>
    </row>
    <row r="4213" ht="15.75">
      <c r="A4213" s="727"/>
    </row>
    <row r="4214" ht="15.75">
      <c r="A4214" s="727"/>
    </row>
    <row r="4215" ht="15.75">
      <c r="A4215" s="727"/>
    </row>
    <row r="4216" ht="15.75">
      <c r="A4216" s="727"/>
    </row>
    <row r="4217" ht="15.75">
      <c r="A4217" s="727"/>
    </row>
    <row r="4218" ht="15.75">
      <c r="A4218" s="727"/>
    </row>
    <row r="4219" ht="15.75">
      <c r="A4219" s="727"/>
    </row>
    <row r="4220" ht="15.75">
      <c r="A4220" s="727"/>
    </row>
    <row r="4221" ht="15.75">
      <c r="A4221" s="727"/>
    </row>
    <row r="4222" ht="15.75">
      <c r="A4222" s="727"/>
    </row>
    <row r="4223" ht="15.75">
      <c r="A4223" s="727"/>
    </row>
    <row r="4224" ht="15.75">
      <c r="A4224" s="727"/>
    </row>
    <row r="4225" ht="15.75">
      <c r="A4225" s="727"/>
    </row>
    <row r="4226" ht="15.75">
      <c r="A4226" s="727"/>
    </row>
    <row r="4227" ht="15.75">
      <c r="A4227" s="727"/>
    </row>
    <row r="4228" ht="15.75">
      <c r="A4228" s="727"/>
    </row>
    <row r="4229" ht="15.75">
      <c r="A4229" s="727"/>
    </row>
    <row r="4230" ht="15.75">
      <c r="A4230" s="727"/>
    </row>
    <row r="4231" ht="15.75">
      <c r="A4231" s="727"/>
    </row>
    <row r="4232" ht="15.75">
      <c r="A4232" s="727"/>
    </row>
    <row r="4233" ht="15.75">
      <c r="A4233" s="727"/>
    </row>
    <row r="4234" ht="15.75">
      <c r="A4234" s="727"/>
    </row>
    <row r="4235" ht="15.75">
      <c r="A4235" s="727"/>
    </row>
    <row r="4236" ht="15.75">
      <c r="A4236" s="727"/>
    </row>
    <row r="4237" ht="15.75">
      <c r="A4237" s="727"/>
    </row>
    <row r="4238" ht="15.75">
      <c r="A4238" s="727"/>
    </row>
    <row r="4239" ht="15.75">
      <c r="A4239" s="727"/>
    </row>
    <row r="4240" ht="15.75">
      <c r="A4240" s="727"/>
    </row>
    <row r="4241" ht="15.75">
      <c r="A4241" s="727"/>
    </row>
    <row r="4242" ht="15.75">
      <c r="A4242" s="727"/>
    </row>
    <row r="4243" ht="15.75">
      <c r="A4243" s="727"/>
    </row>
    <row r="4244" ht="15.75">
      <c r="A4244" s="727"/>
    </row>
    <row r="4245" ht="15.75">
      <c r="A4245" s="727"/>
    </row>
    <row r="4246" ht="15.75">
      <c r="A4246" s="727"/>
    </row>
    <row r="4247" ht="15.75">
      <c r="A4247" s="727"/>
    </row>
    <row r="4248" ht="15.75">
      <c r="A4248" s="727"/>
    </row>
    <row r="4249" ht="15.75">
      <c r="A4249" s="727"/>
    </row>
    <row r="4250" ht="15.75">
      <c r="A4250" s="727"/>
    </row>
    <row r="4251" ht="15.75">
      <c r="A4251" s="727"/>
    </row>
    <row r="4252" ht="15.75">
      <c r="A4252" s="727"/>
    </row>
    <row r="4253" ht="15.75">
      <c r="A4253" s="727"/>
    </row>
    <row r="4254" ht="15.75">
      <c r="A4254" s="727"/>
    </row>
    <row r="4255" ht="15.75">
      <c r="A4255" s="727"/>
    </row>
    <row r="4256" ht="15.75">
      <c r="A4256" s="727"/>
    </row>
    <row r="4257" ht="15.75">
      <c r="A4257" s="727"/>
    </row>
    <row r="4258" ht="15.75">
      <c r="A4258" s="727"/>
    </row>
    <row r="4259" ht="15.75">
      <c r="A4259" s="727"/>
    </row>
    <row r="4260" ht="15.75">
      <c r="A4260" s="727"/>
    </row>
    <row r="4261" ht="15.75">
      <c r="A4261" s="727"/>
    </row>
    <row r="4262" ht="15.75">
      <c r="A4262" s="727"/>
    </row>
    <row r="4263" ht="15.75">
      <c r="A4263" s="727"/>
    </row>
    <row r="4264" ht="15.75">
      <c r="A4264" s="727"/>
    </row>
    <row r="4265" ht="15.75">
      <c r="A4265" s="727"/>
    </row>
    <row r="4266" ht="15.75">
      <c r="A4266" s="727"/>
    </row>
    <row r="4267" ht="15.75">
      <c r="A4267" s="727"/>
    </row>
    <row r="4268" ht="15.75">
      <c r="A4268" s="727"/>
    </row>
    <row r="4269" ht="15.75">
      <c r="A4269" s="727"/>
    </row>
    <row r="4270" ht="15.75">
      <c r="A4270" s="727"/>
    </row>
    <row r="4271" ht="15.75">
      <c r="A4271" s="727"/>
    </row>
    <row r="4272" ht="15.75">
      <c r="A4272" s="727"/>
    </row>
    <row r="4273" ht="15.75">
      <c r="A4273" s="727"/>
    </row>
    <row r="4274" ht="15.75">
      <c r="A4274" s="727"/>
    </row>
    <row r="4275" ht="15.75">
      <c r="A4275" s="727"/>
    </row>
    <row r="4276" ht="15.75">
      <c r="A4276" s="727"/>
    </row>
    <row r="4277" ht="15.75">
      <c r="A4277" s="727"/>
    </row>
    <row r="4278" ht="15.75">
      <c r="A4278" s="727"/>
    </row>
    <row r="4279" ht="15.75">
      <c r="A4279" s="727"/>
    </row>
    <row r="4280" ht="15.75">
      <c r="A4280" s="727"/>
    </row>
    <row r="4281" ht="15.75">
      <c r="A4281" s="727"/>
    </row>
    <row r="4282" ht="15.75">
      <c r="A4282" s="727"/>
    </row>
    <row r="4283" ht="15.75">
      <c r="A4283" s="727"/>
    </row>
    <row r="4284" ht="15.75">
      <c r="A4284" s="727"/>
    </row>
    <row r="4285" ht="15.75">
      <c r="A4285" s="727"/>
    </row>
    <row r="4286" ht="15.75">
      <c r="A4286" s="727"/>
    </row>
    <row r="4287" ht="15.75">
      <c r="A4287" s="727"/>
    </row>
    <row r="4288" ht="15.75">
      <c r="A4288" s="727"/>
    </row>
    <row r="4289" ht="15.75">
      <c r="A4289" s="727"/>
    </row>
    <row r="4290" ht="15.75">
      <c r="A4290" s="727"/>
    </row>
    <row r="4291" ht="15.75">
      <c r="A4291" s="727"/>
    </row>
    <row r="4292" ht="15.75">
      <c r="A4292" s="727"/>
    </row>
    <row r="4293" ht="15.75">
      <c r="A4293" s="727"/>
    </row>
    <row r="4294" ht="15.75">
      <c r="A4294" s="727"/>
    </row>
    <row r="4295" ht="15.75">
      <c r="A4295" s="727"/>
    </row>
    <row r="4296" ht="15.75">
      <c r="A4296" s="727"/>
    </row>
    <row r="4297" ht="15.75">
      <c r="A4297" s="727"/>
    </row>
    <row r="4298" ht="15.75">
      <c r="A4298" s="727"/>
    </row>
    <row r="4299" ht="15.75">
      <c r="A4299" s="727"/>
    </row>
    <row r="4300" ht="15.75">
      <c r="A4300" s="727"/>
    </row>
    <row r="4301" ht="15.75">
      <c r="A4301" s="727"/>
    </row>
    <row r="4302" ht="15.75">
      <c r="A4302" s="727"/>
    </row>
    <row r="4303" ht="15.75">
      <c r="A4303" s="727"/>
    </row>
    <row r="4304" ht="15.75">
      <c r="A4304" s="727"/>
    </row>
    <row r="4305" ht="15.75">
      <c r="A4305" s="727"/>
    </row>
    <row r="4306" ht="15.75">
      <c r="A4306" s="727"/>
    </row>
    <row r="4307" ht="15.75">
      <c r="A4307" s="727"/>
    </row>
    <row r="4308" ht="15.75">
      <c r="A4308" s="727"/>
    </row>
    <row r="4309" ht="15.75">
      <c r="A4309" s="727"/>
    </row>
    <row r="4310" ht="15.75">
      <c r="A4310" s="727"/>
    </row>
    <row r="4311" ht="15.75">
      <c r="A4311" s="727"/>
    </row>
    <row r="4312" ht="15.75">
      <c r="A4312" s="727"/>
    </row>
    <row r="4313" ht="15.75">
      <c r="A4313" s="727"/>
    </row>
    <row r="4314" ht="15.75">
      <c r="A4314" s="727"/>
    </row>
    <row r="4315" ht="15.75">
      <c r="A4315" s="727"/>
    </row>
    <row r="4316" ht="15.75">
      <c r="A4316" s="727"/>
    </row>
    <row r="4317" ht="15.75">
      <c r="A4317" s="727"/>
    </row>
    <row r="4318" ht="15.75">
      <c r="A4318" s="727"/>
    </row>
    <row r="4319" ht="15.75">
      <c r="A4319" s="727"/>
    </row>
    <row r="4320" ht="15.75">
      <c r="A4320" s="727"/>
    </row>
    <row r="4321" ht="15.75">
      <c r="A4321" s="727"/>
    </row>
    <row r="4322" ht="15.75">
      <c r="A4322" s="727"/>
    </row>
    <row r="4323" ht="15.75">
      <c r="A4323" s="727"/>
    </row>
    <row r="4324" ht="15.75">
      <c r="A4324" s="727"/>
    </row>
    <row r="4325" ht="15.75">
      <c r="A4325" s="727"/>
    </row>
    <row r="4326" ht="15.75">
      <c r="A4326" s="727"/>
    </row>
    <row r="4327" ht="15.75">
      <c r="A4327" s="727"/>
    </row>
    <row r="4328" ht="15.75">
      <c r="A4328" s="727"/>
    </row>
    <row r="4329" ht="15.75">
      <c r="A4329" s="727"/>
    </row>
    <row r="4330" ht="15.75">
      <c r="A4330" s="727"/>
    </row>
    <row r="4331" ht="15.75">
      <c r="A4331" s="727"/>
    </row>
    <row r="4332" ht="15.75">
      <c r="A4332" s="727"/>
    </row>
    <row r="4333" ht="15.75">
      <c r="A4333" s="727"/>
    </row>
    <row r="4334" ht="15.75">
      <c r="A4334" s="727"/>
    </row>
    <row r="4335" ht="15.75">
      <c r="A4335" s="727"/>
    </row>
    <row r="4336" ht="15.75">
      <c r="A4336" s="727"/>
    </row>
    <row r="4337" ht="15.75">
      <c r="A4337" s="727"/>
    </row>
    <row r="4338" ht="15.75">
      <c r="A4338" s="727"/>
    </row>
    <row r="4339" ht="15.75">
      <c r="A4339" s="727"/>
    </row>
    <row r="4340" ht="15.75">
      <c r="A4340" s="727"/>
    </row>
    <row r="4341" ht="15.75">
      <c r="A4341" s="727"/>
    </row>
    <row r="4342" ht="15.75">
      <c r="A4342" s="727"/>
    </row>
    <row r="4343" ht="15.75">
      <c r="A4343" s="727"/>
    </row>
    <row r="4344" ht="15.75">
      <c r="A4344" s="727"/>
    </row>
    <row r="4345" ht="15.75">
      <c r="A4345" s="727"/>
    </row>
    <row r="4346" ht="15.75">
      <c r="A4346" s="727"/>
    </row>
    <row r="4347" ht="15.75">
      <c r="A4347" s="727"/>
    </row>
    <row r="4348" ht="15.75">
      <c r="A4348" s="727"/>
    </row>
    <row r="4349" ht="15.75">
      <c r="A4349" s="727"/>
    </row>
    <row r="4350" ht="15.75">
      <c r="A4350" s="727"/>
    </row>
    <row r="4351" ht="15.75">
      <c r="A4351" s="727"/>
    </row>
    <row r="4352" ht="15.75">
      <c r="A4352" s="727"/>
    </row>
    <row r="4353" ht="15.75">
      <c r="A4353" s="727"/>
    </row>
    <row r="4354" ht="15.75">
      <c r="A4354" s="727"/>
    </row>
    <row r="4355" ht="15.75">
      <c r="A4355" s="727"/>
    </row>
    <row r="4356" ht="15.75">
      <c r="A4356" s="727"/>
    </row>
    <row r="4357" ht="15.75">
      <c r="A4357" s="727"/>
    </row>
    <row r="4358" ht="15.75">
      <c r="A4358" s="727"/>
    </row>
    <row r="4359" ht="15.75">
      <c r="A4359" s="727"/>
    </row>
    <row r="4360" ht="15.75">
      <c r="A4360" s="727"/>
    </row>
    <row r="4361" ht="15.75">
      <c r="A4361" s="727"/>
    </row>
    <row r="4362" ht="15.75">
      <c r="A4362" s="727"/>
    </row>
    <row r="4363" ht="15.75">
      <c r="A4363" s="727"/>
    </row>
    <row r="4364" ht="15.75">
      <c r="A4364" s="727"/>
    </row>
    <row r="4365" ht="15.75">
      <c r="A4365" s="727"/>
    </row>
    <row r="4366" ht="15.75">
      <c r="A4366" s="727"/>
    </row>
    <row r="4367" ht="15.75">
      <c r="A4367" s="727"/>
    </row>
    <row r="4368" ht="15.75">
      <c r="A4368" s="727"/>
    </row>
    <row r="4369" ht="15.75">
      <c r="A4369" s="727"/>
    </row>
    <row r="4370" ht="15.75">
      <c r="A4370" s="727"/>
    </row>
    <row r="4371" ht="15.75">
      <c r="A4371" s="727"/>
    </row>
    <row r="4372" ht="15.75">
      <c r="A4372" s="727"/>
    </row>
    <row r="4373" ht="15.75">
      <c r="A4373" s="727"/>
    </row>
    <row r="4374" ht="15.75">
      <c r="A4374" s="727"/>
    </row>
    <row r="4375" ht="15.75">
      <c r="A4375" s="727"/>
    </row>
    <row r="4376" ht="15.75">
      <c r="A4376" s="727"/>
    </row>
    <row r="4377" ht="15.75">
      <c r="A4377" s="727"/>
    </row>
    <row r="4378" ht="15.75">
      <c r="A4378" s="727"/>
    </row>
    <row r="4379" ht="15.75">
      <c r="A4379" s="727"/>
    </row>
    <row r="4380" ht="15.75">
      <c r="A4380" s="727"/>
    </row>
    <row r="4381" ht="15.75">
      <c r="A4381" s="727"/>
    </row>
    <row r="4382" ht="15.75">
      <c r="A4382" s="727"/>
    </row>
    <row r="4383" ht="15.75">
      <c r="A4383" s="727"/>
    </row>
    <row r="4384" ht="15.75">
      <c r="A4384" s="727"/>
    </row>
    <row r="4385" ht="15.75">
      <c r="A4385" s="727"/>
    </row>
    <row r="4386" ht="15.75">
      <c r="A4386" s="727"/>
    </row>
    <row r="4387" ht="15.75">
      <c r="A4387" s="727"/>
    </row>
    <row r="4388" ht="15.75">
      <c r="A4388" s="727"/>
    </row>
    <row r="4389" ht="15.75">
      <c r="A4389" s="727"/>
    </row>
    <row r="4390" ht="15.75">
      <c r="A4390" s="727"/>
    </row>
    <row r="4391" ht="15.75">
      <c r="A4391" s="727"/>
    </row>
    <row r="4392" ht="15.75">
      <c r="A4392" s="727"/>
    </row>
    <row r="4393" ht="15.75">
      <c r="A4393" s="727"/>
    </row>
    <row r="4394" ht="15.75">
      <c r="A4394" s="727"/>
    </row>
    <row r="4395" ht="15.75">
      <c r="A4395" s="727"/>
    </row>
    <row r="4396" ht="15.75">
      <c r="A4396" s="727"/>
    </row>
    <row r="4397" ht="15.75">
      <c r="A4397" s="727"/>
    </row>
    <row r="4398" ht="15.75">
      <c r="A4398" s="727"/>
    </row>
    <row r="4399" ht="15.75">
      <c r="A4399" s="727"/>
    </row>
    <row r="4400" ht="15.75">
      <c r="A4400" s="727"/>
    </row>
    <row r="4401" ht="15.75">
      <c r="A4401" s="727"/>
    </row>
    <row r="4402" ht="15.75">
      <c r="A4402" s="727"/>
    </row>
    <row r="4403" ht="15.75">
      <c r="A4403" s="727"/>
    </row>
    <row r="4404" ht="15.75">
      <c r="A4404" s="727"/>
    </row>
    <row r="4405" ht="15.75">
      <c r="A4405" s="727"/>
    </row>
    <row r="4406" ht="15.75">
      <c r="A4406" s="727"/>
    </row>
    <row r="4407" ht="15.75">
      <c r="A4407" s="727"/>
    </row>
    <row r="4408" ht="15.75">
      <c r="A4408" s="727"/>
    </row>
    <row r="4409" ht="15.75">
      <c r="A4409" s="727"/>
    </row>
    <row r="4410" ht="15.75">
      <c r="A4410" s="727"/>
    </row>
    <row r="4411" ht="15.75">
      <c r="A4411" s="727"/>
    </row>
    <row r="4412" ht="15.75">
      <c r="A4412" s="727"/>
    </row>
    <row r="4413" ht="15.75">
      <c r="A4413" s="727"/>
    </row>
    <row r="4414" ht="15.75">
      <c r="A4414" s="727"/>
    </row>
    <row r="4415" ht="15.75">
      <c r="A4415" s="727"/>
    </row>
    <row r="4416" ht="15.75">
      <c r="A4416" s="727"/>
    </row>
    <row r="4417" ht="15.75">
      <c r="A4417" s="727"/>
    </row>
    <row r="4418" ht="15.75">
      <c r="A4418" s="727"/>
    </row>
    <row r="4419" ht="15.75">
      <c r="A4419" s="727"/>
    </row>
    <row r="4420" ht="15.75">
      <c r="A4420" s="727"/>
    </row>
    <row r="4421" ht="15.75">
      <c r="A4421" s="727"/>
    </row>
    <row r="4422" ht="15.75">
      <c r="A4422" s="727"/>
    </row>
    <row r="4423" ht="15.75">
      <c r="A4423" s="727"/>
    </row>
    <row r="4424" ht="15.75">
      <c r="A4424" s="727"/>
    </row>
    <row r="4425" ht="15.75">
      <c r="A4425" s="727"/>
    </row>
    <row r="4426" ht="15.75">
      <c r="A4426" s="727"/>
    </row>
    <row r="4427" ht="15.75">
      <c r="A4427" s="727"/>
    </row>
    <row r="4428" ht="15.75">
      <c r="A4428" s="727"/>
    </row>
    <row r="4429" ht="15.75">
      <c r="A4429" s="727"/>
    </row>
    <row r="4430" ht="15.75">
      <c r="A4430" s="727"/>
    </row>
    <row r="4431" ht="15.75">
      <c r="A4431" s="727"/>
    </row>
    <row r="4432" ht="15.75">
      <c r="A4432" s="727"/>
    </row>
    <row r="4433" ht="15.75">
      <c r="A4433" s="727"/>
    </row>
    <row r="4434" ht="15.75">
      <c r="A4434" s="727"/>
    </row>
    <row r="4435" ht="15.75">
      <c r="A4435" s="727"/>
    </row>
    <row r="4436" ht="15.75">
      <c r="A4436" s="727"/>
    </row>
    <row r="4437" ht="15.75">
      <c r="A4437" s="727"/>
    </row>
    <row r="4438" ht="15.75">
      <c r="A4438" s="727"/>
    </row>
    <row r="4439" ht="15.75">
      <c r="A4439" s="727"/>
    </row>
    <row r="4440" ht="15.75">
      <c r="A4440" s="727"/>
    </row>
    <row r="4441" ht="15.75">
      <c r="A4441" s="727"/>
    </row>
    <row r="4442" ht="15.75">
      <c r="A4442" s="727"/>
    </row>
    <row r="4443" ht="15.75">
      <c r="A4443" s="727"/>
    </row>
    <row r="4444" ht="15.75">
      <c r="A4444" s="727"/>
    </row>
    <row r="4445" ht="15.75">
      <c r="A4445" s="727"/>
    </row>
    <row r="4446" ht="15.75">
      <c r="A4446" s="727"/>
    </row>
    <row r="4447" ht="15.75">
      <c r="A4447" s="727"/>
    </row>
    <row r="4448" ht="15.75">
      <c r="A4448" s="727"/>
    </row>
    <row r="4449" ht="15.75">
      <c r="A4449" s="727"/>
    </row>
    <row r="4450" ht="15.75">
      <c r="A4450" s="727"/>
    </row>
    <row r="4451" ht="15.75">
      <c r="A4451" s="727"/>
    </row>
    <row r="4452" ht="15.75">
      <c r="A4452" s="727"/>
    </row>
    <row r="4453" ht="15.75">
      <c r="A4453" s="727"/>
    </row>
    <row r="4454" ht="15.75">
      <c r="A4454" s="727"/>
    </row>
    <row r="4455" ht="15.75">
      <c r="A4455" s="727"/>
    </row>
    <row r="4456" ht="15.75">
      <c r="A4456" s="727"/>
    </row>
    <row r="4457" ht="15.75">
      <c r="A4457" s="727"/>
    </row>
    <row r="4458" ht="15.75">
      <c r="A4458" s="727"/>
    </row>
    <row r="4459" ht="15.75">
      <c r="A4459" s="727"/>
    </row>
    <row r="4460" ht="15.75">
      <c r="A4460" s="727"/>
    </row>
    <row r="4461" ht="15.75">
      <c r="A4461" s="727"/>
    </row>
    <row r="4462" ht="15.75">
      <c r="A4462" s="727"/>
    </row>
    <row r="4463" ht="15.75">
      <c r="A4463" s="727"/>
    </row>
    <row r="4464" ht="15.75">
      <c r="A4464" s="727"/>
    </row>
    <row r="4465" ht="15.75">
      <c r="A4465" s="727"/>
    </row>
    <row r="4466" ht="15.75">
      <c r="A4466" s="727"/>
    </row>
    <row r="4467" ht="15.75">
      <c r="A4467" s="727"/>
    </row>
    <row r="4468" ht="15.75">
      <c r="A4468" s="727"/>
    </row>
    <row r="4469" ht="15.75">
      <c r="A4469" s="727"/>
    </row>
    <row r="4470" ht="15.75">
      <c r="A4470" s="727"/>
    </row>
    <row r="4471" ht="15.75">
      <c r="A4471" s="727"/>
    </row>
    <row r="4472" ht="15.75">
      <c r="A4472" s="727"/>
    </row>
    <row r="4473" ht="15.75">
      <c r="A4473" s="727"/>
    </row>
    <row r="4474" ht="15.75">
      <c r="A4474" s="727"/>
    </row>
    <row r="4475" ht="15.75">
      <c r="A4475" s="727"/>
    </row>
    <row r="4476" ht="15.75">
      <c r="A4476" s="727"/>
    </row>
    <row r="4477" ht="15.75">
      <c r="A4477" s="727"/>
    </row>
    <row r="4478" ht="15.75">
      <c r="A4478" s="727"/>
    </row>
    <row r="4479" ht="15.75">
      <c r="A4479" s="727"/>
    </row>
    <row r="4480" ht="15.75">
      <c r="A4480" s="727"/>
    </row>
  </sheetData>
  <sheetProtection sheet="1"/>
  <mergeCells count="3">
    <mergeCell ref="A6:I6"/>
    <mergeCell ref="D9:H9"/>
    <mergeCell ref="C9:C10"/>
  </mergeCells>
  <printOptions/>
  <pageMargins left="0.4" right="0.4" top="0.83" bottom="0.85" header="0.3" footer="0.6"/>
  <pageSetup blackAndWhite="1" fitToHeight="1" fitToWidth="1" horizontalDpi="300" verticalDpi="300" orientation="landscape" scale="73"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P78" sqref="P78"/>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inputPrYr!D6</f>
        <v>0</v>
      </c>
    </row>
    <row r="2" spans="1:6" ht="15.75">
      <c r="A2" s="75">
        <f>inputPrYr!D3</f>
        <v>0</v>
      </c>
      <c r="B2" s="75"/>
      <c r="C2" s="3"/>
      <c r="D2" s="3"/>
      <c r="E2" s="41"/>
      <c r="F2" s="3"/>
    </row>
    <row r="3" spans="1:6" ht="15.75">
      <c r="A3" s="2"/>
      <c r="B3" s="75"/>
      <c r="C3" s="3"/>
      <c r="D3" s="3"/>
      <c r="E3" s="41"/>
      <c r="F3" s="3"/>
    </row>
    <row r="4" spans="1:6" ht="15.75">
      <c r="A4" s="2"/>
      <c r="B4" s="3"/>
      <c r="C4" s="3"/>
      <c r="D4" s="3"/>
      <c r="E4" s="41"/>
      <c r="F4" s="3"/>
    </row>
    <row r="5" spans="1:6" ht="15" customHeight="1">
      <c r="A5" s="865" t="s">
        <v>137</v>
      </c>
      <c r="B5" s="865"/>
      <c r="C5" s="865"/>
      <c r="D5" s="865"/>
      <c r="E5" s="865"/>
      <c r="F5" s="865"/>
    </row>
    <row r="6" spans="1:6" ht="14.25" customHeight="1">
      <c r="A6" s="112"/>
      <c r="B6" s="200"/>
      <c r="C6" s="200"/>
      <c r="D6" s="200"/>
      <c r="E6" s="200"/>
      <c r="F6" s="200"/>
    </row>
    <row r="7" spans="1:6" ht="15" customHeight="1">
      <c r="A7" s="201" t="s">
        <v>245</v>
      </c>
      <c r="B7" s="201" t="s">
        <v>531</v>
      </c>
      <c r="C7" s="202" t="s">
        <v>28</v>
      </c>
      <c r="D7" s="202" t="s">
        <v>138</v>
      </c>
      <c r="E7" s="201" t="s">
        <v>139</v>
      </c>
      <c r="F7" s="201" t="s">
        <v>140</v>
      </c>
    </row>
    <row r="8" spans="1:6" ht="15" customHeight="1">
      <c r="A8" s="203" t="s">
        <v>532</v>
      </c>
      <c r="B8" s="203" t="s">
        <v>533</v>
      </c>
      <c r="C8" s="204" t="s">
        <v>141</v>
      </c>
      <c r="D8" s="204" t="s">
        <v>141</v>
      </c>
      <c r="E8" s="204" t="s">
        <v>141</v>
      </c>
      <c r="F8" s="204" t="s">
        <v>142</v>
      </c>
    </row>
    <row r="9" spans="1:6" s="207" customFormat="1" ht="15" customHeight="1" thickBot="1">
      <c r="A9" s="205" t="s">
        <v>143</v>
      </c>
      <c r="B9" s="206" t="s">
        <v>144</v>
      </c>
      <c r="C9" s="206">
        <f>F1-2</f>
        <v>-2</v>
      </c>
      <c r="D9" s="206">
        <f>F1-1</f>
        <v>-1</v>
      </c>
      <c r="E9" s="206">
        <f>F1</f>
        <v>0</v>
      </c>
      <c r="F9" s="206" t="s">
        <v>232</v>
      </c>
    </row>
    <row r="10" spans="1:6" ht="15" customHeight="1" thickTop="1">
      <c r="A10" s="208"/>
      <c r="B10" s="208"/>
      <c r="C10" s="209"/>
      <c r="D10" s="209"/>
      <c r="E10" s="209"/>
      <c r="F10" s="208"/>
    </row>
    <row r="11" spans="1:6" ht="15" customHeight="1">
      <c r="A11" s="61" t="s">
        <v>211</v>
      </c>
      <c r="B11" s="61" t="s">
        <v>249</v>
      </c>
      <c r="C11" s="210">
        <f>gen!$C$46</f>
        <v>0</v>
      </c>
      <c r="D11" s="210">
        <f>gen!$D$46</f>
        <v>0</v>
      </c>
      <c r="E11" s="210">
        <f>gen!$E$46</f>
        <v>0</v>
      </c>
      <c r="F11" s="61">
        <f>IF(C11+D11+E11&gt;0,"80-1406b","")</f>
      </c>
    </row>
    <row r="12" spans="1:6" ht="15" customHeight="1">
      <c r="A12" s="61" t="s">
        <v>211</v>
      </c>
      <c r="B12" s="61" t="s">
        <v>249</v>
      </c>
      <c r="C12" s="210">
        <f>gen!$C$48</f>
        <v>0</v>
      </c>
      <c r="D12" s="210">
        <f>gen!$D$48</f>
        <v>0</v>
      </c>
      <c r="E12" s="210">
        <f>gen!$E$48</f>
        <v>0</v>
      </c>
      <c r="F12" s="61">
        <f>IF(C12+D12+E12&gt;0,"80-122","")</f>
      </c>
    </row>
    <row r="13" spans="1:6" ht="15" customHeight="1">
      <c r="A13" s="61" t="s">
        <v>236</v>
      </c>
      <c r="B13" s="61" t="s">
        <v>249</v>
      </c>
      <c r="C13" s="210">
        <f>road!$C$41</f>
        <v>0</v>
      </c>
      <c r="D13" s="210">
        <f>road!$D$41</f>
        <v>0</v>
      </c>
      <c r="E13" s="210">
        <f>road!$E$41</f>
        <v>0</v>
      </c>
      <c r="F13" s="61">
        <f>IF(C13+D13+E13&gt;0,"68-141g","")</f>
      </c>
    </row>
    <row r="14" spans="1:6" ht="15" customHeight="1">
      <c r="A14" s="211"/>
      <c r="B14" s="211"/>
      <c r="C14" s="212"/>
      <c r="D14" s="212"/>
      <c r="E14" s="212"/>
      <c r="F14" s="211"/>
    </row>
    <row r="15" spans="1:6" ht="15" customHeight="1">
      <c r="A15" s="211"/>
      <c r="B15" s="211"/>
      <c r="C15" s="212"/>
      <c r="D15" s="212"/>
      <c r="E15" s="212"/>
      <c r="F15" s="211"/>
    </row>
    <row r="16" spans="1:6" ht="15" customHeight="1">
      <c r="A16" s="211"/>
      <c r="B16" s="211"/>
      <c r="C16" s="212"/>
      <c r="D16" s="212"/>
      <c r="E16" s="212"/>
      <c r="F16" s="211"/>
    </row>
    <row r="17" spans="1:6" ht="15" customHeight="1">
      <c r="A17" s="211"/>
      <c r="B17" s="211"/>
      <c r="C17" s="212"/>
      <c r="D17" s="212"/>
      <c r="E17" s="212"/>
      <c r="F17" s="211"/>
    </row>
    <row r="18" spans="1:6" ht="15" customHeight="1">
      <c r="A18" s="211"/>
      <c r="B18" s="211"/>
      <c r="C18" s="212"/>
      <c r="D18" s="212"/>
      <c r="E18" s="212"/>
      <c r="F18" s="211"/>
    </row>
    <row r="19" spans="1:6" ht="15" customHeight="1">
      <c r="A19" s="211"/>
      <c r="B19" s="213"/>
      <c r="C19" s="212"/>
      <c r="D19" s="212"/>
      <c r="E19" s="212"/>
      <c r="F19" s="211"/>
    </row>
    <row r="20" spans="1:6" ht="15" customHeight="1">
      <c r="A20" s="211"/>
      <c r="B20" s="211"/>
      <c r="C20" s="212"/>
      <c r="D20" s="212"/>
      <c r="E20" s="212"/>
      <c r="F20" s="211"/>
    </row>
    <row r="21" spans="1:6" ht="15" customHeight="1">
      <c r="A21" s="211"/>
      <c r="B21" s="211"/>
      <c r="C21" s="212"/>
      <c r="D21" s="212"/>
      <c r="E21" s="212"/>
      <c r="F21" s="211"/>
    </row>
    <row r="22" spans="1:6" ht="15" customHeight="1">
      <c r="A22" s="211"/>
      <c r="B22" s="211"/>
      <c r="C22" s="212"/>
      <c r="D22" s="212"/>
      <c r="E22" s="212"/>
      <c r="F22" s="211"/>
    </row>
    <row r="23" spans="1:6" ht="15" customHeight="1">
      <c r="A23" s="211"/>
      <c r="B23" s="211"/>
      <c r="C23" s="212"/>
      <c r="D23" s="212"/>
      <c r="E23" s="212"/>
      <c r="F23" s="211"/>
    </row>
    <row r="24" spans="1:6" ht="15" customHeight="1">
      <c r="A24" s="211"/>
      <c r="B24" s="211"/>
      <c r="C24" s="212"/>
      <c r="D24" s="212"/>
      <c r="E24" s="212"/>
      <c r="F24" s="211"/>
    </row>
    <row r="25" spans="1:6" ht="15" customHeight="1">
      <c r="A25" s="211"/>
      <c r="B25" s="211"/>
      <c r="C25" s="212"/>
      <c r="D25" s="212"/>
      <c r="E25" s="212"/>
      <c r="F25" s="211"/>
    </row>
    <row r="26" spans="1:6" ht="15" customHeight="1">
      <c r="A26" s="211"/>
      <c r="B26" s="211"/>
      <c r="C26" s="212"/>
      <c r="D26" s="212"/>
      <c r="E26" s="212"/>
      <c r="F26" s="211"/>
    </row>
    <row r="27" spans="1:6" ht="15.75">
      <c r="A27" s="116"/>
      <c r="B27" s="214" t="s">
        <v>237</v>
      </c>
      <c r="C27" s="215">
        <f>SUM(C10:C26)</f>
        <v>0</v>
      </c>
      <c r="D27" s="215">
        <f>SUM(D10:D26)</f>
        <v>0</v>
      </c>
      <c r="E27" s="215">
        <f>SUM(E10:E26)</f>
        <v>0</v>
      </c>
      <c r="F27" s="116"/>
    </row>
    <row r="28" spans="1:6" ht="15.75">
      <c r="A28" s="116"/>
      <c r="B28" s="214" t="s">
        <v>530</v>
      </c>
      <c r="C28" s="116"/>
      <c r="D28" s="211"/>
      <c r="E28" s="211"/>
      <c r="F28" s="116"/>
    </row>
    <row r="29" spans="1:6" ht="15.75">
      <c r="A29" s="116"/>
      <c r="B29" s="166" t="s">
        <v>145</v>
      </c>
      <c r="C29" s="216">
        <f>C27</f>
        <v>0</v>
      </c>
      <c r="D29" s="216">
        <f>SUM(D27-D28)</f>
        <v>0</v>
      </c>
      <c r="E29" s="216">
        <f>SUM(E27-E28)</f>
        <v>0</v>
      </c>
      <c r="F29" s="116"/>
    </row>
    <row r="30" spans="1:6" ht="15.75">
      <c r="A30" s="116"/>
      <c r="B30" s="3"/>
      <c r="C30" s="3"/>
      <c r="D30" s="3"/>
      <c r="E30" s="3"/>
      <c r="F30" s="116"/>
    </row>
    <row r="31" spans="1:6" ht="15.75">
      <c r="A31" s="116"/>
      <c r="B31" s="3"/>
      <c r="C31" s="3"/>
      <c r="D31" s="3"/>
      <c r="E31" s="3"/>
      <c r="F31" s="116"/>
    </row>
    <row r="32" spans="1:6" ht="15.75">
      <c r="A32" s="331" t="s">
        <v>534</v>
      </c>
      <c r="B32" s="332" t="str">
        <f>CONCATENATE("Adjustments are required only if the transfer is being made in ",D9," and/or ",E9," from a non-budgeted fund.")</f>
        <v>Adjustments are required only if the transfer is being made in -1 and/or 0 from a non-budgeted fund.</v>
      </c>
      <c r="C32" s="3"/>
      <c r="D32" s="3"/>
      <c r="E32" s="3"/>
      <c r="F32" s="116"/>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G80" sqref="G80"/>
    </sheetView>
  </sheetViews>
  <sheetFormatPr defaultColWidth="62.3984375" defaultRowHeight="15.75"/>
  <cols>
    <col min="1" max="16384" width="62.3984375" style="1" customWidth="1"/>
  </cols>
  <sheetData>
    <row r="1" ht="18.75">
      <c r="A1" s="199" t="s">
        <v>262</v>
      </c>
    </row>
    <row r="2" ht="15.75">
      <c r="A2" s="68"/>
    </row>
    <row r="3" ht="51" customHeight="1">
      <c r="A3" s="347" t="s">
        <v>622</v>
      </c>
    </row>
    <row r="4" ht="17.25" customHeight="1">
      <c r="A4" s="347"/>
    </row>
    <row r="5" ht="15.75">
      <c r="A5" s="68"/>
    </row>
    <row r="6" ht="52.5" customHeight="1">
      <c r="A6" s="151" t="s">
        <v>292</v>
      </c>
    </row>
    <row r="7" ht="15.75">
      <c r="A7" s="68"/>
    </row>
    <row r="8" ht="15.75">
      <c r="A8" s="68"/>
    </row>
    <row r="9" ht="70.5" customHeight="1">
      <c r="A9" s="151" t="s">
        <v>293</v>
      </c>
    </row>
    <row r="10" ht="15.75">
      <c r="A10" s="152"/>
    </row>
    <row r="11" ht="15.75">
      <c r="A11" s="152"/>
    </row>
    <row r="12" ht="63">
      <c r="A12" s="429" t="s">
        <v>623</v>
      </c>
    </row>
    <row r="13" ht="15.75">
      <c r="A13" s="152"/>
    </row>
    <row r="14" ht="15.75">
      <c r="A14" s="152"/>
    </row>
    <row r="15" ht="63">
      <c r="A15" s="429" t="s">
        <v>624</v>
      </c>
    </row>
    <row r="16" ht="15.75">
      <c r="A16" s="152"/>
    </row>
    <row r="17" ht="15.75">
      <c r="A17" s="68"/>
    </row>
    <row r="18" ht="56.25" customHeight="1">
      <c r="A18" s="151" t="s">
        <v>294</v>
      </c>
    </row>
    <row r="19" ht="15.75">
      <c r="A19" s="152"/>
    </row>
    <row r="20" ht="15.75">
      <c r="A20" s="152"/>
    </row>
    <row r="21" ht="87.75" customHeight="1">
      <c r="A21" s="151" t="s">
        <v>295</v>
      </c>
    </row>
    <row r="22" ht="15.75">
      <c r="A22" s="152"/>
    </row>
    <row r="23" ht="15.75">
      <c r="A23" s="68"/>
    </row>
    <row r="24" ht="54.75" customHeight="1">
      <c r="A24" s="151" t="s">
        <v>296</v>
      </c>
    </row>
    <row r="25" ht="15.75">
      <c r="A25" s="68"/>
    </row>
    <row r="26" ht="15.75" customHeight="1">
      <c r="A26" s="68"/>
    </row>
    <row r="27" ht="69" customHeight="1">
      <c r="A27" s="151" t="s">
        <v>297</v>
      </c>
    </row>
    <row r="28" ht="15.75" customHeight="1">
      <c r="A28" s="151"/>
    </row>
    <row r="29" ht="15.75" customHeight="1">
      <c r="A29" s="151"/>
    </row>
    <row r="30" ht="87" customHeight="1">
      <c r="A30" s="151" t="s">
        <v>643</v>
      </c>
    </row>
    <row r="31" ht="15.75">
      <c r="A31" s="68"/>
    </row>
    <row r="32" ht="15.75">
      <c r="A32" s="196"/>
    </row>
    <row r="33" ht="47.25" customHeight="1">
      <c r="A33" s="197" t="s">
        <v>298</v>
      </c>
    </row>
    <row r="34" ht="15.75">
      <c r="A34" s="198"/>
    </row>
    <row r="35" ht="15.75">
      <c r="A35" s="19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Rbasinge</cp:lastModifiedBy>
  <cp:lastPrinted>2015-10-02T20:34:33Z</cp:lastPrinted>
  <dcterms:created xsi:type="dcterms:W3CDTF">1998-08-26T16:30:41Z</dcterms:created>
  <dcterms:modified xsi:type="dcterms:W3CDTF">2017-06-10T16:13:16Z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