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70" tabRatio="90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Pub. Notice Option 1" sheetId="40" r:id="rId40"/>
    <sheet name="Pub. Notice Option 2" sheetId="41" r:id="rId41"/>
    <sheet name="Pub. Notice Option 3" sheetId="42" r:id="rId42"/>
    <sheet name="Resolution" sheetId="43" r:id="rId43"/>
    <sheet name="Tab A" sheetId="44" r:id="rId44"/>
    <sheet name="Tab B" sheetId="45" r:id="rId45"/>
    <sheet name="Tab C" sheetId="46" r:id="rId46"/>
    <sheet name="Tab D" sheetId="47" r:id="rId47"/>
    <sheet name="Tab E" sheetId="48" r:id="rId48"/>
    <sheet name="Mill Rate Computation" sheetId="49" r:id="rId49"/>
    <sheet name="Helpful Links" sheetId="50" r:id="rId50"/>
    <sheet name="legend" sheetId="51" r:id="rId51"/>
  </sheets>
  <definedNames>
    <definedName name="_xlnm.Print_Area" localSheetId="5">'computation'!$A$1:$J$54</definedName>
    <definedName name="_xlnm.Print_Area" localSheetId="14">'DebtSvs-library'!$B$1:$E$85</definedName>
    <definedName name="_xlnm.Print_Area" localSheetId="12">'general'!$B$1:$E$122</definedName>
    <definedName name="_xlnm.Print_Area" localSheetId="1">'inputPrYr'!$A$1:$E$126</definedName>
    <definedName name="_xlnm.Print_Area" localSheetId="16">'levy page10'!$B$1:$E$86</definedName>
    <definedName name="_xlnm.Print_Area" localSheetId="17">'levy page11'!$A$1:$E$86</definedName>
    <definedName name="_xlnm.Print_Area" localSheetId="18">'levy page12'!$A$1:$E$86</definedName>
    <definedName name="_xlnm.Print_Area" localSheetId="19">'levy page13'!$A$1:$E$86</definedName>
    <definedName name="_xlnm.Print_Area" localSheetId="15">'levy page9'!$A$1:$E$85</definedName>
    <definedName name="_xlnm.Print_Area" localSheetId="11">'Library Grant'!$A$1:$J$40</definedName>
    <definedName name="_xlnm.Print_Area" localSheetId="10">'lpform'!$B$1:$I$38</definedName>
    <definedName name="_xlnm.Print_Area" localSheetId="48">'Mill Rate Computation'!#REF!</definedName>
    <definedName name="_xlnm.Print_Area" localSheetId="42">'Resolution'!$B$5:$B$16</definedName>
    <definedName name="_xlnm.Print_Area" localSheetId="37">'summ'!$A$1:$H$70</definedName>
  </definedNames>
  <calcPr fullCalcOnLoad="1"/>
</workbook>
</file>

<file path=xl/sharedStrings.xml><?xml version="1.0" encoding="utf-8"?>
<sst xmlns="http://schemas.openxmlformats.org/spreadsheetml/2006/main" count="2368" uniqueCount="1051">
  <si>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</si>
  <si>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</si>
  <si>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</si>
  <si>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</si>
  <si>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</si>
  <si>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</si>
  <si>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</si>
  <si>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</si>
  <si>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</si>
  <si>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</si>
  <si>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</si>
  <si>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</si>
  <si>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</si>
  <si>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</si>
  <si>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</si>
  <si>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</si>
  <si>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</si>
  <si>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</si>
  <si>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</si>
  <si>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</si>
  <si>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</si>
  <si>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</si>
  <si>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</si>
  <si>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</si>
  <si>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</si>
  <si>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</si>
  <si>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</si>
  <si>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</si>
  <si>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</si>
  <si>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</si>
  <si>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</si>
  <si>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</si>
  <si>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</si>
  <si>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</si>
  <si>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</si>
  <si>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</si>
  <si>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</si>
  <si>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</si>
  <si>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</si>
  <si>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</si>
  <si>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</si>
  <si>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</si>
  <si>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</si>
  <si>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</si>
  <si>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</si>
  <si>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</si>
  <si>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</si>
  <si>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</si>
  <si>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</si>
  <si>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</si>
  <si>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</si>
  <si>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</si>
  <si>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</si>
  <si>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</si>
  <si>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</si>
  <si>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</si>
  <si>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</si>
  <si>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</si>
  <si>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</si>
  <si>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</si>
  <si>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</si>
  <si>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</si>
  <si>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</si>
  <si>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</si>
  <si>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</si>
  <si>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</si>
  <si>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</si>
  <si>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</si>
  <si>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</si>
  <si>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</si>
  <si>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</si>
  <si>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</si>
  <si>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</si>
  <si>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</si>
  <si>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</si>
  <si>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</si>
  <si>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</si>
  <si>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</si>
  <si>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</si>
  <si>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</si>
  <si>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</si>
  <si>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</si>
  <si>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</si>
  <si>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</si>
  <si>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</si>
  <si>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</si>
  <si>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</si>
  <si>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</si>
  <si>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</si>
  <si>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</si>
  <si>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</si>
  <si>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</si>
  <si>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</si>
  <si>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</si>
  <si>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</si>
  <si>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</si>
  <si>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</si>
  <si>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</si>
  <si>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</si>
  <si>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</si>
  <si>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</si>
  <si>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</si>
  <si>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</si>
  <si>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</si>
  <si>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</si>
  <si>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</si>
  <si>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</si>
  <si>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</si>
  <si>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</si>
  <si>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</si>
  <si>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</si>
  <si>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</si>
  <si>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</si>
  <si>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</si>
  <si>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</si>
  <si>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</si>
  <si>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</si>
  <si>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</si>
  <si>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</si>
  <si>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</si>
  <si>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</si>
  <si>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</si>
  <si>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</si>
  <si>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</si>
  <si>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</si>
  <si>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</si>
  <si>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</si>
  <si>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</si>
  <si>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</si>
  <si>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</si>
  <si>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</si>
  <si>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</si>
  <si>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</si>
  <si>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</si>
  <si>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</si>
  <si>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</si>
  <si>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</si>
  <si>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</si>
  <si>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</si>
  <si>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</si>
  <si>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</si>
  <si>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</si>
  <si>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</si>
  <si>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</si>
  <si>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</si>
  <si>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</si>
  <si>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</si>
  <si>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</si>
  <si>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</si>
  <si>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</si>
  <si>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</si>
  <si>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</si>
  <si>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</si>
  <si>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</si>
  <si>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</si>
  <si>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</si>
  <si>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</si>
  <si>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</si>
  <si>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</si>
  <si>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</si>
  <si>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</si>
  <si>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</si>
  <si>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</si>
  <si>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</si>
  <si>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</si>
  <si>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</si>
  <si>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</si>
  <si>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</si>
  <si>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</si>
  <si>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</si>
  <si>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</si>
  <si>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</si>
  <si>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</si>
  <si>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</si>
  <si>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</si>
  <si>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</si>
  <si>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</si>
  <si>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</si>
  <si>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</si>
  <si>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</si>
  <si>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</si>
  <si>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</si>
  <si>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</si>
  <si>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</si>
  <si>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</si>
  <si>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</si>
  <si>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</si>
  <si>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</si>
  <si>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</si>
  <si>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</si>
  <si>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</si>
  <si>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</si>
  <si>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</si>
  <si>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</si>
  <si>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</si>
  <si>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</si>
  <si>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</si>
  <si>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</si>
  <si>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</si>
  <si>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</si>
  <si>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</si>
  <si>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</si>
  <si>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</si>
  <si>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</si>
  <si>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</si>
  <si>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</si>
  <si>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</si>
  <si>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</si>
  <si>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</si>
  <si>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</si>
  <si>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</si>
  <si>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</si>
  <si>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</si>
  <si>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</si>
  <si>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</si>
  <si>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</si>
  <si>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</si>
  <si>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</si>
  <si>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</si>
  <si>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</si>
  <si>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</si>
  <si>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</si>
  <si>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</si>
  <si>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</si>
  <si>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</si>
  <si>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</si>
  <si>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</si>
  <si>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</si>
  <si>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</si>
  <si>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</si>
  <si>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</si>
  <si>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</si>
  <si>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</si>
  <si>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</si>
  <si>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</si>
  <si>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</si>
  <si>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</si>
  <si>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</si>
  <si>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</si>
  <si>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</si>
  <si>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</si>
  <si>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</si>
  <si>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</si>
  <si>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</si>
  <si>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</si>
  <si>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</si>
  <si>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</si>
  <si>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</si>
  <si>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</si>
  <si>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</si>
  <si>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</si>
  <si>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</si>
  <si>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</si>
  <si>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</si>
  <si>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</si>
  <si>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</si>
  <si>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</si>
  <si>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</si>
  <si>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</si>
  <si>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</si>
  <si>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</si>
  <si>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</si>
  <si>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</si>
  <si>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</si>
  <si>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</si>
  <si>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</si>
  <si>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</si>
  <si>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</si>
  <si>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</si>
  <si>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</si>
  <si>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</si>
  <si>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</si>
  <si>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</si>
  <si>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</si>
  <si>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</si>
  <si>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</si>
  <si>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</si>
  <si>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</si>
  <si>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</si>
  <si>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</si>
  <si>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</si>
  <si>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</si>
  <si>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</si>
  <si>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</si>
  <si>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</si>
  <si>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</si>
  <si>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</si>
  <si>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</si>
  <si>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</si>
  <si>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</si>
  <si>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</si>
  <si>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</si>
  <si>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</si>
  <si>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</si>
  <si>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</si>
  <si>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</si>
  <si>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</si>
  <si>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</si>
  <si>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</si>
  <si>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</si>
  <si>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</si>
  <si>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</si>
  <si>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</si>
  <si>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</si>
  <si>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</si>
  <si>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</si>
  <si>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</si>
  <si>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</si>
  <si>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</si>
  <si>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</si>
  <si>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</si>
  <si>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</si>
  <si>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</si>
  <si>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</si>
  <si>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</si>
  <si>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</si>
  <si>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1. Certificate page Bond &amp; Interest to Debt Service</t>
  </si>
  <si>
    <t>1. Mvalloc tab, change table reference for each cell from 'D' to 'E'</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</si>
  <si>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</si>
  <si>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</si>
  <si>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</si>
  <si>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</si>
  <si>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</si>
  <si>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</si>
  <si>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</si>
  <si>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</si>
  <si>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</si>
  <si>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</si>
  <si>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</si>
  <si>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</si>
  <si>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</si>
  <si>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</si>
  <si>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</si>
  <si>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</si>
  <si>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</si>
  <si>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</si>
  <si>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</si>
  <si>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</si>
  <si>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</si>
  <si>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</si>
  <si>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</si>
  <si>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</si>
  <si>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</si>
  <si>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</si>
  <si>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</si>
  <si>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</si>
  <si>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</si>
  <si>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</si>
  <si>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</si>
  <si>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</si>
  <si>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</si>
  <si>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</si>
  <si>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</si>
  <si>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</si>
  <si>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</si>
  <si>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</si>
  <si>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</si>
  <si>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</si>
  <si>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</si>
  <si>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</si>
  <si>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</si>
  <si>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</si>
  <si>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</si>
  <si>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</si>
  <si>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</si>
  <si>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</si>
  <si>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</si>
  <si>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</si>
  <si>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</si>
  <si>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</si>
  <si>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</si>
  <si>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</si>
  <si>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</si>
  <si>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</si>
  <si>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</si>
  <si>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</si>
  <si>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</si>
  <si>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</si>
  <si>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</si>
  <si>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</si>
  <si>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</si>
  <si>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</si>
  <si>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</si>
  <si>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</si>
  <si>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</si>
  <si>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</si>
  <si>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</si>
  <si>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</si>
  <si>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</si>
  <si>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</si>
  <si>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</si>
  <si>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</si>
  <si>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</si>
  <si>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</si>
  <si>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</si>
  <si>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</si>
  <si>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</si>
  <si>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</si>
  <si>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</si>
  <si>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</si>
  <si>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</si>
  <si>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</si>
  <si>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</si>
  <si>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</si>
  <si>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</si>
  <si>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</si>
  <si>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</si>
  <si>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</si>
  <si>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</si>
  <si>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</si>
  <si>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</si>
  <si>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</si>
  <si>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</si>
  <si>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</si>
  <si>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</si>
  <si>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</si>
  <si>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</si>
  <si>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</si>
  <si>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</si>
  <si>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</si>
  <si>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</si>
  <si>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</si>
  <si>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</si>
  <si>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</si>
  <si>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</si>
  <si>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</si>
  <si>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</si>
  <si>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</si>
  <si>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</si>
  <si>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</si>
  <si>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</si>
  <si>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</si>
  <si>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</si>
  <si>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</si>
  <si>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</si>
  <si>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</si>
  <si>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</si>
  <si>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</si>
  <si>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</si>
  <si>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</si>
  <si>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</si>
  <si>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</si>
  <si>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</si>
  <si>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</si>
  <si>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</si>
  <si>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</si>
  <si>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</si>
  <si>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</si>
  <si>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</si>
  <si>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</si>
  <si>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</si>
  <si>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</si>
  <si>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</si>
  <si>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</si>
  <si>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</si>
  <si>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</si>
  <si>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</si>
  <si>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</si>
  <si>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</si>
  <si>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</si>
  <si>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</si>
  <si>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</si>
  <si>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</si>
  <si>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</si>
  <si>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</si>
  <si>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</si>
  <si>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</si>
  <si>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</si>
  <si>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</si>
  <si>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</si>
  <si>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</si>
  <si>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</si>
  <si>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</si>
  <si>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</si>
  <si>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</si>
  <si>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</si>
  <si>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</si>
  <si>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</si>
  <si>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</si>
  <si>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</si>
  <si>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</si>
  <si>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</si>
  <si>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</si>
  <si>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</si>
  <si>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</si>
  <si>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</si>
  <si>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</si>
  <si>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</si>
  <si>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</si>
  <si>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</si>
  <si>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</si>
  <si>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</si>
  <si>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</si>
  <si>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</si>
  <si>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</si>
  <si>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</si>
  <si>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</si>
  <si>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</si>
  <si>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</si>
  <si>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</si>
  <si>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</si>
  <si>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</si>
  <si>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</si>
  <si>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</si>
  <si>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</si>
  <si>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</si>
  <si>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</si>
  <si>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</si>
  <si>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</si>
  <si>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</si>
  <si>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</si>
  <si>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</si>
  <si>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</si>
  <si>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</si>
  <si>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</si>
  <si>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</si>
  <si>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</si>
  <si>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</si>
  <si>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</si>
  <si>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</si>
  <si>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</si>
  <si>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</si>
  <si>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</si>
  <si>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</si>
  <si>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</si>
  <si>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</si>
  <si>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</si>
  <si>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</si>
  <si>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</si>
  <si>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</si>
  <si>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</si>
  <si>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</si>
  <si>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</si>
  <si>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</si>
  <si>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</si>
  <si>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</si>
  <si>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</si>
  <si>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</si>
  <si>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</si>
  <si>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</si>
  <si>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</si>
  <si>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</si>
  <si>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</si>
  <si>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</si>
  <si>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</si>
  <si>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</si>
  <si>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</si>
  <si>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</si>
  <si>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</si>
  <si>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</si>
  <si>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</si>
  <si>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</si>
  <si>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</si>
  <si>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</si>
  <si>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</si>
  <si>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</si>
  <si>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</si>
  <si>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</si>
  <si>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</si>
  <si>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</si>
  <si>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</si>
  <si>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</si>
  <si>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</si>
  <si>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</si>
  <si>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</si>
  <si>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</si>
  <si>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</si>
  <si>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</si>
  <si>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</si>
  <si>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</si>
  <si>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</si>
  <si>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</si>
  <si>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</si>
  <si>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</si>
  <si>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</si>
  <si>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</si>
  <si>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</si>
  <si>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</si>
  <si>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</si>
  <si>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</si>
  <si>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</si>
  <si>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</si>
  <si>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</si>
  <si>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</si>
  <si>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</si>
  <si>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</si>
  <si>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</si>
  <si>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</si>
  <si>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</si>
  <si>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</si>
  <si>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</si>
  <si>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</si>
  <si>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</si>
  <si>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</si>
  <si>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</si>
  <si>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</si>
  <si>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</si>
  <si>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</si>
  <si>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</si>
  <si>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</si>
  <si>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</si>
  <si>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</si>
  <si>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</si>
  <si>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</si>
  <si>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</si>
  <si>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</si>
  <si>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</si>
  <si>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</si>
  <si>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</si>
  <si>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</si>
  <si>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</si>
  <si>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</si>
  <si>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</si>
  <si>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</si>
  <si>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</si>
  <si>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</si>
  <si>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</si>
  <si>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</si>
  <si>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</si>
  <si>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</si>
  <si>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</si>
  <si>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</si>
  <si>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</si>
  <si>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</si>
  <si>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</si>
  <si>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</si>
  <si>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</si>
  <si>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</si>
  <si>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</si>
  <si>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</si>
  <si>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</si>
  <si>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</si>
  <si>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</si>
  <si>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</si>
  <si>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</si>
  <si>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</si>
  <si>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</si>
  <si>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</si>
  <si>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</si>
  <si>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</si>
  <si>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</si>
  <si>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</si>
  <si>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</si>
  <si>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</si>
  <si>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</si>
  <si>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</si>
  <si>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</si>
  <si>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</si>
  <si>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</si>
  <si>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</si>
  <si>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</si>
  <si>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</si>
  <si>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</si>
  <si>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</si>
  <si>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</si>
  <si>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</si>
  <si>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</si>
  <si>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</si>
  <si>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</si>
  <si>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</si>
  <si>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</si>
  <si>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</si>
  <si>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</si>
  <si>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</si>
  <si>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</si>
  <si>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</si>
  <si>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</si>
  <si>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</si>
  <si>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</si>
  <si>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</si>
  <si>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</si>
  <si>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</si>
  <si>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</si>
  <si>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</si>
  <si>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</si>
  <si>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</si>
  <si>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</si>
  <si>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</si>
  <si>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</si>
  <si>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</si>
  <si>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</si>
  <si>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</si>
  <si>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</si>
  <si>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</si>
  <si>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</si>
  <si>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</si>
  <si>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</si>
  <si>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</si>
  <si>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</si>
  <si>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</si>
  <si>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</si>
  <si>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</si>
  <si>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</si>
  <si>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</si>
  <si>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</si>
  <si>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</si>
  <si>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</si>
  <si>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</si>
  <si>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</si>
  <si>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</si>
  <si>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</si>
  <si>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</si>
  <si>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</si>
  <si>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</si>
  <si>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</si>
  <si>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</si>
  <si>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</si>
  <si>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</si>
  <si>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</si>
  <si>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</si>
  <si>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</si>
  <si>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</si>
  <si>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</si>
  <si>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</si>
  <si>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</si>
  <si>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</si>
  <si>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</si>
  <si>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</si>
  <si>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</si>
  <si>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</si>
  <si>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</si>
  <si>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</si>
  <si>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</si>
  <si>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</si>
  <si>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</si>
  <si>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</si>
  <si>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</si>
  <si>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</si>
  <si>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</si>
  <si>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</si>
  <si>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</si>
  <si>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</si>
  <si>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</si>
  <si>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</si>
  <si>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</si>
  <si>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</si>
  <si>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</si>
  <si>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</si>
  <si>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</si>
  <si>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</si>
  <si>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</si>
  <si>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</si>
  <si>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</si>
  <si>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</si>
  <si>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</si>
  <si>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</si>
  <si>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</si>
  <si>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</si>
  <si>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</si>
  <si>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</si>
  <si>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</si>
  <si>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</si>
  <si>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</si>
  <si>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</si>
  <si>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</si>
  <si>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</si>
  <si>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</si>
  <si>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</si>
  <si>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</si>
  <si>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</si>
  <si>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</si>
  <si>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</si>
  <si>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</si>
  <si>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</si>
  <si>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1. Summ tab changed proposed year expenditure column to 'Budget Authority for Expenditures'</t>
  </si>
  <si>
    <t>1.Tabs levy page 9 to 13 changed cell reference for current ad valorem taxes</t>
  </si>
  <si>
    <t>2. Tab levy page 11 cell D7 change current budget authority reference</t>
  </si>
  <si>
    <t>3. Tab Cert corrected cells for the ad valorem column to link correctly with the fund pages</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</si>
  <si>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</si>
  <si>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</si>
  <si>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</si>
  <si>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</si>
  <si>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</si>
  <si>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</si>
  <si>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</si>
  <si>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</si>
  <si>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</si>
  <si>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</si>
  <si>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</si>
  <si>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</si>
  <si>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</si>
  <si>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</si>
  <si>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</si>
  <si>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</si>
  <si>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</si>
  <si>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</si>
  <si>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</si>
  <si>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</si>
  <si>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</si>
  <si>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</si>
  <si>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</si>
  <si>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</si>
  <si>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</si>
  <si>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</si>
  <si>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</si>
  <si>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</si>
  <si>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</si>
  <si>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</si>
  <si>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</si>
  <si>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</si>
  <si>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</si>
  <si>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</si>
  <si>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</si>
  <si>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</si>
  <si>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</si>
  <si>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</si>
  <si>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</si>
  <si>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</si>
  <si>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</si>
  <si>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</si>
  <si>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</si>
  <si>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</si>
  <si>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</si>
  <si>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</si>
  <si>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</si>
  <si>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</si>
  <si>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</si>
  <si>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</si>
  <si>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</si>
  <si>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</si>
  <si>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</si>
  <si>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</si>
  <si>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</si>
  <si>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</si>
  <si>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</si>
  <si>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</si>
  <si>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</si>
  <si>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</si>
  <si>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</si>
  <si>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</si>
  <si>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</si>
  <si>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</si>
  <si>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</si>
  <si>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</si>
  <si>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</si>
  <si>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</si>
  <si>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</si>
  <si>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</si>
  <si>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</si>
  <si>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</si>
  <si>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</si>
  <si>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</si>
  <si>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</si>
  <si>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</si>
  <si>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</si>
  <si>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</si>
  <si>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</si>
  <si>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</si>
  <si>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</si>
  <si>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</si>
  <si>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</si>
  <si>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</si>
  <si>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</si>
  <si>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</si>
  <si>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</si>
  <si>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</si>
  <si>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</si>
  <si>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</si>
  <si>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</si>
  <si>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</si>
  <si>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</si>
  <si>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</si>
  <si>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</si>
  <si>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</si>
  <si>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</si>
  <si>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</si>
  <si>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</si>
  <si>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</si>
  <si>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</si>
  <si>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</si>
  <si>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</si>
  <si>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</si>
  <si>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</si>
  <si>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</si>
  <si>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</si>
  <si>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</si>
  <si>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</si>
  <si>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</si>
  <si>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</si>
  <si>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</si>
  <si>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</si>
  <si>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</si>
  <si>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</si>
  <si>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</si>
  <si>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</si>
  <si>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</si>
  <si>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</si>
  <si>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</si>
  <si>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</si>
  <si>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</si>
  <si>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</si>
  <si>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</si>
  <si>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</si>
  <si>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</si>
  <si>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</si>
  <si>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</si>
  <si>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</si>
  <si>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</si>
  <si>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</si>
  <si>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</si>
  <si>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</si>
  <si>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</si>
  <si>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</si>
  <si>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</si>
  <si>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</si>
  <si>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</si>
  <si>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</si>
  <si>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</si>
  <si>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</si>
  <si>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</si>
  <si>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</si>
  <si>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</si>
  <si>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</si>
  <si>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</si>
  <si>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</si>
  <si>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</si>
  <si>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</si>
  <si>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</si>
  <si>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</si>
  <si>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</si>
  <si>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</si>
  <si>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</si>
  <si>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</si>
  <si>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</si>
  <si>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</si>
  <si>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</si>
  <si>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</si>
  <si>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</si>
  <si>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</si>
  <si>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</si>
  <si>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</si>
  <si>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</si>
  <si>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</si>
  <si>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</si>
  <si>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</si>
  <si>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showing new table on Certificate page for Library tab</t>
  </si>
  <si>
    <t>1. Library Grant tab, updated State Library e-mail contact address</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</si>
  <si>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</si>
  <si>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</si>
  <si>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</si>
  <si>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</si>
  <si>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</si>
  <si>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1.  Added "ordinance required?  yes/no" message to area adjacent to each tax levy fund</t>
  </si>
  <si>
    <t>1.  Corrected formula in cell e28 of Library Grant tab</t>
  </si>
  <si>
    <t>1.  Instruction tab narrative modification</t>
  </si>
  <si>
    <t>1.  Inserted missing formula in cell d47 of Library fund</t>
  </si>
  <si>
    <t>1.  "Budget Authority Amount" cell added to budget year column of all funds.</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</si>
  <si>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</si>
  <si>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</si>
  <si>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</si>
  <si>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</si>
  <si>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</si>
  <si>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</si>
  <si>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</si>
  <si>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</si>
  <si>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</si>
  <si>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</si>
  <si>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</si>
  <si>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</si>
  <si>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</si>
  <si>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</si>
  <si>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</si>
  <si>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</si>
  <si>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</si>
  <si>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</si>
  <si>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</si>
  <si>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 xml:space="preserve">Sample Notice of Vote Publication </t>
  </si>
  <si>
    <t>Sample Notice of Vote Publication</t>
  </si>
  <si>
    <t>Pursuant to K.S.A. 79-2925b, as amended by 2014 House Bill 2047</t>
  </si>
  <si>
    <t>Total Property Tax Levied</t>
  </si>
  <si>
    <t xml:space="preserve">Approved (vote) </t>
  </si>
  <si>
    <t>to</t>
  </si>
  <si>
    <t>The following changes were made to this workbook on 5/7/14</t>
  </si>
  <si>
    <t>1.  Several changes to workbook associated with 2014 HB 2047.</t>
  </si>
  <si>
    <t>The following changes were made to this workbook on 4/4/14</t>
  </si>
  <si>
    <t>The following changes were made to this workbook on 6/10/13</t>
  </si>
  <si>
    <t>The following changes were made to this workbook on 3/21/13</t>
  </si>
  <si>
    <t>The following changes were made to this workbook on 1/31/13</t>
  </si>
  <si>
    <t>The following changes were made to this workbook on 10/8/12</t>
  </si>
  <si>
    <t>The following changes were made to this workbook on 6/13/12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</si>
  <si>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</si>
  <si>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</si>
  <si>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</si>
  <si>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</si>
  <si>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6/23/11</t>
  </si>
  <si>
    <t>The following changes were made to this workbook on 6/17/11</t>
  </si>
  <si>
    <t>The following changes were made to this workbook on 4/19/11</t>
  </si>
  <si>
    <t>The following changes were made to this workbook on 4/8/11</t>
  </si>
  <si>
    <t>The following changes were made to this workbook on 8/29/10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</si>
  <si>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</si>
  <si>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</si>
  <si>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</si>
  <si>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</si>
  <si>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on7/16/09</t>
  </si>
  <si>
    <t>The following changes were made to this workbook on 3/19/09</t>
  </si>
  <si>
    <t>1.  Correction to formula in cell j44 of the computation tab worksheet.</t>
  </si>
  <si>
    <t>The following changes were made to this workbook on 7/9/14</t>
  </si>
  <si>
    <t xml:space="preserve">megan.schulz@library.ks.gov </t>
  </si>
  <si>
    <t>1.  Update of State Library contact name on library grant tab.</t>
  </si>
  <si>
    <t>The following changes were made to this workbook on 8/7/14</t>
  </si>
  <si>
    <t>City2 Budget Workbook Instructions</t>
  </si>
  <si>
    <t>Input Sheet for City2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</si>
  <si>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</si>
  <si>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</si>
  <si>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</si>
  <si>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</si>
  <si>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</si>
  <si>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</si>
  <si>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How to Compute the Value of One Mill, and the Impact of Tax Dollars and Assessed Valuation on Mill Rates</t>
  </si>
  <si>
    <t>Commercial Vehicle Tax Estimate</t>
  </si>
  <si>
    <t>Watercraft Tax Estimate</t>
  </si>
  <si>
    <t>Comm Veh</t>
  </si>
  <si>
    <t>Watercraft</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</si>
  <si>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</si>
  <si>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</si>
  <si>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</si>
  <si>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</si>
  <si>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</si>
  <si>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</si>
  <si>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</si>
  <si>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</si>
  <si>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</si>
  <si>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The following changes were made to this workbook on 9/23/14</t>
  </si>
  <si>
    <t>1.  Various workbook changes associated with commercial vehicle and watercraft tax estimates.</t>
  </si>
  <si>
    <t xml:space="preserve">Allocation of MV, RV, 16/20M, Commercial Vehicle, and Watercraft Tax Estimates </t>
  </si>
  <si>
    <t>The following changes were made to this workbook on 1/21/15</t>
  </si>
  <si>
    <t>1.  Inserted 2014 CPI percentage on computation tab.</t>
  </si>
  <si>
    <t>2.  Corrected formula in cell d24 of library grant tab.</t>
  </si>
  <si>
    <t>The following changes were made to this workbook on 9/3/2015</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</si>
  <si>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</si>
  <si>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</si>
  <si>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</si>
  <si>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</si>
  <si>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</si>
  <si>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</si>
  <si>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</si>
  <si>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</si>
  <si>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The following changes were made to this workbook on 2/2/2016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</si>
  <si>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</si>
  <si>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</si>
  <si>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</si>
  <si>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</si>
  <si>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</si>
  <si>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</si>
  <si>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</si>
  <si>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Property that has changed in use for 2016</t>
  </si>
  <si>
    <t xml:space="preserve">Please read these instructions carefully.  If after reviewing them you still have questions, call Rico Aguayo at 785.296.6033 or email to armunis@ks.gov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</si>
  <si>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</si>
  <si>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</si>
  <si>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</si>
  <si>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Election Required - Review HB2088 Template.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</si>
</sst>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10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972">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572"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571"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7" borderId="12"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0" fontId="5" fillId="34" borderId="16"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0" fontId="5" fillId="34" borderId="18" xfId="0" applyFont="1" applyFill="1" applyBorder="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7"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6"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9" borderId="10" xfId="0" applyFont="1" applyFill="1" applyBorder="1" applyAlignment="1" applyProtection="1">
      <alignment vertical="center"/>
      <protection/>
    </xf>
    <xf numFmtId="37" fontId="5" fillId="39" borderId="10" xfId="0" applyNumberFormat="1" applyFont="1" applyFill="1" applyBorder="1" applyAlignment="1" applyProtection="1">
      <alignment vertical="center"/>
      <protection/>
    </xf>
    <xf numFmtId="0" fontId="0" fillId="39" borderId="10" xfId="0" applyFill="1" applyBorder="1" applyAlignment="1" applyProtection="1">
      <alignment vertical="center"/>
      <protection/>
    </xf>
    <xf numFmtId="0" fontId="17" fillId="39"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7" xfId="0" applyNumberFormat="1" applyFont="1" applyFill="1" applyBorder="1" applyAlignment="1" applyProtection="1">
      <alignment horizontal="right" vertical="center"/>
      <protection/>
    </xf>
    <xf numFmtId="3" fontId="5" fillId="34" borderId="17"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7"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572"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39" borderId="20" xfId="0" applyNumberFormat="1" applyFont="1" applyFill="1" applyBorder="1" applyAlignment="1" applyProtection="1">
      <alignment horizontal="center" vertical="center"/>
      <protection/>
    </xf>
    <xf numFmtId="37" fontId="17" fillId="39"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39"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39"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39" borderId="0" xfId="0" applyNumberFormat="1" applyFont="1" applyFill="1" applyAlignment="1">
      <alignment horizontal="center" vertical="center"/>
    </xf>
    <xf numFmtId="37" fontId="4" fillId="41" borderId="10" xfId="0" applyNumberFormat="1" applyFont="1" applyFill="1" applyBorder="1" applyAlignment="1" applyProtection="1">
      <alignment vertical="center"/>
      <protection/>
    </xf>
    <xf numFmtId="37" fontId="5" fillId="41" borderId="10" xfId="0" applyNumberFormat="1" applyFont="1" applyFill="1" applyBorder="1" applyAlignment="1" applyProtection="1">
      <alignment vertical="center"/>
      <protection/>
    </xf>
    <xf numFmtId="0" fontId="5" fillId="0" borderId="0" xfId="530" applyFont="1" applyAlignment="1">
      <alignment vertical="center"/>
      <protection/>
    </xf>
    <xf numFmtId="0" fontId="5" fillId="0" borderId="0" xfId="182" applyFont="1" applyAlignment="1">
      <alignment vertical="center" wrapText="1"/>
      <protection/>
    </xf>
    <xf numFmtId="0" fontId="5" fillId="33" borderId="11"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29" fillId="0" borderId="0" xfId="536">
      <alignment/>
      <protection/>
    </xf>
    <xf numFmtId="0" fontId="5" fillId="0" borderId="0" xfId="536" applyFont="1" applyAlignment="1">
      <alignment horizontal="left" vertical="center"/>
      <protection/>
    </xf>
    <xf numFmtId="189" fontId="13" fillId="0" borderId="0" xfId="536" applyNumberFormat="1" applyFont="1" applyAlignment="1">
      <alignment horizontal="left" vertical="center"/>
      <protection/>
    </xf>
    <xf numFmtId="49" fontId="5" fillId="0" borderId="0" xfId="536" applyNumberFormat="1" applyFont="1" applyAlignment="1">
      <alignment horizontal="left" vertical="center"/>
      <protection/>
    </xf>
    <xf numFmtId="0" fontId="13" fillId="0" borderId="0" xfId="536" applyFont="1" applyAlignment="1">
      <alignment horizontal="left" vertical="center"/>
      <protection/>
    </xf>
    <xf numFmtId="190" fontId="13" fillId="0" borderId="0" xfId="536" applyNumberFormat="1" applyFont="1" applyAlignment="1">
      <alignment horizontal="left" vertical="center"/>
      <protection/>
    </xf>
    <xf numFmtId="0" fontId="0" fillId="0" borderId="0" xfId="235" applyFont="1" applyFill="1">
      <alignment/>
      <protection/>
    </xf>
    <xf numFmtId="0" fontId="0" fillId="0" borderId="0" xfId="235"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46" applyFont="1" applyAlignment="1">
      <alignment vertical="center"/>
      <protection/>
    </xf>
    <xf numFmtId="0" fontId="6" fillId="0" borderId="0" xfId="151" applyFont="1" applyAlignment="1">
      <alignment vertical="center"/>
      <protection/>
    </xf>
    <xf numFmtId="0" fontId="5" fillId="34" borderId="0" xfId="0" applyFont="1" applyFill="1" applyAlignment="1">
      <alignment/>
    </xf>
    <xf numFmtId="0" fontId="89"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0" borderId="20" xfId="0" applyNumberFormat="1" applyFont="1" applyFill="1" applyBorder="1" applyAlignment="1" applyProtection="1">
      <alignment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117" applyFont="1" applyFill="1" applyAlignment="1" applyProtection="1">
      <alignment horizontal="right" vertical="center"/>
      <protection/>
    </xf>
    <xf numFmtId="0" fontId="0" fillId="0" borderId="0" xfId="112">
      <alignment/>
      <protection/>
    </xf>
    <xf numFmtId="0" fontId="5" fillId="34" borderId="0" xfId="112" applyFont="1" applyFill="1" applyAlignment="1" applyProtection="1">
      <alignment vertical="center"/>
      <protection/>
    </xf>
    <xf numFmtId="0" fontId="5" fillId="0" borderId="0" xfId="112" applyFont="1" applyAlignment="1" applyProtection="1">
      <alignment vertical="center"/>
      <protection locked="0"/>
    </xf>
    <xf numFmtId="37" fontId="5" fillId="34" borderId="0" xfId="112" applyNumberFormat="1" applyFont="1" applyFill="1" applyAlignment="1" applyProtection="1">
      <alignment horizontal="left" vertical="center"/>
      <protection/>
    </xf>
    <xf numFmtId="0" fontId="4" fillId="34" borderId="0" xfId="112" applyFont="1" applyFill="1" applyAlignment="1" applyProtection="1">
      <alignment vertical="center"/>
      <protection/>
    </xf>
    <xf numFmtId="3" fontId="5" fillId="33" borderId="10" xfId="112" applyNumberFormat="1" applyFont="1" applyFill="1" applyBorder="1" applyAlignment="1" applyProtection="1">
      <alignment vertical="center"/>
      <protection locked="0"/>
    </xf>
    <xf numFmtId="3" fontId="5" fillId="35" borderId="10" xfId="112" applyNumberFormat="1" applyFont="1" applyFill="1" applyBorder="1" applyAlignment="1" applyProtection="1">
      <alignment vertical="center"/>
      <protection/>
    </xf>
    <xf numFmtId="0" fontId="5" fillId="34" borderId="0" xfId="112" applyFont="1" applyFill="1" applyAlignment="1" applyProtection="1">
      <alignment vertical="center"/>
      <protection locked="0"/>
    </xf>
    <xf numFmtId="0" fontId="0" fillId="0" borderId="0" xfId="112" applyAlignment="1">
      <alignment vertical="center"/>
      <protection/>
    </xf>
    <xf numFmtId="1" fontId="5" fillId="34" borderId="0" xfId="112" applyNumberFormat="1" applyFont="1" applyFill="1" applyBorder="1" applyAlignment="1" applyProtection="1">
      <alignment horizontal="right" vertical="center"/>
      <protection/>
    </xf>
    <xf numFmtId="37" fontId="5" fillId="34" borderId="0" xfId="112" applyNumberFormat="1" applyFont="1" applyFill="1" applyAlignment="1" applyProtection="1" quotePrefix="1">
      <alignment horizontal="right" vertical="center"/>
      <protection/>
    </xf>
    <xf numFmtId="37" fontId="5" fillId="34" borderId="20" xfId="112" applyNumberFormat="1" applyFont="1" applyFill="1" applyBorder="1" applyAlignment="1" applyProtection="1">
      <alignment horizontal="left" vertical="center"/>
      <protection/>
    </xf>
    <xf numFmtId="3" fontId="5" fillId="34" borderId="10" xfId="112" applyNumberFormat="1" applyFont="1" applyFill="1" applyBorder="1" applyAlignment="1" applyProtection="1">
      <alignment vertical="center"/>
      <protection/>
    </xf>
    <xf numFmtId="37" fontId="5" fillId="34" borderId="20" xfId="112" applyNumberFormat="1" applyFont="1" applyFill="1" applyBorder="1" applyAlignment="1" applyProtection="1">
      <alignment vertical="center"/>
      <protection/>
    </xf>
    <xf numFmtId="0" fontId="5" fillId="34" borderId="20" xfId="112" applyFont="1" applyFill="1" applyBorder="1" applyAlignment="1" applyProtection="1">
      <alignment vertical="center"/>
      <protection/>
    </xf>
    <xf numFmtId="37" fontId="5" fillId="34" borderId="0" xfId="112" applyNumberFormat="1" applyFont="1" applyFill="1" applyAlignment="1" applyProtection="1">
      <alignment vertical="center"/>
      <protection/>
    </xf>
    <xf numFmtId="0" fontId="5" fillId="34" borderId="0" xfId="112" applyFont="1" applyFill="1" applyAlignment="1" applyProtection="1">
      <alignment horizontal="right" vertical="center"/>
      <protection/>
    </xf>
    <xf numFmtId="37" fontId="5" fillId="34" borderId="0" xfId="112" applyNumberFormat="1" applyFont="1" applyFill="1" applyAlignment="1" applyProtection="1">
      <alignment horizontal="right" vertical="center"/>
      <protection/>
    </xf>
    <xf numFmtId="37" fontId="5" fillId="34" borderId="0" xfId="112" applyNumberFormat="1" applyFont="1" applyFill="1" applyAlignment="1" applyProtection="1">
      <alignment horizontal="fill" vertical="center"/>
      <protection/>
    </xf>
    <xf numFmtId="37" fontId="5" fillId="34" borderId="25" xfId="112" applyNumberFormat="1" applyFont="1" applyFill="1" applyBorder="1" applyAlignment="1" applyProtection="1">
      <alignment horizontal="left" vertical="center"/>
      <protection/>
    </xf>
    <xf numFmtId="37" fontId="4" fillId="34" borderId="20" xfId="112" applyNumberFormat="1" applyFont="1" applyFill="1" applyBorder="1" applyAlignment="1" applyProtection="1">
      <alignment horizontal="left" vertical="center"/>
      <protection/>
    </xf>
    <xf numFmtId="0" fontId="17" fillId="0" borderId="0" xfId="112" applyFont="1" applyAlignment="1" applyProtection="1">
      <alignment vertical="center"/>
      <protection/>
    </xf>
    <xf numFmtId="0" fontId="15" fillId="34" borderId="0" xfId="112" applyFont="1" applyFill="1" applyAlignment="1" applyProtection="1">
      <alignment horizontal="center" vertical="center"/>
      <protection/>
    </xf>
    <xf numFmtId="37" fontId="5" fillId="33" borderId="20" xfId="112" applyNumberFormat="1" applyFont="1" applyFill="1" applyBorder="1" applyAlignment="1" applyProtection="1">
      <alignment horizontal="left" vertical="center"/>
      <protection locked="0"/>
    </xf>
    <xf numFmtId="3" fontId="4" fillId="35" borderId="10" xfId="112" applyNumberFormat="1" applyFont="1" applyFill="1" applyBorder="1" applyAlignment="1" applyProtection="1">
      <alignment vertical="center"/>
      <protection/>
    </xf>
    <xf numFmtId="0" fontId="5" fillId="34" borderId="20" xfId="112" applyFont="1" applyFill="1" applyBorder="1" applyAlignment="1" applyProtection="1">
      <alignment vertical="center"/>
      <protection locked="0"/>
    </xf>
    <xf numFmtId="3" fontId="5" fillId="34" borderId="10" xfId="112" applyNumberFormat="1" applyFont="1" applyFill="1" applyBorder="1" applyAlignment="1" applyProtection="1">
      <alignment horizontal="fill" vertical="center"/>
      <protection/>
    </xf>
    <xf numFmtId="0" fontId="5" fillId="33" borderId="20" xfId="112" applyFont="1" applyFill="1" applyBorder="1" applyAlignment="1" applyProtection="1">
      <alignment horizontal="left" vertical="center"/>
      <protection locked="0"/>
    </xf>
    <xf numFmtId="3" fontId="4" fillId="34" borderId="10" xfId="112" applyNumberFormat="1" applyFont="1" applyFill="1" applyBorder="1" applyAlignment="1" applyProtection="1">
      <alignment vertical="center"/>
      <protection/>
    </xf>
    <xf numFmtId="0" fontId="5" fillId="42" borderId="26" xfId="112" applyFont="1" applyFill="1" applyBorder="1" applyAlignment="1" applyProtection="1">
      <alignment vertical="center"/>
      <protection locked="0"/>
    </xf>
    <xf numFmtId="0" fontId="5" fillId="42" borderId="21" xfId="112" applyFont="1" applyFill="1" applyBorder="1" applyAlignment="1" applyProtection="1">
      <alignment vertical="center"/>
      <protection locked="0"/>
    </xf>
    <xf numFmtId="195" fontId="13" fillId="42" borderId="26" xfId="112" applyNumberFormat="1" applyFont="1" applyFill="1" applyBorder="1" applyAlignment="1" applyProtection="1">
      <alignment vertical="center"/>
      <protection locked="0"/>
    </xf>
    <xf numFmtId="195" fontId="13" fillId="42" borderId="25" xfId="112" applyNumberFormat="1" applyFont="1" applyFill="1" applyBorder="1" applyAlignment="1" applyProtection="1">
      <alignment horizontal="center" vertical="center"/>
      <protection locked="0"/>
    </xf>
    <xf numFmtId="195" fontId="13" fillId="42" borderId="26" xfId="112" applyNumberFormat="1" applyFont="1" applyFill="1" applyBorder="1" applyAlignment="1" applyProtection="1">
      <alignment horizontal="center" vertical="center"/>
      <protection locked="0"/>
    </xf>
    <xf numFmtId="0" fontId="13" fillId="42" borderId="0" xfId="112" applyFont="1" applyFill="1" applyBorder="1" applyAlignment="1" applyProtection="1">
      <alignment vertical="center"/>
      <protection locked="0"/>
    </xf>
    <xf numFmtId="0" fontId="13" fillId="42" borderId="0" xfId="112" applyFont="1" applyFill="1" applyBorder="1" applyAlignment="1" applyProtection="1">
      <alignment horizontal="left" vertical="center"/>
      <protection locked="0"/>
    </xf>
    <xf numFmtId="37" fontId="5" fillId="33" borderId="20" xfId="112" applyNumberFormat="1" applyFont="1" applyFill="1" applyBorder="1" applyAlignment="1" applyProtection="1">
      <alignment horizontal="right" vertical="center"/>
      <protection locked="0"/>
    </xf>
    <xf numFmtId="3" fontId="4" fillId="35" borderId="20" xfId="112" applyNumberFormat="1" applyFont="1" applyFill="1" applyBorder="1" applyAlignment="1" applyProtection="1">
      <alignment vertical="center"/>
      <protection/>
    </xf>
    <xf numFmtId="3" fontId="5" fillId="34" borderId="20" xfId="112" applyNumberFormat="1" applyFont="1" applyFill="1" applyBorder="1" applyAlignment="1" applyProtection="1">
      <alignment vertical="center"/>
      <protection/>
    </xf>
    <xf numFmtId="37" fontId="5" fillId="33" borderId="20" xfId="112" applyNumberFormat="1" applyFont="1" applyFill="1" applyBorder="1" applyAlignment="1" applyProtection="1">
      <alignment vertical="center"/>
      <protection locked="0"/>
    </xf>
    <xf numFmtId="3" fontId="5" fillId="33" borderId="20" xfId="112" applyNumberFormat="1" applyFont="1" applyFill="1" applyBorder="1" applyAlignment="1" applyProtection="1">
      <alignment vertical="center"/>
      <protection locked="0"/>
    </xf>
    <xf numFmtId="3" fontId="4" fillId="34" borderId="20" xfId="112" applyNumberFormat="1" applyFont="1" applyFill="1" applyBorder="1" applyAlignment="1" applyProtection="1">
      <alignment vertical="center"/>
      <protection/>
    </xf>
    <xf numFmtId="3" fontId="5" fillId="35" borderId="20" xfId="112" applyNumberFormat="1" applyFont="1" applyFill="1" applyBorder="1" applyAlignment="1" applyProtection="1">
      <alignment vertical="center"/>
      <protection/>
    </xf>
    <xf numFmtId="37" fontId="4" fillId="34" borderId="11" xfId="112" applyNumberFormat="1" applyFont="1" applyFill="1" applyBorder="1" applyAlignment="1" applyProtection="1">
      <alignment vertical="center"/>
      <protection/>
    </xf>
    <xf numFmtId="37" fontId="4" fillId="34" borderId="0" xfId="11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112" applyNumberFormat="1" applyFont="1" applyFill="1" applyBorder="1" applyAlignment="1" applyProtection="1">
      <alignment horizontal="center" vertical="center"/>
      <protection/>
    </xf>
    <xf numFmtId="37" fontId="5" fillId="34" borderId="14" xfId="11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3" borderId="0" xfId="0" applyFont="1" applyFill="1" applyAlignment="1">
      <alignment/>
    </xf>
    <xf numFmtId="0" fontId="33" fillId="42" borderId="0" xfId="0" applyFont="1" applyFill="1" applyAlignment="1">
      <alignment/>
    </xf>
    <xf numFmtId="0" fontId="90" fillId="43" borderId="0" xfId="0" applyFont="1" applyFill="1" applyAlignment="1">
      <alignment horizontal="center" wrapText="1"/>
    </xf>
    <xf numFmtId="0" fontId="90" fillId="42" borderId="0" xfId="0" applyFont="1" applyFill="1" applyAlignment="1">
      <alignment/>
    </xf>
    <xf numFmtId="0" fontId="33" fillId="42" borderId="0" xfId="0" applyFont="1" applyFill="1" applyAlignment="1">
      <alignment horizontal="center"/>
    </xf>
    <xf numFmtId="0" fontId="90" fillId="42" borderId="27" xfId="0" applyFont="1" applyFill="1" applyBorder="1" applyAlignment="1">
      <alignment/>
    </xf>
    <xf numFmtId="0" fontId="33" fillId="42" borderId="28" xfId="0" applyFont="1" applyFill="1" applyBorder="1" applyAlignment="1">
      <alignment/>
    </xf>
    <xf numFmtId="0" fontId="33" fillId="42" borderId="29" xfId="0" applyFont="1" applyFill="1" applyBorder="1" applyAlignment="1">
      <alignment/>
    </xf>
    <xf numFmtId="195" fontId="33" fillId="42" borderId="30" xfId="0" applyNumberFormat="1" applyFont="1" applyFill="1" applyBorder="1" applyAlignment="1">
      <alignment/>
    </xf>
    <xf numFmtId="0" fontId="33" fillId="42" borderId="0" xfId="0" applyFont="1" applyFill="1" applyBorder="1" applyAlignment="1">
      <alignment/>
    </xf>
    <xf numFmtId="0" fontId="33" fillId="42" borderId="31" xfId="0" applyFont="1" applyFill="1" applyBorder="1" applyAlignment="1">
      <alignment/>
    </xf>
    <xf numFmtId="0" fontId="33" fillId="42" borderId="32" xfId="0" applyFont="1" applyFill="1" applyBorder="1" applyAlignment="1">
      <alignment/>
    </xf>
    <xf numFmtId="0" fontId="33" fillId="42" borderId="33" xfId="0" applyFont="1" applyFill="1" applyBorder="1" applyAlignment="1">
      <alignment/>
    </xf>
    <xf numFmtId="0" fontId="33" fillId="42" borderId="34" xfId="0" applyFont="1" applyFill="1" applyBorder="1" applyAlignment="1">
      <alignment/>
    </xf>
    <xf numFmtId="0" fontId="33" fillId="42" borderId="27" xfId="0" applyFont="1" applyFill="1" applyBorder="1" applyAlignment="1">
      <alignment/>
    </xf>
    <xf numFmtId="0" fontId="33" fillId="42" borderId="35" xfId="0" applyFont="1" applyFill="1" applyBorder="1" applyAlignment="1">
      <alignment/>
    </xf>
    <xf numFmtId="195" fontId="33" fillId="44" borderId="30" xfId="0" applyNumberFormat="1" applyFont="1" applyFill="1" applyBorder="1" applyAlignment="1" applyProtection="1">
      <alignment horizontal="center"/>
      <protection locked="0"/>
    </xf>
    <xf numFmtId="188" fontId="33" fillId="42" borderId="0" xfId="0" applyNumberFormat="1" applyFont="1" applyFill="1" applyBorder="1" applyAlignment="1">
      <alignment horizontal="center"/>
    </xf>
    <xf numFmtId="0" fontId="91" fillId="0" borderId="0" xfId="0" applyFont="1" applyBorder="1" applyAlignment="1">
      <alignment/>
    </xf>
    <xf numFmtId="0" fontId="33" fillId="0" borderId="0" xfId="0" applyFont="1" applyBorder="1" applyAlignment="1">
      <alignment/>
    </xf>
    <xf numFmtId="0" fontId="90" fillId="0" borderId="0" xfId="0" applyFont="1" applyBorder="1" applyAlignment="1">
      <alignment horizontal="centerContinuous"/>
    </xf>
    <xf numFmtId="0" fontId="33" fillId="0" borderId="0" xfId="0" applyFont="1" applyBorder="1" applyAlignment="1">
      <alignment horizontal="centerContinuous"/>
    </xf>
    <xf numFmtId="0" fontId="33" fillId="43" borderId="0" xfId="0" applyFont="1" applyFill="1" applyBorder="1" applyAlignment="1">
      <alignment/>
    </xf>
    <xf numFmtId="0" fontId="33" fillId="42" borderId="36" xfId="0" applyFont="1" applyFill="1" applyBorder="1" applyAlignment="1">
      <alignment/>
    </xf>
    <xf numFmtId="0" fontId="33" fillId="42" borderId="19" xfId="0" applyFont="1" applyFill="1" applyBorder="1" applyAlignment="1">
      <alignment/>
    </xf>
    <xf numFmtId="0" fontId="33" fillId="42" borderId="37" xfId="0" applyFont="1" applyFill="1" applyBorder="1" applyAlignment="1">
      <alignment/>
    </xf>
    <xf numFmtId="5" fontId="33" fillId="42" borderId="33" xfId="0" applyNumberFormat="1" applyFont="1" applyFill="1" applyBorder="1" applyAlignment="1">
      <alignment horizontal="center"/>
    </xf>
    <xf numFmtId="0" fontId="33" fillId="42" borderId="33" xfId="0" applyFont="1" applyFill="1" applyBorder="1" applyAlignment="1">
      <alignment horizontal="center"/>
    </xf>
    <xf numFmtId="188" fontId="33" fillId="42" borderId="33" xfId="0" applyNumberFormat="1" applyFont="1" applyFill="1" applyBorder="1" applyAlignment="1">
      <alignment horizontal="center"/>
    </xf>
    <xf numFmtId="196" fontId="33" fillId="42" borderId="33" xfId="0" applyNumberFormat="1" applyFont="1" applyFill="1" applyBorder="1" applyAlignment="1">
      <alignment horizontal="center"/>
    </xf>
    <xf numFmtId="0" fontId="33" fillId="42" borderId="0" xfId="0" applyFont="1" applyFill="1" applyAlignment="1">
      <alignment horizontal="center" wrapText="1"/>
    </xf>
    <xf numFmtId="0" fontId="90" fillId="42" borderId="27" xfId="0" applyFont="1" applyFill="1" applyBorder="1" applyAlignment="1">
      <alignment/>
    </xf>
    <xf numFmtId="0" fontId="33" fillId="42" borderId="28" xfId="0" applyFont="1" applyFill="1" applyBorder="1" applyAlignment="1">
      <alignment/>
    </xf>
    <xf numFmtId="0" fontId="33" fillId="42" borderId="29" xfId="0" applyFont="1" applyFill="1" applyBorder="1" applyAlignment="1">
      <alignment/>
    </xf>
    <xf numFmtId="0" fontId="33" fillId="42" borderId="35" xfId="0" applyFont="1" applyFill="1" applyBorder="1" applyAlignment="1">
      <alignment/>
    </xf>
    <xf numFmtId="0" fontId="33" fillId="42" borderId="31" xfId="0" applyFont="1" applyFill="1" applyBorder="1" applyAlignment="1">
      <alignment/>
    </xf>
    <xf numFmtId="0" fontId="33" fillId="42" borderId="36" xfId="0" applyFont="1" applyFill="1" applyBorder="1" applyAlignment="1">
      <alignment/>
    </xf>
    <xf numFmtId="0" fontId="33" fillId="42" borderId="19" xfId="0" applyFont="1" applyFill="1" applyBorder="1" applyAlignment="1">
      <alignment/>
    </xf>
    <xf numFmtId="0" fontId="33" fillId="42" borderId="37" xfId="0" applyFont="1" applyFill="1" applyBorder="1" applyAlignment="1">
      <alignment/>
    </xf>
    <xf numFmtId="178" fontId="33" fillId="42" borderId="0" xfId="0" applyNumberFormat="1" applyFont="1" applyFill="1" applyBorder="1" applyAlignment="1">
      <alignment horizontal="center"/>
    </xf>
    <xf numFmtId="0" fontId="33" fillId="42" borderId="32" xfId="0" applyFont="1" applyFill="1" applyBorder="1" applyAlignment="1">
      <alignment/>
    </xf>
    <xf numFmtId="5" fontId="33" fillId="42" borderId="0" xfId="0" applyNumberFormat="1" applyFont="1" applyFill="1" applyBorder="1" applyAlignment="1">
      <alignment horizontal="center"/>
    </xf>
    <xf numFmtId="0" fontId="33" fillId="43" borderId="0" xfId="0" applyFont="1" applyFill="1" applyAlignment="1">
      <alignment/>
    </xf>
    <xf numFmtId="188" fontId="33" fillId="44" borderId="11" xfId="0" applyNumberFormat="1" applyFont="1" applyFill="1" applyBorder="1" applyAlignment="1" applyProtection="1">
      <alignment horizontal="center"/>
      <protection locked="0"/>
    </xf>
    <xf numFmtId="196" fontId="33" fillId="42" borderId="0" xfId="0" applyNumberFormat="1" applyFont="1" applyFill="1" applyBorder="1" applyAlignment="1">
      <alignment/>
    </xf>
    <xf numFmtId="0" fontId="33" fillId="45"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70"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112" applyNumberFormat="1" applyFont="1" applyFill="1" applyBorder="1" applyAlignment="1" applyProtection="1">
      <alignment horizontal="right" vertical="center"/>
      <protection locked="0"/>
    </xf>
    <xf numFmtId="0" fontId="5" fillId="0" borderId="0" xfId="117"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17" applyFont="1" applyAlignment="1">
      <alignment vertical="center"/>
      <protection/>
    </xf>
    <xf numFmtId="0" fontId="92" fillId="0" borderId="0" xfId="0" applyFont="1" applyAlignment="1">
      <alignment wrapText="1"/>
    </xf>
    <xf numFmtId="0" fontId="25" fillId="0" borderId="0" xfId="0" applyFont="1" applyAlignment="1">
      <alignment wrapText="1"/>
    </xf>
    <xf numFmtId="188" fontId="5" fillId="44" borderId="21" xfId="112" applyNumberFormat="1" applyFont="1" applyFill="1" applyBorder="1" applyAlignment="1" applyProtection="1">
      <alignment horizontal="center"/>
      <protection locked="0"/>
    </xf>
    <xf numFmtId="0" fontId="37" fillId="42" borderId="26" xfId="112" applyFont="1" applyFill="1" applyBorder="1" applyProtection="1">
      <alignment/>
      <protection/>
    </xf>
    <xf numFmtId="0" fontId="5" fillId="42" borderId="0" xfId="112" applyFont="1" applyFill="1" applyBorder="1" applyProtection="1">
      <alignment/>
      <protection/>
    </xf>
    <xf numFmtId="195" fontId="5" fillId="42" borderId="21" xfId="112" applyNumberFormat="1" applyFont="1" applyFill="1" applyBorder="1" applyAlignment="1" applyProtection="1">
      <alignment horizontal="center"/>
      <protection/>
    </xf>
    <xf numFmtId="0" fontId="5" fillId="42" borderId="25" xfId="112" applyFont="1" applyFill="1" applyBorder="1" applyProtection="1">
      <alignment/>
      <protection/>
    </xf>
    <xf numFmtId="0" fontId="5" fillId="42" borderId="11" xfId="112" applyFont="1" applyFill="1" applyBorder="1" applyProtection="1">
      <alignment/>
      <protection/>
    </xf>
    <xf numFmtId="195" fontId="5" fillId="46" borderId="16" xfId="112" applyNumberFormat="1" applyFont="1" applyFill="1" applyBorder="1" applyAlignment="1" applyProtection="1">
      <alignment horizontal="center"/>
      <protection/>
    </xf>
    <xf numFmtId="0" fontId="5" fillId="0" borderId="0" xfId="112" applyFont="1" applyFill="1" applyBorder="1" applyProtection="1">
      <alignment/>
      <protection/>
    </xf>
    <xf numFmtId="0" fontId="5" fillId="42" borderId="26" xfId="112" applyFont="1" applyFill="1" applyBorder="1" applyProtection="1">
      <alignment/>
      <protection/>
    </xf>
    <xf numFmtId="0" fontId="5" fillId="42" borderId="21" xfId="112" applyFont="1" applyFill="1" applyBorder="1" applyProtection="1">
      <alignment/>
      <protection/>
    </xf>
    <xf numFmtId="178" fontId="5" fillId="42" borderId="21" xfId="112" applyNumberFormat="1" applyFont="1" applyFill="1" applyBorder="1" applyAlignment="1" applyProtection="1">
      <alignment horizontal="center"/>
      <protection/>
    </xf>
    <xf numFmtId="0" fontId="5" fillId="46" borderId="26" xfId="112" applyFont="1" applyFill="1" applyBorder="1" applyProtection="1">
      <alignment/>
      <protection/>
    </xf>
    <xf numFmtId="0" fontId="5" fillId="46" borderId="0" xfId="112" applyFont="1" applyFill="1" applyBorder="1" applyProtection="1">
      <alignment/>
      <protection/>
    </xf>
    <xf numFmtId="0" fontId="5" fillId="46" borderId="25" xfId="112" applyFont="1" applyFill="1" applyBorder="1" applyProtection="1">
      <alignment/>
      <protection/>
    </xf>
    <xf numFmtId="0" fontId="5" fillId="46" borderId="11" xfId="112" applyFont="1" applyFill="1" applyBorder="1" applyProtection="1">
      <alignment/>
      <protection/>
    </xf>
    <xf numFmtId="0" fontId="5" fillId="0" borderId="0" xfId="112" applyFont="1" applyProtection="1">
      <alignment/>
      <protection/>
    </xf>
    <xf numFmtId="195" fontId="5" fillId="42" borderId="16" xfId="112" applyNumberFormat="1" applyFont="1" applyFill="1" applyBorder="1" applyAlignment="1" applyProtection="1">
      <alignment horizontal="center"/>
      <protection/>
    </xf>
    <xf numFmtId="0" fontId="6" fillId="0" borderId="0" xfId="152" applyFont="1" applyAlignment="1">
      <alignment vertical="center"/>
      <protection/>
    </xf>
    <xf numFmtId="0" fontId="93" fillId="0" borderId="0" xfId="0" applyFont="1" applyAlignment="1">
      <alignment vertical="center"/>
    </xf>
    <xf numFmtId="0" fontId="94" fillId="0" borderId="0" xfId="0" applyFont="1" applyAlignment="1" applyProtection="1">
      <alignment horizontal="center" vertical="center"/>
      <protection locked="0"/>
    </xf>
    <xf numFmtId="0" fontId="95"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96" applyNumberFormat="1" applyFont="1" applyFill="1" applyBorder="1" applyAlignment="1" applyProtection="1">
      <alignment horizontal="left" vertical="center"/>
      <protection locked="0"/>
    </xf>
    <xf numFmtId="0" fontId="5" fillId="33" borderId="20" xfId="117" applyNumberFormat="1" applyFont="1" applyFill="1" applyBorder="1" applyAlignment="1" applyProtection="1">
      <alignment horizontal="left" vertical="center"/>
      <protection locked="0"/>
    </xf>
    <xf numFmtId="0" fontId="5" fillId="42" borderId="0" xfId="112" applyFont="1" applyFill="1" applyBorder="1" applyAlignment="1" applyProtection="1">
      <alignment vertical="center"/>
      <protection locked="0"/>
    </xf>
    <xf numFmtId="0" fontId="5" fillId="42" borderId="0" xfId="112" applyFont="1" applyFill="1" applyBorder="1" applyAlignment="1" applyProtection="1">
      <alignment vertical="center"/>
      <protection/>
    </xf>
    <xf numFmtId="0" fontId="37" fillId="42" borderId="0" xfId="112" applyFont="1" applyFill="1" applyBorder="1" applyAlignment="1" applyProtection="1">
      <alignment vertical="center"/>
      <protection locked="0"/>
    </xf>
    <xf numFmtId="195" fontId="37" fillId="44" borderId="10" xfId="112" applyNumberFormat="1" applyFont="1" applyFill="1" applyBorder="1" applyAlignment="1" applyProtection="1">
      <alignment horizontal="center" vertical="center"/>
      <protection locked="0"/>
    </xf>
    <xf numFmtId="0" fontId="5" fillId="42" borderId="26" xfId="112" applyFont="1" applyFill="1" applyBorder="1" applyAlignment="1" applyProtection="1">
      <alignment vertical="center"/>
      <protection/>
    </xf>
    <xf numFmtId="0" fontId="5" fillId="42" borderId="21" xfId="112" applyFont="1" applyFill="1" applyBorder="1" applyAlignment="1" applyProtection="1">
      <alignment vertical="center"/>
      <protection/>
    </xf>
    <xf numFmtId="195" fontId="37" fillId="42" borderId="26" xfId="112" applyNumberFormat="1" applyFont="1" applyFill="1" applyBorder="1" applyAlignment="1" applyProtection="1">
      <alignment horizontal="center" vertical="center"/>
      <protection/>
    </xf>
    <xf numFmtId="0" fontId="37" fillId="42" borderId="0" xfId="112" applyFont="1" applyFill="1" applyBorder="1" applyAlignment="1" applyProtection="1">
      <alignment horizontal="left" vertical="center"/>
      <protection/>
    </xf>
    <xf numFmtId="0" fontId="37" fillId="42" borderId="21" xfId="112" applyFont="1" applyFill="1" applyBorder="1" applyAlignment="1" applyProtection="1">
      <alignment vertical="center"/>
      <protection/>
    </xf>
    <xf numFmtId="0" fontId="37" fillId="42" borderId="0" xfId="112" applyFont="1" applyFill="1" applyBorder="1" applyAlignment="1" applyProtection="1">
      <alignment vertical="center"/>
      <protection/>
    </xf>
    <xf numFmtId="195" fontId="37" fillId="42" borderId="25" xfId="112" applyNumberFormat="1" applyFont="1" applyFill="1" applyBorder="1" applyAlignment="1" applyProtection="1">
      <alignment horizontal="center" vertical="center"/>
      <protection/>
    </xf>
    <xf numFmtId="195" fontId="37" fillId="42" borderId="26" xfId="112" applyNumberFormat="1" applyFont="1" applyFill="1" applyBorder="1" applyAlignment="1" applyProtection="1">
      <alignment vertical="center"/>
      <protection/>
    </xf>
    <xf numFmtId="0" fontId="39" fillId="46" borderId="11" xfId="112" applyFont="1" applyFill="1" applyBorder="1" applyAlignment="1" applyProtection="1">
      <alignment vertical="center"/>
      <protection/>
    </xf>
    <xf numFmtId="0" fontId="37" fillId="46" borderId="16" xfId="112" applyFont="1" applyFill="1" applyBorder="1" applyAlignment="1" applyProtection="1">
      <alignment vertical="center"/>
      <protection/>
    </xf>
    <xf numFmtId="0" fontId="5" fillId="46" borderId="16" xfId="112" applyFont="1" applyFill="1" applyBorder="1" applyAlignment="1" applyProtection="1">
      <alignment vertical="center"/>
      <protection/>
    </xf>
    <xf numFmtId="0" fontId="37" fillId="42" borderId="26" xfId="112" applyFont="1" applyFill="1" applyBorder="1" applyAlignment="1" applyProtection="1">
      <alignment horizontal="left" vertical="center"/>
      <protection/>
    </xf>
    <xf numFmtId="195" fontId="39" fillId="46" borderId="25" xfId="112" applyNumberFormat="1" applyFont="1" applyFill="1" applyBorder="1" applyAlignment="1" applyProtection="1">
      <alignment horizontal="center" vertical="center"/>
      <protection/>
    </xf>
    <xf numFmtId="195" fontId="39" fillId="46" borderId="16" xfId="112" applyNumberFormat="1" applyFont="1" applyFill="1" applyBorder="1" applyAlignment="1" applyProtection="1">
      <alignment horizontal="center" vertical="center"/>
      <protection locked="0"/>
    </xf>
    <xf numFmtId="188" fontId="37" fillId="42" borderId="18" xfId="112" applyNumberFormat="1" applyFont="1" applyFill="1" applyBorder="1" applyAlignment="1" applyProtection="1">
      <alignment horizontal="center" vertical="center"/>
      <protection locked="0"/>
    </xf>
    <xf numFmtId="0" fontId="37" fillId="42" borderId="26" xfId="11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96" applyNumberFormat="1" applyFont="1" applyFill="1" applyBorder="1" applyAlignment="1" applyProtection="1">
      <alignment horizontal="center"/>
      <protection/>
    </xf>
    <xf numFmtId="37" fontId="5" fillId="34" borderId="14" xfId="96" applyNumberFormat="1" applyFont="1" applyFill="1" applyBorder="1" applyAlignment="1" applyProtection="1">
      <alignment horizontal="center"/>
      <protection/>
    </xf>
    <xf numFmtId="3" fontId="5" fillId="41"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90" fillId="42" borderId="35" xfId="0" applyFont="1" applyFill="1" applyBorder="1" applyAlignment="1">
      <alignment horizontal="centerContinuous" vertical="center"/>
    </xf>
    <xf numFmtId="195"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8" fontId="90" fillId="42" borderId="0" xfId="0" applyNumberFormat="1" applyFont="1" applyFill="1" applyBorder="1" applyAlignment="1" applyProtection="1">
      <alignment horizontal="centerContinuous" vertical="center"/>
      <protection locked="0"/>
    </xf>
    <xf numFmtId="196" fontId="90" fillId="42" borderId="0" xfId="0" applyNumberFormat="1" applyFont="1" applyFill="1" applyBorder="1" applyAlignment="1">
      <alignment horizontal="centerContinuous" vertical="center"/>
    </xf>
    <xf numFmtId="0" fontId="90" fillId="42" borderId="31" xfId="0" applyFont="1" applyFill="1" applyBorder="1" applyAlignment="1">
      <alignment horizontal="centerContinuous" vertical="center"/>
    </xf>
    <xf numFmtId="0" fontId="90" fillId="42" borderId="35" xfId="0" applyFont="1" applyFill="1" applyBorder="1" applyAlignment="1">
      <alignment horizontal="centerContinuous"/>
    </xf>
    <xf numFmtId="195"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8" fontId="90" fillId="42" borderId="0" xfId="0" applyNumberFormat="1" applyFont="1" applyFill="1" applyBorder="1" applyAlignment="1" applyProtection="1">
      <alignment horizontal="centerContinuous"/>
      <protection locked="0"/>
    </xf>
    <xf numFmtId="196" fontId="90" fillId="42" borderId="0" xfId="0" applyNumberFormat="1" applyFont="1" applyFill="1" applyBorder="1" applyAlignment="1">
      <alignment horizontal="centerContinuous"/>
    </xf>
    <xf numFmtId="0" fontId="90" fillId="42" borderId="31" xfId="0" applyFont="1" applyFill="1" applyBorder="1" applyAlignment="1">
      <alignment horizontal="centerContinuous"/>
    </xf>
    <xf numFmtId="195" fontId="33" fillId="0" borderId="0" xfId="0" applyNumberFormat="1" applyFont="1" applyAlignment="1">
      <alignment/>
    </xf>
    <xf numFmtId="195" fontId="33" fillId="42" borderId="33" xfId="0" applyNumberFormat="1" applyFont="1" applyFill="1" applyBorder="1" applyAlignment="1">
      <alignment horizontal="center"/>
    </xf>
    <xf numFmtId="188" fontId="33" fillId="42" borderId="33" xfId="0" applyNumberFormat="1" applyFont="1" applyFill="1" applyBorder="1" applyAlignment="1" applyProtection="1">
      <alignment horizontal="center"/>
      <protection locked="0"/>
    </xf>
    <xf numFmtId="196" fontId="33" fillId="42" borderId="33" xfId="0" applyNumberFormat="1" applyFont="1" applyFill="1" applyBorder="1" applyAlignment="1">
      <alignment/>
    </xf>
    <xf numFmtId="188" fontId="33" fillId="42" borderId="0" xfId="0" applyNumberFormat="1" applyFont="1" applyFill="1" applyBorder="1" applyAlignment="1" applyProtection="1">
      <alignment horizontal="center"/>
      <protection locked="0"/>
    </xf>
    <xf numFmtId="195" fontId="33" fillId="42" borderId="28" xfId="0" applyNumberFormat="1" applyFont="1" applyFill="1" applyBorder="1" applyAlignment="1">
      <alignment horizontal="center"/>
    </xf>
    <xf numFmtId="0" fontId="33" fillId="42" borderId="28" xfId="0" applyFont="1" applyFill="1" applyBorder="1" applyAlignment="1">
      <alignment horizontal="center"/>
    </xf>
    <xf numFmtId="188" fontId="33" fillId="42" borderId="28" xfId="0" applyNumberFormat="1" applyFont="1" applyFill="1" applyBorder="1" applyAlignment="1" applyProtection="1">
      <alignment horizontal="center"/>
      <protection locked="0"/>
    </xf>
    <xf numFmtId="196" fontId="33" fillId="42" borderId="28" xfId="0" applyNumberFormat="1" applyFont="1" applyFill="1" applyBorder="1" applyAlignment="1">
      <alignment/>
    </xf>
    <xf numFmtId="195" fontId="33" fillId="42" borderId="0" xfId="0" applyNumberFormat="1" applyFont="1" applyFill="1" applyBorder="1" applyAlignment="1" applyProtection="1">
      <alignment horizontal="center"/>
      <protection locked="0"/>
    </xf>
    <xf numFmtId="195" fontId="5" fillId="46" borderId="21" xfId="112" applyNumberFormat="1" applyFont="1" applyFill="1" applyBorder="1" applyAlignment="1" applyProtection="1">
      <alignment horizontal="center"/>
      <protection/>
    </xf>
    <xf numFmtId="0" fontId="5" fillId="46" borderId="25" xfId="0" applyFont="1" applyFill="1" applyBorder="1" applyAlignment="1">
      <alignment vertical="center"/>
    </xf>
    <xf numFmtId="0" fontId="5" fillId="46" borderId="11" xfId="0" applyFont="1" applyFill="1" applyBorder="1" applyAlignment="1">
      <alignment vertical="center"/>
    </xf>
    <xf numFmtId="195" fontId="5" fillId="46" borderId="16" xfId="0" applyNumberFormat="1" applyFont="1" applyFill="1" applyBorder="1" applyAlignment="1">
      <alignment horizontal="center" vertical="center"/>
    </xf>
    <xf numFmtId="195" fontId="33" fillId="42" borderId="0" xfId="0" applyNumberFormat="1" applyFont="1" applyFill="1" applyBorder="1" applyAlignment="1">
      <alignment horizontal="center"/>
    </xf>
    <xf numFmtId="196" fontId="33" fillId="42" borderId="0" xfId="0" applyNumberFormat="1" applyFont="1" applyFill="1" applyBorder="1" applyAlignment="1">
      <alignment horizontal="center"/>
    </xf>
    <xf numFmtId="0" fontId="90" fillId="42" borderId="0" xfId="0" applyFont="1" applyFill="1" applyAlignment="1">
      <alignment horizontal="center" wrapText="1"/>
    </xf>
    <xf numFmtId="0" fontId="33" fillId="42" borderId="0" xfId="0" applyFont="1" applyFill="1" applyBorder="1" applyAlignment="1">
      <alignment horizontal="center"/>
    </xf>
    <xf numFmtId="195" fontId="33" fillId="44" borderId="11" xfId="0" applyNumberFormat="1" applyFont="1" applyFill="1" applyBorder="1" applyAlignment="1" applyProtection="1">
      <alignment horizontal="center"/>
      <protection locked="0"/>
    </xf>
    <xf numFmtId="0" fontId="90" fillId="42" borderId="0" xfId="0" applyFont="1" applyFill="1" applyAlignment="1">
      <alignment horizontal="center"/>
    </xf>
    <xf numFmtId="0" fontId="33" fillId="42" borderId="0" xfId="0" applyFont="1" applyFill="1" applyBorder="1" applyAlignment="1">
      <alignment/>
    </xf>
    <xf numFmtId="0" fontId="33" fillId="42" borderId="34" xfId="0" applyFont="1" applyFill="1" applyBorder="1" applyAlignment="1">
      <alignment/>
    </xf>
    <xf numFmtId="0" fontId="33" fillId="42" borderId="19" xfId="0" applyFont="1" applyFill="1" applyBorder="1" applyAlignment="1">
      <alignment horizontal="center"/>
    </xf>
    <xf numFmtId="0" fontId="5" fillId="34" borderId="0" xfId="70" applyNumberFormat="1" applyFont="1" applyFill="1" applyBorder="1" applyAlignment="1" applyProtection="1">
      <alignment horizontal="right" vertical="center"/>
      <protection/>
    </xf>
    <xf numFmtId="0" fontId="5" fillId="0" borderId="0" xfId="152" applyFont="1" applyAlignment="1">
      <alignment vertical="center"/>
      <protection/>
    </xf>
    <xf numFmtId="0" fontId="5" fillId="34" borderId="13" xfId="0" applyFont="1" applyFill="1" applyBorder="1" applyAlignment="1" applyProtection="1">
      <alignment/>
      <protection/>
    </xf>
    <xf numFmtId="10"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6" fillId="0" borderId="0" xfId="0" applyFont="1" applyAlignment="1">
      <alignment/>
    </xf>
    <xf numFmtId="49" fontId="5" fillId="0" borderId="0" xfId="536" applyNumberFormat="1" applyFont="1" applyFill="1" applyAlignment="1" applyProtection="1">
      <alignment horizontal="left" vertical="center"/>
      <protection locked="0"/>
    </xf>
    <xf numFmtId="0" fontId="97" fillId="0" borderId="0" xfId="536" applyFont="1">
      <alignment/>
      <protection/>
    </xf>
    <xf numFmtId="189" fontId="98" fillId="0" borderId="0" xfId="536" applyNumberFormat="1" applyFont="1" applyAlignment="1">
      <alignment horizontal="left" vertical="center"/>
      <protection/>
    </xf>
    <xf numFmtId="0" fontId="98" fillId="0" borderId="0" xfId="536" applyNumberFormat="1" applyFont="1" applyAlignment="1">
      <alignment horizontal="left" vertical="center"/>
      <protection/>
    </xf>
    <xf numFmtId="1" fontId="98" fillId="0" borderId="0" xfId="536" applyNumberFormat="1" applyFont="1" applyAlignment="1">
      <alignment horizontal="left" vertical="center"/>
      <protection/>
    </xf>
    <xf numFmtId="0" fontId="99" fillId="0" borderId="0" xfId="536"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6" borderId="26" xfId="112" applyFont="1" applyFill="1" applyBorder="1" applyAlignment="1" applyProtection="1">
      <alignment vertical="center"/>
      <protection locked="0"/>
    </xf>
    <xf numFmtId="0" fontId="5" fillId="46" borderId="0" xfId="112" applyFont="1" applyFill="1" applyBorder="1" applyAlignment="1" applyProtection="1">
      <alignment vertical="center"/>
      <protection locked="0"/>
    </xf>
    <xf numFmtId="0" fontId="37" fillId="46" borderId="0" xfId="11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2" borderId="25" xfId="0" applyFont="1" applyFill="1" applyBorder="1" applyAlignment="1" applyProtection="1">
      <alignment vertical="center"/>
      <protection locked="0"/>
    </xf>
    <xf numFmtId="0" fontId="37" fillId="42" borderId="11" xfId="0" applyFont="1" applyFill="1" applyBorder="1" applyAlignment="1" applyProtection="1">
      <alignment vertical="center"/>
      <protection locked="0"/>
    </xf>
    <xf numFmtId="0" fontId="5" fillId="42" borderId="11" xfId="0" applyFont="1" applyFill="1" applyBorder="1" applyAlignment="1" applyProtection="1">
      <alignment vertical="center"/>
      <protection locked="0"/>
    </xf>
    <xf numFmtId="0" fontId="5" fillId="46" borderId="16" xfId="0" applyFont="1" applyFill="1" applyBorder="1" applyAlignment="1" applyProtection="1">
      <alignment vertical="center"/>
      <protection locked="0"/>
    </xf>
    <xf numFmtId="188" fontId="37" fillId="42" borderId="26" xfId="0" applyNumberFormat="1" applyFont="1" applyFill="1" applyBorder="1" applyAlignment="1" applyProtection="1">
      <alignment horizontal="center" vertical="center"/>
      <protection/>
    </xf>
    <xf numFmtId="0" fontId="37" fillId="42" borderId="0" xfId="0" applyFont="1" applyFill="1" applyBorder="1" applyAlignment="1" applyProtection="1">
      <alignment horizontal="left" vertical="center"/>
      <protection/>
    </xf>
    <xf numFmtId="0" fontId="38" fillId="42" borderId="0" xfId="0"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8" fontId="37" fillId="46" borderId="25" xfId="0" applyNumberFormat="1" applyFont="1" applyFill="1" applyBorder="1" applyAlignment="1" applyProtection="1">
      <alignment horizontal="center" vertical="center"/>
      <protection/>
    </xf>
    <xf numFmtId="188" fontId="37" fillId="42" borderId="20" xfId="0" applyNumberFormat="1" applyFont="1" applyFill="1" applyBorder="1" applyAlignment="1" applyProtection="1">
      <alignment horizontal="center" vertical="center"/>
      <protection/>
    </xf>
    <xf numFmtId="188" fontId="37" fillId="46" borderId="20" xfId="0" applyNumberFormat="1" applyFont="1" applyFill="1" applyBorder="1" applyAlignment="1" applyProtection="1">
      <alignment horizontal="center" vertical="center"/>
      <protection/>
    </xf>
    <xf numFmtId="0" fontId="37"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0" fontId="93" fillId="0" borderId="0" xfId="0" applyFont="1" applyAlignment="1" applyProtection="1">
      <alignment/>
      <protection locked="0"/>
    </xf>
    <xf numFmtId="195" fontId="13" fillId="46" borderId="25" xfId="112" applyNumberFormat="1" applyFont="1" applyFill="1" applyBorder="1" applyAlignment="1" applyProtection="1">
      <alignment horizontal="center" vertical="center"/>
      <protection locked="0"/>
    </xf>
    <xf numFmtId="0" fontId="13" fillId="46" borderId="11" xfId="112" applyFont="1" applyFill="1" applyBorder="1" applyAlignment="1" applyProtection="1">
      <alignment vertical="center"/>
      <protection locked="0"/>
    </xf>
    <xf numFmtId="0" fontId="5" fillId="46" borderId="16" xfId="112" applyFont="1" applyFill="1" applyBorder="1" applyAlignment="1" applyProtection="1">
      <alignment vertical="center"/>
      <protection locked="0"/>
    </xf>
    <xf numFmtId="0" fontId="5" fillId="42" borderId="21" xfId="0" applyFont="1" applyFill="1" applyBorder="1" applyAlignment="1" applyProtection="1">
      <alignment vertical="center"/>
      <protection locked="0"/>
    </xf>
    <xf numFmtId="3" fontId="5" fillId="39" borderId="15" xfId="112"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3" fontId="5" fillId="39" borderId="15" xfId="0" applyNumberFormat="1" applyFont="1" applyFill="1" applyBorder="1" applyAlignment="1" applyProtection="1">
      <alignment vertical="center"/>
      <protection/>
    </xf>
    <xf numFmtId="0" fontId="37" fillId="42" borderId="26" xfId="0" applyFont="1" applyFill="1" applyBorder="1" applyAlignment="1" applyProtection="1">
      <alignment vertical="center"/>
      <protection/>
    </xf>
    <xf numFmtId="0" fontId="5" fillId="42" borderId="0" xfId="0" applyFont="1" applyFill="1" applyBorder="1" applyAlignment="1" applyProtection="1">
      <alignment vertical="center"/>
      <protection/>
    </xf>
    <xf numFmtId="0" fontId="37" fillId="42" borderId="0" xfId="0" applyFont="1" applyFill="1" applyBorder="1" applyAlignment="1" applyProtection="1">
      <alignment vertical="center"/>
      <protection/>
    </xf>
    <xf numFmtId="195" fontId="37" fillId="42" borderId="21" xfId="0" applyNumberFormat="1" applyFont="1" applyFill="1" applyBorder="1" applyAlignment="1" applyProtection="1">
      <alignment horizontal="center" vertical="center"/>
      <protection/>
    </xf>
    <xf numFmtId="0" fontId="37" fillId="42" borderId="26" xfId="0" applyFont="1" applyFill="1" applyBorder="1" applyAlignment="1" applyProtection="1">
      <alignment horizontal="left" vertical="center"/>
      <protection/>
    </xf>
    <xf numFmtId="195" fontId="37" fillId="44" borderId="10" xfId="0" applyNumberFormat="1" applyFont="1" applyFill="1" applyBorder="1" applyAlignment="1" applyProtection="1">
      <alignment horizontal="center" vertical="center"/>
      <protection locked="0"/>
    </xf>
    <xf numFmtId="188" fontId="39" fillId="42" borderId="18" xfId="0" applyNumberFormat="1" applyFont="1" applyFill="1" applyBorder="1" applyAlignment="1" applyProtection="1">
      <alignment horizontal="center" vertical="center"/>
      <protection/>
    </xf>
    <xf numFmtId="0" fontId="39" fillId="46" borderId="26" xfId="0" applyFont="1" applyFill="1" applyBorder="1" applyAlignment="1" applyProtection="1">
      <alignment vertical="center"/>
      <protection/>
    </xf>
    <xf numFmtId="0" fontId="5" fillId="46" borderId="0" xfId="0" applyFont="1" applyFill="1" applyBorder="1" applyAlignment="1" applyProtection="1">
      <alignment vertical="center"/>
      <protection/>
    </xf>
    <xf numFmtId="0" fontId="37" fillId="46" borderId="0" xfId="0" applyFont="1" applyFill="1" applyBorder="1" applyAlignment="1" applyProtection="1">
      <alignment vertical="center"/>
      <protection/>
    </xf>
    <xf numFmtId="195" fontId="39" fillId="46"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2" borderId="11" xfId="0" applyFont="1" applyFill="1" applyBorder="1" applyAlignment="1">
      <alignment horizontal="left" vertical="center"/>
    </xf>
    <xf numFmtId="195" fontId="39" fillId="46" borderId="16" xfId="0" applyNumberFormat="1" applyFont="1" applyFill="1" applyBorder="1" applyAlignment="1" applyProtection="1">
      <alignment horizontal="center" vertical="center"/>
      <protection locked="0"/>
    </xf>
    <xf numFmtId="0" fontId="5" fillId="42" borderId="26" xfId="0" applyFont="1" applyFill="1" applyBorder="1" applyAlignment="1" applyProtection="1">
      <alignment vertical="center"/>
      <protection/>
    </xf>
    <xf numFmtId="0" fontId="5" fillId="42" borderId="21" xfId="0" applyFont="1" applyFill="1" applyBorder="1" applyAlignment="1" applyProtection="1">
      <alignment/>
      <protection locked="0"/>
    </xf>
    <xf numFmtId="195" fontId="37" fillId="42" borderId="26" xfId="0" applyNumberFormat="1" applyFont="1" applyFill="1" applyBorder="1" applyAlignment="1" applyProtection="1">
      <alignment horizontal="center" vertical="center"/>
      <protection/>
    </xf>
    <xf numFmtId="0" fontId="37" fillId="42" borderId="21" xfId="0" applyFont="1" applyFill="1" applyBorder="1" applyAlignment="1" applyProtection="1">
      <alignment vertical="center"/>
      <protection/>
    </xf>
    <xf numFmtId="195" fontId="37" fillId="42"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2" borderId="26" xfId="0" applyNumberFormat="1" applyFont="1" applyFill="1" applyBorder="1" applyAlignment="1" applyProtection="1">
      <alignment horizontal="center" vertical="center"/>
      <protection/>
    </xf>
    <xf numFmtId="0" fontId="5" fillId="42" borderId="21" xfId="0" applyFont="1" applyFill="1" applyBorder="1" applyAlignment="1" applyProtection="1">
      <alignment vertical="center"/>
      <protection/>
    </xf>
    <xf numFmtId="195" fontId="13" fillId="42" borderId="26" xfId="0" applyNumberFormat="1" applyFont="1" applyFill="1" applyBorder="1" applyAlignment="1" applyProtection="1">
      <alignment vertical="center"/>
      <protection/>
    </xf>
    <xf numFmtId="0" fontId="13" fillId="42" borderId="0" xfId="0" applyFont="1" applyFill="1" applyBorder="1" applyAlignment="1" applyProtection="1">
      <alignment vertical="center"/>
      <protection/>
    </xf>
    <xf numFmtId="195" fontId="13" fillId="42" borderId="25" xfId="0" applyNumberFormat="1" applyFont="1" applyFill="1" applyBorder="1" applyAlignment="1" applyProtection="1">
      <alignment horizontal="center" vertical="center"/>
      <protection/>
    </xf>
    <xf numFmtId="195" fontId="13" fillId="46" borderId="25" xfId="0" applyNumberFormat="1" applyFont="1" applyFill="1" applyBorder="1" applyAlignment="1" applyProtection="1">
      <alignment horizontal="center" vertical="center"/>
      <protection/>
    </xf>
    <xf numFmtId="0" fontId="13" fillId="46" borderId="11" xfId="0" applyFont="1" applyFill="1" applyBorder="1" applyAlignment="1" applyProtection="1">
      <alignment vertical="center"/>
      <protection/>
    </xf>
    <xf numFmtId="0" fontId="5" fillId="46" borderId="16" xfId="0" applyFont="1" applyFill="1" applyBorder="1" applyAlignment="1" applyProtection="1">
      <alignment vertical="center"/>
      <protection/>
    </xf>
    <xf numFmtId="0" fontId="5" fillId="46" borderId="16" xfId="0" applyFont="1" applyFill="1" applyBorder="1" applyAlignment="1" applyProtection="1">
      <alignment/>
      <protection locked="0"/>
    </xf>
    <xf numFmtId="0" fontId="93" fillId="0" borderId="0" xfId="0" applyFont="1" applyAlignment="1">
      <alignment/>
    </xf>
    <xf numFmtId="0" fontId="5" fillId="42" borderId="0" xfId="96" applyFont="1" applyFill="1">
      <alignment/>
      <protection/>
    </xf>
    <xf numFmtId="0" fontId="0" fillId="0" borderId="0" xfId="96">
      <alignment/>
      <protection/>
    </xf>
    <xf numFmtId="0" fontId="5" fillId="42" borderId="0" xfId="96" applyFont="1" applyFill="1" applyAlignment="1">
      <alignment vertical="center"/>
      <protection/>
    </xf>
    <xf numFmtId="37" fontId="5" fillId="42" borderId="0" xfId="96" applyNumberFormat="1" applyFont="1" applyFill="1" applyAlignment="1">
      <alignment vertical="center"/>
      <protection/>
    </xf>
    <xf numFmtId="0" fontId="5" fillId="42" borderId="11" xfId="96" applyFont="1" applyFill="1" applyBorder="1" applyAlignment="1">
      <alignment vertical="center"/>
      <protection/>
    </xf>
    <xf numFmtId="0" fontId="5" fillId="42" borderId="0" xfId="96" applyFont="1" applyFill="1" applyAlignment="1">
      <alignment horizontal="center" vertical="center"/>
      <protection/>
    </xf>
    <xf numFmtId="0" fontId="6" fillId="42" borderId="0" xfId="96" applyFont="1" applyFill="1" applyAlignment="1">
      <alignment horizontal="center" vertical="center"/>
      <protection/>
    </xf>
    <xf numFmtId="195" fontId="5" fillId="42" borderId="0" xfId="96" applyNumberFormat="1" applyFont="1" applyFill="1" applyAlignment="1">
      <alignment vertical="center"/>
      <protection/>
    </xf>
    <xf numFmtId="195" fontId="5" fillId="42" borderId="19" xfId="96" applyNumberFormat="1" applyFont="1" applyFill="1" applyBorder="1" applyAlignment="1">
      <alignment vertical="center"/>
      <protection/>
    </xf>
    <xf numFmtId="195" fontId="5" fillId="42" borderId="0" xfId="96" applyNumberFormat="1" applyFont="1" applyFill="1" applyBorder="1" applyAlignment="1">
      <alignment vertical="center"/>
      <protection/>
    </xf>
    <xf numFmtId="0" fontId="94" fillId="46" borderId="0" xfId="96" applyFont="1" applyFill="1" applyAlignment="1">
      <alignment vertical="center"/>
      <protection/>
    </xf>
    <xf numFmtId="0" fontId="94" fillId="42" borderId="0" xfId="96" applyFont="1" applyFill="1" applyAlignment="1">
      <alignment horizontal="center" vertical="center"/>
      <protection/>
    </xf>
    <xf numFmtId="188" fontId="5" fillId="42" borderId="0" xfId="96" applyNumberFormat="1" applyFont="1" applyFill="1" applyAlignment="1">
      <alignment horizontal="center" vertical="center"/>
      <protection/>
    </xf>
    <xf numFmtId="199" fontId="94" fillId="42" borderId="0" xfId="96" applyNumberFormat="1" applyFont="1" applyFill="1" applyAlignment="1">
      <alignment horizontal="center" vertical="center"/>
      <protection/>
    </xf>
    <xf numFmtId="0" fontId="94" fillId="46" borderId="0" xfId="96" applyFont="1" applyFill="1" applyAlignment="1">
      <alignment horizontal="center" vertical="center"/>
      <protection/>
    </xf>
    <xf numFmtId="0" fontId="100" fillId="46" borderId="0" xfId="96" applyFont="1" applyFill="1" applyAlignment="1">
      <alignment horizontal="center" vertical="center"/>
      <protection/>
    </xf>
    <xf numFmtId="0" fontId="5" fillId="42" borderId="0" xfId="96" applyFont="1" applyFill="1" applyAlignment="1">
      <alignment horizontal="right" vertical="center"/>
      <protection/>
    </xf>
    <xf numFmtId="0" fontId="5" fillId="42" borderId="0" xfId="96" applyFont="1" applyFill="1" applyAlignment="1">
      <alignment horizontal="left" vertical="center"/>
      <protection/>
    </xf>
    <xf numFmtId="0" fontId="5" fillId="42" borderId="0" xfId="90" applyFont="1" applyFill="1">
      <alignment/>
      <protection/>
    </xf>
    <xf numFmtId="0" fontId="0" fillId="42" borderId="0" xfId="96" applyFill="1">
      <alignment/>
      <protection/>
    </xf>
    <xf numFmtId="0" fontId="4" fillId="42" borderId="0" xfId="90" applyFont="1" applyFill="1">
      <alignment/>
      <protection/>
    </xf>
    <xf numFmtId="0" fontId="0" fillId="42" borderId="0" xfId="90" applyFill="1">
      <alignment/>
      <protection/>
    </xf>
    <xf numFmtId="0" fontId="11" fillId="0" borderId="0" xfId="70" applyAlignment="1" applyProtection="1">
      <alignment/>
      <protection/>
    </xf>
    <xf numFmtId="195" fontId="37" fillId="42" borderId="26" xfId="0" applyNumberFormat="1" applyFont="1" applyFill="1" applyBorder="1" applyAlignment="1" applyProtection="1">
      <alignment vertical="center"/>
      <protection/>
    </xf>
    <xf numFmtId="195" fontId="37" fillId="46" borderId="25" xfId="0" applyNumberFormat="1" applyFont="1" applyFill="1" applyBorder="1" applyAlignment="1" applyProtection="1">
      <alignment horizontal="center" vertical="center"/>
      <protection/>
    </xf>
    <xf numFmtId="0" fontId="37" fillId="46" borderId="11" xfId="0" applyFont="1" applyFill="1" applyBorder="1" applyAlignment="1" applyProtection="1">
      <alignment vertical="center"/>
      <protection/>
    </xf>
    <xf numFmtId="0" fontId="37" fillId="46" borderId="16"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2" borderId="0" xfId="96"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1" borderId="14" xfId="0" applyNumberFormat="1" applyFont="1" applyFill="1" applyBorder="1" applyAlignment="1" applyProtection="1">
      <alignment horizontal="right" vertical="center"/>
      <protection/>
    </xf>
    <xf numFmtId="188" fontId="5" fillId="41" borderId="14" xfId="0" applyNumberFormat="1" applyFont="1" applyFill="1" applyBorder="1" applyAlignment="1" applyProtection="1">
      <alignment horizontal="right" vertical="center"/>
      <protection/>
    </xf>
    <xf numFmtId="198" fontId="5" fillId="34" borderId="0" xfId="556" applyNumberFormat="1" applyFont="1" applyFill="1" applyAlignment="1" applyProtection="1">
      <alignment horizontal="center" vertical="center"/>
      <protection/>
    </xf>
    <xf numFmtId="37" fontId="5" fillId="0" borderId="0" xfId="90" applyNumberFormat="1" applyFont="1" applyFill="1" applyAlignment="1" applyProtection="1">
      <alignment horizontal="left" vertical="center" wrapText="1"/>
      <protection/>
    </xf>
    <xf numFmtId="0" fontId="5" fillId="0" borderId="0" xfId="559" applyFont="1" applyAlignment="1">
      <alignment vertical="center" wrapText="1"/>
      <protection/>
    </xf>
    <xf numFmtId="0" fontId="5" fillId="0" borderId="0" xfId="89" applyFont="1" applyAlignment="1">
      <alignment vertical="center" wrapText="1"/>
      <protection/>
    </xf>
    <xf numFmtId="0" fontId="5" fillId="0" borderId="0" xfId="90" applyFont="1" applyAlignment="1">
      <alignment vertical="center" wrapText="1"/>
      <protection/>
    </xf>
    <xf numFmtId="0" fontId="5" fillId="0" borderId="0" xfId="461" applyFont="1" applyAlignment="1">
      <alignment vertical="center" wrapText="1"/>
      <protection/>
    </xf>
    <xf numFmtId="0" fontId="5" fillId="0" borderId="0" xfId="494" applyNumberFormat="1" applyFont="1" applyAlignment="1">
      <alignment vertical="center" wrapText="1"/>
      <protection/>
    </xf>
    <xf numFmtId="0" fontId="5" fillId="0" borderId="0" xfId="101" applyFont="1" applyAlignment="1">
      <alignment vertical="center" wrapText="1"/>
      <protection/>
    </xf>
    <xf numFmtId="0" fontId="5" fillId="0" borderId="0" xfId="140" applyFont="1" applyAlignment="1">
      <alignment vertical="center" wrapText="1"/>
      <protection/>
    </xf>
    <xf numFmtId="0" fontId="5" fillId="0" borderId="0" xfId="147" applyFont="1" applyAlignment="1">
      <alignment vertical="center" wrapText="1"/>
      <protection/>
    </xf>
    <xf numFmtId="0" fontId="40" fillId="0" borderId="0" xfId="0" applyFont="1" applyAlignment="1" applyProtection="1">
      <alignment vertical="center"/>
      <protection/>
    </xf>
    <xf numFmtId="0" fontId="11" fillId="32" borderId="0" xfId="70" applyFill="1" applyAlignment="1" applyProtection="1">
      <alignment/>
      <protection/>
    </xf>
    <xf numFmtId="0" fontId="72" fillId="32" borderId="0" xfId="439" applyFill="1">
      <alignment/>
      <protection/>
    </xf>
    <xf numFmtId="0" fontId="72" fillId="0" borderId="0" xfId="439">
      <alignment/>
      <protection/>
    </xf>
    <xf numFmtId="0" fontId="5" fillId="0" borderId="0" xfId="195" applyFont="1" applyAlignment="1">
      <alignment vertical="center"/>
      <protection/>
    </xf>
    <xf numFmtId="3" fontId="5" fillId="42" borderId="10" xfId="0" applyNumberFormat="1" applyFont="1" applyFill="1" applyBorder="1" applyAlignment="1" applyProtection="1">
      <alignment vertical="center"/>
      <protection/>
    </xf>
    <xf numFmtId="3" fontId="5" fillId="34" borderId="0" xfId="112" applyNumberFormat="1" applyFont="1" applyFill="1" applyAlignment="1" applyProtection="1">
      <alignment horizontal="right" vertical="center"/>
      <protection/>
    </xf>
    <xf numFmtId="3" fontId="5" fillId="34" borderId="10" xfId="112" applyNumberFormat="1" applyFont="1" applyFill="1" applyBorder="1" applyAlignment="1" applyProtection="1">
      <alignment horizontal="right" vertical="center"/>
      <protection/>
    </xf>
    <xf numFmtId="0" fontId="5" fillId="34" borderId="0" xfId="112" applyFont="1" applyFill="1" applyAlignment="1" applyProtection="1">
      <alignment horizontal="left" vertical="center"/>
      <protection/>
    </xf>
    <xf numFmtId="3" fontId="5" fillId="35" borderId="12" xfId="0" applyNumberFormat="1" applyFont="1" applyFill="1" applyBorder="1" applyAlignment="1" applyProtection="1">
      <alignment vertical="center"/>
      <protection/>
    </xf>
    <xf numFmtId="37" fontId="15" fillId="34" borderId="19" xfId="0" applyNumberFormat="1" applyFont="1" applyFill="1" applyBorder="1" applyAlignment="1" applyProtection="1">
      <alignment horizontal="center" vertical="center"/>
      <protection/>
    </xf>
    <xf numFmtId="37" fontId="5" fillId="33" borderId="20" xfId="0" applyNumberFormat="1" applyFont="1" applyFill="1" applyBorder="1" applyAlignment="1" applyProtection="1">
      <alignment horizontal="left" vertical="center"/>
      <protection locked="0"/>
    </xf>
    <xf numFmtId="0" fontId="5" fillId="33" borderId="18" xfId="0" applyFont="1" applyFill="1" applyBorder="1" applyAlignment="1" applyProtection="1">
      <alignment vertical="center"/>
      <protection/>
    </xf>
    <xf numFmtId="49" fontId="5" fillId="33" borderId="20" xfId="536" applyNumberFormat="1" applyFont="1" applyFill="1" applyBorder="1" applyAlignment="1" applyProtection="1">
      <alignment horizontal="left" vertical="center"/>
      <protection locked="0"/>
    </xf>
    <xf numFmtId="49" fontId="5" fillId="33" borderId="18" xfId="536" applyNumberFormat="1" applyFont="1" applyFill="1" applyBorder="1" applyAlignment="1" applyProtection="1">
      <alignment horizontal="left" vertical="center"/>
      <protection locked="0"/>
    </xf>
    <xf numFmtId="49" fontId="5" fillId="33" borderId="10" xfId="536" applyNumberFormat="1" applyFont="1" applyFill="1" applyBorder="1" applyAlignment="1" applyProtection="1">
      <alignment horizontal="left" vertical="center"/>
      <protection locked="0"/>
    </xf>
    <xf numFmtId="0" fontId="5" fillId="33" borderId="20" xfId="536" applyFont="1" applyFill="1" applyBorder="1" applyAlignment="1" applyProtection="1">
      <alignment horizontal="left" vertical="center"/>
      <protection locked="0"/>
    </xf>
    <xf numFmtId="0" fontId="5" fillId="33" borderId="17" xfId="536" applyFont="1" applyFill="1" applyBorder="1" applyAlignment="1" applyProtection="1">
      <alignment horizontal="left" vertical="center"/>
      <protection locked="0"/>
    </xf>
    <xf numFmtId="0" fontId="29" fillId="33" borderId="18" xfId="536" applyFill="1" applyBorder="1" applyAlignment="1" applyProtection="1">
      <alignment horizontal="left" vertical="center"/>
      <protection locked="0"/>
    </xf>
    <xf numFmtId="0" fontId="7" fillId="34" borderId="0" xfId="90" applyFont="1" applyFill="1" applyAlignment="1" applyProtection="1">
      <alignment horizontal="center" vertical="center"/>
      <protection/>
    </xf>
    <xf numFmtId="3" fontId="5" fillId="34" borderId="0" xfId="90" applyNumberFormat="1" applyFont="1" applyFill="1" applyAlignment="1" applyProtection="1">
      <alignment vertical="center"/>
      <protection/>
    </xf>
    <xf numFmtId="3" fontId="5" fillId="34" borderId="11" xfId="90" applyNumberFormat="1" applyFont="1" applyFill="1" applyBorder="1" applyAlignment="1" applyProtection="1">
      <alignment vertical="center"/>
      <protection/>
    </xf>
    <xf numFmtId="3" fontId="5" fillId="34" borderId="0" xfId="90" applyNumberFormat="1" applyFont="1" applyFill="1" applyBorder="1" applyAlignment="1" applyProtection="1">
      <alignment vertical="center"/>
      <protection/>
    </xf>
    <xf numFmtId="0" fontId="5" fillId="34" borderId="0" xfId="90" applyFont="1" applyFill="1" applyAlignment="1" applyProtection="1">
      <alignment horizontal="left" vertical="center"/>
      <protection/>
    </xf>
    <xf numFmtId="0" fontId="5" fillId="42" borderId="0" xfId="90" applyFont="1" applyFill="1" applyAlignment="1" applyProtection="1">
      <alignment vertical="center"/>
      <protection/>
    </xf>
    <xf numFmtId="0" fontId="5" fillId="34" borderId="0" xfId="90" applyFont="1" applyFill="1" applyAlignment="1" applyProtection="1" quotePrefix="1">
      <alignment vertical="center"/>
      <protection/>
    </xf>
    <xf numFmtId="3" fontId="5" fillId="34" borderId="23" xfId="90" applyNumberFormat="1" applyFont="1" applyFill="1" applyBorder="1" applyAlignment="1" applyProtection="1">
      <alignment vertical="center"/>
      <protection/>
    </xf>
    <xf numFmtId="0" fontId="5" fillId="34" borderId="0" xfId="90" applyFont="1" applyFill="1" applyAlignment="1" applyProtection="1" quotePrefix="1">
      <alignment horizontal="left" vertical="center"/>
      <protection/>
    </xf>
    <xf numFmtId="10" fontId="5" fillId="34" borderId="0" xfId="90" applyNumberFormat="1" applyFont="1" applyFill="1" applyBorder="1" applyAlignment="1" applyProtection="1">
      <alignment vertical="center"/>
      <protection/>
    </xf>
    <xf numFmtId="0" fontId="7" fillId="34" borderId="0" xfId="90" applyFont="1" applyFill="1" applyAlignment="1" applyProtection="1">
      <alignment horizontal="left" vertical="center"/>
      <protection/>
    </xf>
    <xf numFmtId="37" fontId="5" fillId="46" borderId="10" xfId="0" applyNumberFormat="1" applyFont="1" applyFill="1" applyBorder="1" applyAlignment="1" applyProtection="1">
      <alignment horizontal="left" vertical="center"/>
      <protection/>
    </xf>
    <xf numFmtId="0" fontId="5" fillId="0" borderId="0" xfId="352" applyFont="1" applyAlignment="1">
      <alignment vertical="center" wrapText="1"/>
      <protection/>
    </xf>
    <xf numFmtId="0" fontId="5" fillId="0" borderId="0" xfId="162" applyFont="1" applyAlignment="1">
      <alignment vertical="center" wrapText="1"/>
      <protection/>
    </xf>
    <xf numFmtId="0" fontId="5" fillId="0" borderId="0" xfId="173" applyFont="1" applyAlignment="1">
      <alignment vertical="center" wrapText="1"/>
      <protection/>
    </xf>
    <xf numFmtId="0" fontId="72" fillId="45" borderId="0" xfId="440" applyFill="1" applyBorder="1">
      <alignment/>
      <protection/>
    </xf>
    <xf numFmtId="0" fontId="72" fillId="45" borderId="0" xfId="440" applyFill="1" applyBorder="1" applyAlignment="1">
      <alignment horizontal="left" vertical="center"/>
      <protection/>
    </xf>
    <xf numFmtId="0" fontId="72" fillId="45" borderId="0" xfId="440" applyFill="1" applyBorder="1" applyAlignment="1">
      <alignment horizontal="center" vertical="center"/>
      <protection/>
    </xf>
    <xf numFmtId="0" fontId="44" fillId="0" borderId="0" xfId="0" applyFont="1" applyAlignment="1">
      <alignment/>
    </xf>
    <xf numFmtId="0" fontId="72" fillId="45" borderId="0" xfId="440" applyFill="1">
      <alignment/>
      <protection/>
    </xf>
    <xf numFmtId="0" fontId="87" fillId="45" borderId="0" xfId="440" applyFont="1" applyFill="1" applyBorder="1">
      <alignment/>
      <protection/>
    </xf>
    <xf numFmtId="0" fontId="87" fillId="45" borderId="31" xfId="440" applyFont="1" applyFill="1" applyBorder="1">
      <alignment/>
      <protection/>
    </xf>
    <xf numFmtId="0" fontId="87" fillId="45" borderId="35" xfId="440" applyFont="1" applyFill="1" applyBorder="1">
      <alignment/>
      <protection/>
    </xf>
    <xf numFmtId="0" fontId="87" fillId="45" borderId="32" xfId="440" applyFont="1" applyFill="1" applyBorder="1">
      <alignment/>
      <protection/>
    </xf>
    <xf numFmtId="0" fontId="87" fillId="45" borderId="33" xfId="440" applyFont="1" applyFill="1" applyBorder="1">
      <alignment/>
      <protection/>
    </xf>
    <xf numFmtId="0" fontId="87" fillId="45" borderId="0" xfId="440" applyFont="1" applyFill="1" applyBorder="1" applyAlignment="1">
      <alignment horizontal="center"/>
      <protection/>
    </xf>
    <xf numFmtId="0" fontId="87" fillId="45" borderId="0" xfId="440" applyFont="1" applyFill="1" applyBorder="1" applyAlignment="1">
      <alignment horizontal="right"/>
      <protection/>
    </xf>
    <xf numFmtId="0" fontId="87" fillId="45" borderId="34" xfId="440" applyFont="1" applyFill="1" applyBorder="1">
      <alignment/>
      <protection/>
    </xf>
    <xf numFmtId="3" fontId="87" fillId="45" borderId="11" xfId="440" applyNumberFormat="1" applyFont="1" applyFill="1" applyBorder="1">
      <alignment/>
      <protection/>
    </xf>
    <xf numFmtId="3" fontId="87" fillId="45" borderId="17" xfId="440" applyNumberFormat="1" applyFont="1" applyFill="1" applyBorder="1">
      <alignment/>
      <protection/>
    </xf>
    <xf numFmtId="0" fontId="5" fillId="0" borderId="0" xfId="0" applyFont="1" applyAlignment="1">
      <alignment vertical="top" wrapText="1"/>
    </xf>
    <xf numFmtId="0" fontId="87" fillId="45" borderId="11" xfId="440" applyFont="1" applyFill="1" applyBorder="1" applyAlignment="1" applyProtection="1">
      <alignment horizontal="center"/>
      <protection locked="0"/>
    </xf>
    <xf numFmtId="0" fontId="87" fillId="45" borderId="40" xfId="440" applyFont="1" applyFill="1" applyBorder="1" applyAlignment="1" applyProtection="1">
      <alignment horizontal="center"/>
      <protection locked="0"/>
    </xf>
    <xf numFmtId="196" fontId="33" fillId="42" borderId="0" xfId="0" applyNumberFormat="1" applyFont="1" applyFill="1" applyBorder="1" applyAlignment="1">
      <alignment horizontal="center"/>
    </xf>
    <xf numFmtId="178" fontId="5" fillId="33" borderId="10" xfId="0" applyNumberFormat="1" applyFont="1" applyFill="1" applyBorder="1" applyAlignment="1" applyProtection="1">
      <alignment vertical="center"/>
      <protection locked="0"/>
    </xf>
    <xf numFmtId="178" fontId="5" fillId="33" borderId="12" xfId="0" applyNumberFormat="1" applyFont="1" applyFill="1" applyBorder="1" applyAlignment="1" applyProtection="1">
      <alignment vertical="center"/>
      <protection locked="0"/>
    </xf>
    <xf numFmtId="37" fontId="5" fillId="33" borderId="0" xfId="112" applyNumberFormat="1" applyFont="1" applyFill="1" applyAlignment="1" applyProtection="1">
      <alignment horizontal="center" vertical="center"/>
      <protection locked="0"/>
    </xf>
    <xf numFmtId="0" fontId="5" fillId="33" borderId="0" xfId="0" applyFont="1" applyFill="1" applyAlignment="1" applyProtection="1">
      <alignment horizontal="center" vertical="center"/>
      <protection locked="0"/>
    </xf>
    <xf numFmtId="0" fontId="5" fillId="0" borderId="0" xfId="90" applyFont="1" applyAlignment="1">
      <alignment vertical="center"/>
      <protection/>
    </xf>
    <xf numFmtId="196" fontId="33" fillId="42" borderId="0" xfId="0" applyNumberFormat="1" applyFont="1" applyFill="1" applyAlignment="1">
      <alignment horizontal="center"/>
    </xf>
    <xf numFmtId="196" fontId="33" fillId="42" borderId="11" xfId="0" applyNumberFormat="1" applyFont="1" applyFill="1" applyBorder="1" applyAlignment="1">
      <alignment horizontal="center"/>
    </xf>
    <xf numFmtId="196" fontId="33" fillId="42" borderId="0" xfId="0" applyNumberFormat="1" applyFont="1" applyFill="1" applyAlignment="1">
      <alignment/>
    </xf>
    <xf numFmtId="37" fontId="4" fillId="34" borderId="0" xfId="90" applyNumberFormat="1" applyFont="1" applyFill="1" applyAlignment="1" applyProtection="1">
      <alignment horizontal="left" vertical="center"/>
      <protection/>
    </xf>
    <xf numFmtId="37" fontId="5" fillId="34" borderId="0" xfId="90" applyNumberFormat="1" applyFont="1" applyFill="1" applyAlignment="1" applyProtection="1">
      <alignment horizontal="left" vertical="center"/>
      <protection/>
    </xf>
    <xf numFmtId="0" fontId="5" fillId="42" borderId="0" xfId="90" applyFont="1" applyFill="1" applyAlignment="1" applyProtection="1">
      <alignment vertical="center"/>
      <protection/>
    </xf>
    <xf numFmtId="0" fontId="4" fillId="38" borderId="24" xfId="0" applyFont="1" applyFill="1" applyBorder="1" applyAlignment="1" applyProtection="1">
      <alignment vertical="center"/>
      <protection/>
    </xf>
    <xf numFmtId="0" fontId="5" fillId="38" borderId="22" xfId="0" applyFont="1" applyFill="1" applyBorder="1" applyAlignment="1" applyProtection="1">
      <alignment vertical="center"/>
      <protection/>
    </xf>
    <xf numFmtId="37" fontId="4" fillId="47" borderId="26" xfId="0" applyNumberFormat="1" applyFont="1" applyFill="1" applyBorder="1" applyAlignment="1" applyProtection="1">
      <alignment horizontal="left" vertical="center"/>
      <protection/>
    </xf>
    <xf numFmtId="0" fontId="5" fillId="47" borderId="21" xfId="0" applyFont="1" applyFill="1" applyBorder="1" applyAlignment="1" applyProtection="1">
      <alignment vertical="center"/>
      <protection/>
    </xf>
    <xf numFmtId="37" fontId="4" fillId="47" borderId="25" xfId="0" applyNumberFormat="1" applyFont="1" applyFill="1" applyBorder="1" applyAlignment="1" applyProtection="1">
      <alignment horizontal="left" vertical="center"/>
      <protection/>
    </xf>
    <xf numFmtId="0" fontId="5" fillId="47" borderId="16" xfId="0" applyFont="1" applyFill="1" applyBorder="1" applyAlignment="1" applyProtection="1">
      <alignment vertical="center"/>
      <protection/>
    </xf>
    <xf numFmtId="37" fontId="5" fillId="34" borderId="14" xfId="0" applyNumberFormat="1" applyFont="1" applyFill="1" applyBorder="1" applyAlignment="1" applyProtection="1">
      <alignment vertical="center"/>
      <protection/>
    </xf>
    <xf numFmtId="37" fontId="4" fillId="47" borderId="20" xfId="0" applyNumberFormat="1" applyFont="1" applyFill="1" applyBorder="1" applyAlignment="1" applyProtection="1">
      <alignment horizontal="left" vertical="center"/>
      <protection/>
    </xf>
    <xf numFmtId="0" fontId="5" fillId="47" borderId="18" xfId="0" applyFont="1" applyFill="1" applyBorder="1" applyAlignment="1" applyProtection="1">
      <alignment vertical="center"/>
      <protection/>
    </xf>
    <xf numFmtId="37" fontId="5" fillId="38" borderId="12" xfId="0" applyNumberFormat="1" applyFont="1" applyFill="1" applyBorder="1" applyAlignment="1" applyProtection="1">
      <alignment horizontal="center" vertical="center"/>
      <protection/>
    </xf>
    <xf numFmtId="0" fontId="5" fillId="38" borderId="14" xfId="0" applyFont="1" applyFill="1" applyBorder="1" applyAlignment="1">
      <alignment horizontal="center" vertical="center"/>
    </xf>
    <xf numFmtId="164" fontId="5" fillId="33" borderId="14" xfId="0" applyNumberFormat="1" applyFont="1" applyFill="1" applyBorder="1" applyAlignment="1" applyProtection="1">
      <alignment vertical="center"/>
      <protection locked="0"/>
    </xf>
    <xf numFmtId="164" fontId="5" fillId="34" borderId="17" xfId="0" applyNumberFormat="1" applyFont="1" applyFill="1" applyBorder="1" applyAlignment="1" applyProtection="1">
      <alignment vertical="center"/>
      <protection locked="0"/>
    </xf>
    <xf numFmtId="37" fontId="5" fillId="37" borderId="20" xfId="0" applyNumberFormat="1" applyFont="1" applyFill="1" applyBorder="1" applyAlignment="1" applyProtection="1">
      <alignment horizontal="left" vertical="center"/>
      <protection/>
    </xf>
    <xf numFmtId="0" fontId="5" fillId="37" borderId="18" xfId="0" applyFont="1" applyFill="1" applyBorder="1" applyAlignment="1" applyProtection="1">
      <alignment vertical="center"/>
      <protection/>
    </xf>
    <xf numFmtId="37" fontId="14" fillId="38" borderId="24" xfId="0" applyNumberFormat="1" applyFont="1" applyFill="1" applyBorder="1" applyAlignment="1" applyProtection="1">
      <alignment horizontal="left" vertical="center"/>
      <protection/>
    </xf>
    <xf numFmtId="0" fontId="6" fillId="37" borderId="22" xfId="0" applyFont="1" applyFill="1" applyBorder="1" applyAlignment="1" applyProtection="1">
      <alignment vertical="center"/>
      <protection/>
    </xf>
    <xf numFmtId="0" fontId="5" fillId="38" borderId="26" xfId="0" applyFont="1" applyFill="1" applyBorder="1" applyAlignment="1" applyProtection="1">
      <alignment vertical="center"/>
      <protection/>
    </xf>
    <xf numFmtId="0" fontId="5" fillId="38" borderId="21" xfId="0" applyFont="1" applyFill="1" applyBorder="1" applyAlignment="1" applyProtection="1">
      <alignment vertical="center"/>
      <protection/>
    </xf>
    <xf numFmtId="0" fontId="5" fillId="38" borderId="25" xfId="0" applyFont="1" applyFill="1" applyBorder="1" applyAlignment="1" applyProtection="1">
      <alignment vertical="center"/>
      <protection/>
    </xf>
    <xf numFmtId="0" fontId="5" fillId="38" borderId="16" xfId="0" applyFont="1" applyFill="1" applyBorder="1" applyAlignment="1" applyProtection="1">
      <alignment vertical="center"/>
      <protection/>
    </xf>
    <xf numFmtId="0" fontId="5" fillId="38" borderId="20" xfId="0" applyFont="1" applyFill="1" applyBorder="1" applyAlignment="1" applyProtection="1">
      <alignment vertical="center"/>
      <protection/>
    </xf>
    <xf numFmtId="0" fontId="5" fillId="38" borderId="18" xfId="0" applyFont="1" applyFill="1" applyBorder="1" applyAlignment="1" applyProtection="1">
      <alignment vertical="center"/>
      <protection/>
    </xf>
    <xf numFmtId="37" fontId="4" fillId="38" borderId="20" xfId="0" applyNumberFormat="1" applyFont="1" applyFill="1" applyBorder="1" applyAlignment="1" applyProtection="1">
      <alignment horizontal="left" vertical="center"/>
      <protection/>
    </xf>
    <xf numFmtId="3" fontId="5" fillId="38" borderId="18" xfId="0" applyNumberFormat="1"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0" fontId="4" fillId="38" borderId="20" xfId="0" applyFont="1" applyFill="1" applyBorder="1" applyAlignment="1">
      <alignment vertical="center"/>
    </xf>
    <xf numFmtId="0" fontId="1" fillId="38" borderId="17" xfId="0" applyFont="1" applyFill="1" applyBorder="1" applyAlignment="1">
      <alignment vertical="center"/>
    </xf>
    <xf numFmtId="0" fontId="0" fillId="38" borderId="17" xfId="0" applyFill="1" applyBorder="1" applyAlignment="1" applyProtection="1">
      <alignment vertical="center"/>
      <protection locked="0"/>
    </xf>
    <xf numFmtId="0" fontId="0" fillId="38" borderId="18" xfId="0" applyFill="1" applyBorder="1" applyAlignment="1" applyProtection="1">
      <alignment vertical="center"/>
      <protection locked="0"/>
    </xf>
    <xf numFmtId="198" fontId="5" fillId="33" borderId="14" xfId="0" applyNumberFormat="1" applyFont="1" applyFill="1" applyBorder="1" applyAlignment="1" applyProtection="1">
      <alignment vertical="center"/>
      <protection locked="0"/>
    </xf>
    <xf numFmtId="196" fontId="5" fillId="46" borderId="16" xfId="112" applyNumberFormat="1" applyFont="1" applyFill="1" applyBorder="1" applyAlignment="1" applyProtection="1">
      <alignment horizontal="center"/>
      <protection/>
    </xf>
    <xf numFmtId="0" fontId="5" fillId="34" borderId="0" xfId="0" applyFont="1" applyFill="1" applyBorder="1" applyAlignment="1" applyProtection="1">
      <alignment horizontal="centerContinuous" vertical="center"/>
      <protection/>
    </xf>
    <xf numFmtId="165" fontId="5" fillId="35" borderId="0" xfId="0" applyNumberFormat="1" applyFont="1" applyFill="1" applyBorder="1" applyAlignment="1" applyProtection="1">
      <alignment vertical="center"/>
      <protection/>
    </xf>
    <xf numFmtId="3" fontId="5" fillId="33" borderId="10" xfId="90" applyNumberFormat="1" applyFont="1" applyFill="1" applyBorder="1" applyAlignment="1" applyProtection="1">
      <alignment vertical="center"/>
      <protection locked="0"/>
    </xf>
    <xf numFmtId="178" fontId="5" fillId="34" borderId="0" xfId="90" applyNumberFormat="1" applyFont="1" applyFill="1" applyBorder="1" applyAlignment="1" applyProtection="1">
      <alignment vertical="center"/>
      <protection/>
    </xf>
    <xf numFmtId="37" fontId="5" fillId="34" borderId="17" xfId="90" applyNumberFormat="1" applyFont="1" applyFill="1" applyBorder="1" applyAlignment="1" applyProtection="1">
      <alignment horizontal="left" vertical="center"/>
      <protection/>
    </xf>
    <xf numFmtId="37" fontId="5" fillId="34" borderId="14"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center" vertical="center"/>
      <protection/>
    </xf>
    <xf numFmtId="165" fontId="5" fillId="42" borderId="0" xfId="90" applyNumberFormat="1" applyFont="1" applyFill="1" applyBorder="1" applyAlignment="1" applyProtection="1">
      <alignment vertical="center"/>
      <protection/>
    </xf>
    <xf numFmtId="0" fontId="5" fillId="42" borderId="0" xfId="90" applyFont="1" applyFill="1" applyAlignment="1" applyProtection="1">
      <alignment vertical="center"/>
      <protection locked="0"/>
    </xf>
    <xf numFmtId="0" fontId="5" fillId="42" borderId="0" xfId="90" applyFont="1" applyFill="1" applyAlignment="1" applyProtection="1">
      <alignment vertical="center"/>
      <protection/>
    </xf>
    <xf numFmtId="0" fontId="5" fillId="34" borderId="20" xfId="90" applyNumberFormat="1" applyFont="1" applyFill="1" applyBorder="1" applyAlignment="1" applyProtection="1">
      <alignment horizontal="left" vertical="center"/>
      <protection/>
    </xf>
    <xf numFmtId="0" fontId="5" fillId="33" borderId="10" xfId="90" applyFont="1" applyFill="1" applyBorder="1" applyAlignment="1" applyProtection="1">
      <alignment vertical="center"/>
      <protection locked="0"/>
    </xf>
    <xf numFmtId="0" fontId="5" fillId="33" borderId="10" xfId="90" applyFont="1" applyFill="1" applyBorder="1" applyAlignment="1" applyProtection="1">
      <alignment vertical="center"/>
      <protection locked="0"/>
    </xf>
    <xf numFmtId="0" fontId="37" fillId="42" borderId="26" xfId="0" applyFont="1" applyFill="1" applyBorder="1" applyAlignment="1" applyProtection="1">
      <alignment vertical="center"/>
      <protection locked="0"/>
    </xf>
    <xf numFmtId="0" fontId="37" fillId="42" borderId="0" xfId="0" applyFont="1" applyFill="1" applyBorder="1" applyAlignment="1" applyProtection="1">
      <alignment vertical="center"/>
      <protection locked="0"/>
    </xf>
    <xf numFmtId="0" fontId="0" fillId="42" borderId="11" xfId="112" applyFill="1" applyBorder="1">
      <alignment/>
      <protection/>
    </xf>
    <xf numFmtId="0" fontId="37" fillId="42" borderId="25" xfId="112" applyFont="1" applyFill="1" applyBorder="1" applyAlignment="1">
      <alignment horizontal="left"/>
      <protection/>
    </xf>
    <xf numFmtId="0" fontId="0" fillId="42" borderId="0" xfId="112" applyFill="1" applyBorder="1">
      <alignment/>
      <protection/>
    </xf>
    <xf numFmtId="0" fontId="37" fillId="42" borderId="26" xfId="112" applyFont="1" applyFill="1" applyBorder="1" applyAlignment="1">
      <alignment horizontal="left"/>
      <protection/>
    </xf>
    <xf numFmtId="3" fontId="37" fillId="42" borderId="16" xfId="0" applyNumberFormat="1" applyFont="1" applyFill="1" applyBorder="1" applyAlignment="1" applyProtection="1">
      <alignment vertical="center"/>
      <protection locked="0"/>
    </xf>
    <xf numFmtId="3" fontId="37" fillId="42" borderId="21" xfId="0" applyNumberFormat="1" applyFont="1" applyFill="1" applyBorder="1" applyAlignment="1" applyProtection="1">
      <alignment vertical="center"/>
      <protection locked="0"/>
    </xf>
    <xf numFmtId="0" fontId="37" fillId="42" borderId="25" xfId="0" applyFont="1" applyFill="1" applyBorder="1" applyAlignment="1" applyProtection="1">
      <alignment horizontal="left" vertical="center"/>
      <protection locked="0"/>
    </xf>
    <xf numFmtId="0" fontId="5" fillId="42" borderId="0" xfId="0" applyFont="1" applyFill="1" applyBorder="1" applyAlignment="1" applyProtection="1">
      <alignment vertical="center"/>
      <protection locked="0"/>
    </xf>
    <xf numFmtId="0" fontId="37" fillId="42" borderId="26" xfId="0" applyFont="1" applyFill="1" applyBorder="1" applyAlignment="1" applyProtection="1">
      <alignment horizontal="left" vertical="center"/>
      <protection locked="0"/>
    </xf>
    <xf numFmtId="0" fontId="5" fillId="42" borderId="19" xfId="0" applyFont="1" applyFill="1" applyBorder="1" applyAlignment="1" applyProtection="1">
      <alignment vertical="center"/>
      <protection locked="0"/>
    </xf>
    <xf numFmtId="0" fontId="39" fillId="42" borderId="24" xfId="232" applyFont="1" applyFill="1" applyBorder="1" applyAlignment="1">
      <alignment horizontal="left" vertical="center"/>
      <protection/>
    </xf>
    <xf numFmtId="0" fontId="6" fillId="0" borderId="0" xfId="0" applyFont="1" applyAlignment="1">
      <alignment/>
    </xf>
    <xf numFmtId="0" fontId="72" fillId="45" borderId="0" xfId="440" applyFill="1">
      <alignment/>
      <protection/>
    </xf>
    <xf numFmtId="0" fontId="87" fillId="45" borderId="0" xfId="440" applyFont="1" applyFill="1" applyBorder="1">
      <alignment/>
      <protection/>
    </xf>
    <xf numFmtId="0" fontId="87" fillId="45" borderId="31" xfId="440" applyFont="1" applyFill="1" applyBorder="1">
      <alignment/>
      <protection/>
    </xf>
    <xf numFmtId="0" fontId="87" fillId="45" borderId="35" xfId="440" applyFont="1" applyFill="1" applyBorder="1">
      <alignment/>
      <protection/>
    </xf>
    <xf numFmtId="0" fontId="87" fillId="45" borderId="32" xfId="440" applyFont="1" applyFill="1" applyBorder="1">
      <alignment/>
      <protection/>
    </xf>
    <xf numFmtId="0" fontId="87" fillId="45" borderId="33" xfId="440" applyFont="1" applyFill="1" applyBorder="1">
      <alignment/>
      <protection/>
    </xf>
    <xf numFmtId="0" fontId="87" fillId="45" borderId="0" xfId="440" applyFont="1" applyFill="1" applyBorder="1" applyAlignment="1">
      <alignment horizontal="center"/>
      <protection/>
    </xf>
    <xf numFmtId="0" fontId="87" fillId="45" borderId="0" xfId="440" applyFont="1" applyFill="1" applyBorder="1" applyAlignment="1">
      <alignment horizontal="right"/>
      <protection/>
    </xf>
    <xf numFmtId="0" fontId="87" fillId="45" borderId="34" xfId="440" applyFont="1" applyFill="1" applyBorder="1">
      <alignment/>
      <protection/>
    </xf>
    <xf numFmtId="0" fontId="87" fillId="45" borderId="11" xfId="440" applyFont="1" applyFill="1" applyBorder="1" applyAlignment="1" applyProtection="1">
      <alignment horizontal="center"/>
      <protection locked="0"/>
    </xf>
    <xf numFmtId="0" fontId="87" fillId="45" borderId="40" xfId="440" applyFont="1" applyFill="1" applyBorder="1" applyAlignment="1" applyProtection="1">
      <alignment horizontal="center"/>
      <protection locked="0"/>
    </xf>
    <xf numFmtId="0" fontId="87" fillId="45" borderId="35" xfId="440" applyFont="1" applyFill="1" applyBorder="1" applyAlignment="1">
      <alignment horizontal="center"/>
      <protection/>
    </xf>
    <xf numFmtId="0" fontId="87" fillId="45" borderId="31" xfId="440" applyFont="1" applyFill="1" applyBorder="1" applyAlignment="1">
      <alignment horizontal="center"/>
      <protection/>
    </xf>
    <xf numFmtId="0" fontId="87" fillId="45" borderId="0" xfId="440" applyFont="1" applyFill="1" applyBorder="1" applyAlignment="1" applyProtection="1">
      <alignment horizontal="center"/>
      <protection locked="0"/>
    </xf>
    <xf numFmtId="0" fontId="87" fillId="45" borderId="31" xfId="440" applyFont="1" applyFill="1" applyBorder="1" applyAlignment="1" applyProtection="1">
      <alignment horizontal="center"/>
      <protection locked="0"/>
    </xf>
    <xf numFmtId="3" fontId="87" fillId="45" borderId="0" xfId="440" applyNumberFormat="1" applyFont="1" applyFill="1" applyBorder="1">
      <alignment/>
      <protection/>
    </xf>
    <xf numFmtId="0" fontId="101" fillId="42" borderId="22" xfId="0" applyFont="1" applyFill="1" applyBorder="1" applyAlignment="1">
      <alignment horizontal="center" vertical="center"/>
    </xf>
    <xf numFmtId="0" fontId="4" fillId="42" borderId="19" xfId="0" applyFont="1" applyFill="1" applyBorder="1" applyAlignment="1">
      <alignment horizontal="centerContinuous" vertical="center"/>
    </xf>
    <xf numFmtId="0" fontId="45" fillId="0" borderId="0" xfId="0" applyFont="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left"/>
    </xf>
    <xf numFmtId="37" fontId="47" fillId="0" borderId="0" xfId="0" applyNumberFormat="1" applyFont="1" applyAlignment="1">
      <alignment/>
    </xf>
    <xf numFmtId="3" fontId="87" fillId="45" borderId="11" xfId="440" applyNumberFormat="1" applyFont="1" applyFill="1" applyBorder="1">
      <alignment/>
      <protection/>
    </xf>
    <xf numFmtId="3" fontId="87" fillId="45" borderId="17" xfId="440" applyNumberFormat="1" applyFont="1" applyFill="1" applyBorder="1">
      <alignment/>
      <protection/>
    </xf>
    <xf numFmtId="178" fontId="87" fillId="45" borderId="0" xfId="440" applyNumberFormat="1" applyFont="1" applyFill="1" applyBorder="1">
      <alignment/>
      <protection/>
    </xf>
    <xf numFmtId="0" fontId="102" fillId="45" borderId="0" xfId="440" applyFont="1" applyFill="1" applyBorder="1" applyAlignment="1">
      <alignment horizontal="center"/>
      <protection/>
    </xf>
    <xf numFmtId="0" fontId="45" fillId="0" borderId="0" xfId="90" applyFont="1" applyAlignment="1">
      <alignment horizontal="center" vertical="center" wrapText="1"/>
      <protection/>
    </xf>
    <xf numFmtId="0" fontId="45" fillId="0" borderId="0" xfId="0" applyFont="1" applyAlignment="1">
      <alignment horizontal="right" vertical="center"/>
    </xf>
    <xf numFmtId="0" fontId="45" fillId="0" borderId="0" xfId="90" applyFont="1" applyAlignment="1">
      <alignment horizontal="right" vertical="center" wrapText="1"/>
      <protection/>
    </xf>
    <xf numFmtId="3" fontId="5" fillId="35" borderId="10" xfId="0" applyNumberFormat="1" applyFont="1" applyFill="1" applyBorder="1" applyAlignment="1" applyProtection="1">
      <alignment horizontal="right" vertical="center"/>
      <protection/>
    </xf>
    <xf numFmtId="0" fontId="5" fillId="0" borderId="0" xfId="90" applyFont="1">
      <alignment/>
      <protection/>
    </xf>
    <xf numFmtId="198" fontId="5" fillId="0" borderId="0" xfId="0" applyNumberFormat="1" applyFont="1" applyAlignment="1">
      <alignment vertical="center"/>
    </xf>
    <xf numFmtId="198" fontId="5" fillId="34" borderId="11" xfId="90" applyNumberFormat="1" applyFont="1" applyFill="1" applyBorder="1" applyAlignment="1" applyProtection="1">
      <alignment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34" borderId="0" xfId="90" applyNumberFormat="1" applyFont="1" applyFill="1" applyAlignment="1" applyProtection="1">
      <alignment vertical="center" wrapText="1"/>
      <protection/>
    </xf>
    <xf numFmtId="0" fontId="5" fillId="34" borderId="24" xfId="90" applyFont="1" applyFill="1" applyBorder="1" applyAlignment="1" applyProtection="1">
      <alignment vertical="center" wrapText="1"/>
      <protection/>
    </xf>
    <xf numFmtId="0" fontId="0" fillId="0" borderId="22" xfId="90" applyBorder="1" applyAlignment="1">
      <alignment vertical="center" wrapText="1"/>
      <protection/>
    </xf>
    <xf numFmtId="0" fontId="0" fillId="0" borderId="26" xfId="90" applyBorder="1" applyAlignment="1">
      <alignment vertical="center" wrapText="1"/>
      <protection/>
    </xf>
    <xf numFmtId="0" fontId="0" fillId="0" borderId="21" xfId="90" applyBorder="1" applyAlignment="1">
      <alignment vertical="center" wrapText="1"/>
      <protection/>
    </xf>
    <xf numFmtId="0" fontId="0" fillId="0" borderId="25" xfId="90" applyBorder="1" applyAlignment="1">
      <alignment vertical="center" wrapText="1"/>
      <protection/>
    </xf>
    <xf numFmtId="0" fontId="0" fillId="0" borderId="16" xfId="90" applyBorder="1" applyAlignment="1">
      <alignment vertical="center" wrapText="1"/>
      <protection/>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536" applyFont="1" applyAlignment="1">
      <alignment horizontal="left" vertical="center" wrapText="1"/>
      <protection/>
    </xf>
    <xf numFmtId="0" fontId="29" fillId="0" borderId="0" xfId="536" applyAlignment="1">
      <alignment horizontal="left" vertical="center" wrapText="1"/>
      <protection/>
    </xf>
    <xf numFmtId="0" fontId="14" fillId="0" borderId="0" xfId="536" applyFont="1" applyAlignment="1">
      <alignment horizontal="left"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5" fillId="34" borderId="0" xfId="91" applyFont="1" applyFill="1" applyAlignment="1">
      <alignment horizontal="center" vertical="center"/>
      <protection/>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0" fontId="5" fillId="34" borderId="0" xfId="90" applyFont="1" applyFill="1" applyAlignment="1" applyProtection="1">
      <alignment horizontal="center" vertical="center" wrapText="1"/>
      <protection/>
    </xf>
    <xf numFmtId="0" fontId="5" fillId="34" borderId="0" xfId="90"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6" applyFont="1" applyFill="1" applyAlignment="1">
      <alignment horizontal="center" vertical="center"/>
      <protection/>
    </xf>
    <xf numFmtId="0" fontId="14" fillId="42" borderId="0" xfId="96" applyFont="1" applyFill="1" applyAlignment="1">
      <alignment horizontal="center" vertical="center"/>
      <protection/>
    </xf>
    <xf numFmtId="0" fontId="5" fillId="42" borderId="0" xfId="96" applyFont="1" applyFill="1" applyAlignment="1">
      <alignment vertical="center" wrapText="1"/>
      <protection/>
    </xf>
    <xf numFmtId="0" fontId="14" fillId="42" borderId="0" xfId="557" applyFont="1" applyFill="1" applyAlignment="1">
      <alignment horizontal="center"/>
      <protection/>
    </xf>
    <xf numFmtId="0" fontId="0" fillId="42" borderId="0" xfId="96" applyFill="1" applyAlignment="1">
      <alignment horizontal="center"/>
      <protection/>
    </xf>
    <xf numFmtId="0" fontId="38" fillId="42" borderId="24" xfId="112" applyFont="1" applyFill="1" applyBorder="1" applyAlignment="1" applyProtection="1">
      <alignment horizontal="center" vertical="center"/>
      <protection/>
    </xf>
    <xf numFmtId="0" fontId="38" fillId="42" borderId="19" xfId="112" applyFont="1" applyFill="1" applyBorder="1" applyAlignment="1" applyProtection="1">
      <alignment horizontal="center" vertical="center"/>
      <protection/>
    </xf>
    <xf numFmtId="0" fontId="0" fillId="0" borderId="22" xfId="112" applyBorder="1" applyAlignment="1" applyProtection="1">
      <alignment vertical="center"/>
      <protection/>
    </xf>
    <xf numFmtId="3" fontId="5" fillId="34" borderId="19" xfId="117" applyNumberFormat="1" applyFont="1" applyFill="1" applyBorder="1" applyAlignment="1" applyProtection="1">
      <alignment horizontal="right" vertical="center"/>
      <protection/>
    </xf>
    <xf numFmtId="0" fontId="0" fillId="0" borderId="22" xfId="117" applyBorder="1" applyAlignment="1">
      <alignment horizontal="right" vertical="center"/>
      <protection/>
    </xf>
    <xf numFmtId="0" fontId="5" fillId="34" borderId="0" xfId="117" applyFont="1" applyFill="1" applyAlignment="1" applyProtection="1">
      <alignment horizontal="right" vertical="center"/>
      <protection/>
    </xf>
    <xf numFmtId="0" fontId="5" fillId="0" borderId="21" xfId="117"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2"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5" fillId="34" borderId="0" xfId="70"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xf>
    <xf numFmtId="0" fontId="31" fillId="42" borderId="24" xfId="112" applyFont="1" applyFill="1" applyBorder="1" applyAlignment="1" applyProtection="1">
      <alignment horizontal="center" vertical="center"/>
      <protection locked="0"/>
    </xf>
    <xf numFmtId="0" fontId="38" fillId="42"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0" fillId="0" borderId="0" xfId="0" applyBorder="1" applyAlignment="1">
      <alignment horizontal="right" vertical="center"/>
    </xf>
    <xf numFmtId="0" fontId="0" fillId="0" borderId="19" xfId="0"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locked="0"/>
    </xf>
    <xf numFmtId="0" fontId="14" fillId="42" borderId="24" xfId="112" applyFont="1" applyFill="1" applyBorder="1" applyAlignment="1" applyProtection="1">
      <alignment horizontal="center"/>
      <protection/>
    </xf>
    <xf numFmtId="0" fontId="0" fillId="0" borderId="19" xfId="112" applyBorder="1" applyAlignment="1" applyProtection="1">
      <alignment horizontal="center"/>
      <protection/>
    </xf>
    <xf numFmtId="0" fontId="0" fillId="0" borderId="22" xfId="112" applyBorder="1" applyAlignment="1" applyProtection="1">
      <alignment horizontal="center"/>
      <protection/>
    </xf>
    <xf numFmtId="0" fontId="14" fillId="42" borderId="19" xfId="112" applyFont="1" applyFill="1" applyBorder="1" applyAlignment="1" applyProtection="1">
      <alignment horizontal="center"/>
      <protection/>
    </xf>
    <xf numFmtId="0" fontId="14" fillId="42" borderId="22" xfId="11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2" borderId="0" xfId="0" applyNumberFormat="1" applyFont="1" applyFill="1" applyAlignment="1" applyProtection="1">
      <alignment horizontal="center" vertical="center"/>
      <protection/>
    </xf>
    <xf numFmtId="37" fontId="5" fillId="42" borderId="0" xfId="139"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87" fillId="45" borderId="32" xfId="440" applyFont="1" applyFill="1" applyBorder="1" applyAlignment="1">
      <alignment horizontal="left" vertical="top" wrapText="1"/>
      <protection/>
    </xf>
    <xf numFmtId="0" fontId="87" fillId="45" borderId="33" xfId="440" applyFont="1" applyFill="1" applyBorder="1" applyAlignment="1">
      <alignment horizontal="left" vertical="top" wrapText="1"/>
      <protection/>
    </xf>
    <xf numFmtId="0" fontId="87" fillId="45" borderId="34" xfId="440" applyFont="1" applyFill="1" applyBorder="1" applyAlignment="1">
      <alignment horizontal="left" vertical="top" wrapText="1"/>
      <protection/>
    </xf>
    <xf numFmtId="0" fontId="103" fillId="45" borderId="41" xfId="440" applyFont="1" applyFill="1" applyBorder="1" applyAlignment="1">
      <alignment horizontal="center"/>
      <protection/>
    </xf>
    <xf numFmtId="0" fontId="72" fillId="45" borderId="42" xfId="440" applyFill="1" applyBorder="1" applyAlignment="1">
      <alignment horizontal="center"/>
      <protection/>
    </xf>
    <xf numFmtId="0" fontId="72" fillId="45" borderId="43" xfId="440" applyFill="1" applyBorder="1" applyAlignment="1">
      <alignment horizontal="center"/>
      <protection/>
    </xf>
    <xf numFmtId="0" fontId="87" fillId="45" borderId="27" xfId="440" applyFont="1" applyFill="1" applyBorder="1" applyAlignment="1">
      <alignment horizontal="center"/>
      <protection/>
    </xf>
    <xf numFmtId="0" fontId="87" fillId="45" borderId="28" xfId="440" applyFont="1" applyFill="1" applyBorder="1" applyAlignment="1">
      <alignment horizontal="center"/>
      <protection/>
    </xf>
    <xf numFmtId="0" fontId="87" fillId="45" borderId="29" xfId="440" applyFont="1" applyFill="1" applyBorder="1" applyAlignment="1">
      <alignment horizontal="center"/>
      <protection/>
    </xf>
    <xf numFmtId="0" fontId="103" fillId="0" borderId="41" xfId="440" applyFont="1" applyBorder="1" applyAlignment="1">
      <alignment horizontal="center"/>
      <protection/>
    </xf>
    <xf numFmtId="0" fontId="103" fillId="0" borderId="42" xfId="440" applyFont="1" applyBorder="1" applyAlignment="1">
      <alignment horizontal="center"/>
      <protection/>
    </xf>
    <xf numFmtId="0" fontId="103" fillId="0" borderId="43" xfId="440" applyFont="1" applyBorder="1" applyAlignment="1">
      <alignment horizontal="center"/>
      <protection/>
    </xf>
    <xf numFmtId="0" fontId="87" fillId="45" borderId="35" xfId="440" applyFont="1" applyFill="1" applyBorder="1" applyAlignment="1">
      <alignment horizontal="center"/>
      <protection/>
    </xf>
    <xf numFmtId="0" fontId="87" fillId="45" borderId="0" xfId="440" applyFont="1" applyFill="1" applyBorder="1" applyAlignment="1">
      <alignment horizontal="center"/>
      <protection/>
    </xf>
    <xf numFmtId="0" fontId="87" fillId="45" borderId="31" xfId="440" applyFont="1" applyFill="1" applyBorder="1" applyAlignment="1">
      <alignment horizontal="center"/>
      <protection/>
    </xf>
    <xf numFmtId="195" fontId="33" fillId="42" borderId="0" xfId="0" applyNumberFormat="1" applyFont="1" applyFill="1" applyBorder="1" applyAlignment="1">
      <alignment horizontal="center"/>
    </xf>
    <xf numFmtId="0" fontId="33" fillId="42"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2" borderId="0" xfId="0" applyNumberFormat="1" applyFont="1" applyFill="1" applyBorder="1" applyAlignment="1">
      <alignment horizontal="center"/>
    </xf>
    <xf numFmtId="0" fontId="33" fillId="0" borderId="31" xfId="0" applyFont="1" applyBorder="1" applyAlignment="1">
      <alignment horizontal="center"/>
    </xf>
    <xf numFmtId="178" fontId="33" fillId="44"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xf numFmtId="0" fontId="90" fillId="42" borderId="28" xfId="0" applyFont="1" applyFill="1" applyBorder="1" applyAlignment="1">
      <alignment horizontal="center" vertical="center"/>
    </xf>
    <xf numFmtId="0" fontId="90" fillId="42" borderId="0" xfId="0" applyFont="1" applyFill="1" applyAlignment="1">
      <alignment horizontal="center" wrapText="1"/>
    </xf>
    <xf numFmtId="0" fontId="33" fillId="42" borderId="0" xfId="0" applyFont="1" applyFill="1" applyBorder="1" applyAlignment="1">
      <alignment horizontal="center"/>
    </xf>
    <xf numFmtId="0" fontId="33" fillId="42" borderId="0" xfId="0" applyFont="1" applyFill="1" applyAlignment="1">
      <alignment wrapText="1"/>
    </xf>
    <xf numFmtId="0" fontId="90" fillId="42" borderId="0" xfId="0" applyFont="1" applyFill="1" applyBorder="1" applyAlignment="1">
      <alignment horizontal="center" wrapText="1"/>
    </xf>
    <xf numFmtId="0" fontId="33" fillId="0" borderId="0" xfId="0" applyFont="1" applyAlignment="1">
      <alignment horizontal="center" wrapText="1"/>
    </xf>
    <xf numFmtId="0" fontId="90" fillId="0" borderId="0" xfId="0" applyFont="1" applyAlignment="1">
      <alignment horizontal="center" wrapText="1"/>
    </xf>
    <xf numFmtId="0" fontId="33" fillId="42" borderId="0" xfId="0" applyFont="1" applyFill="1" applyBorder="1" applyAlignment="1">
      <alignment wrapText="1"/>
    </xf>
    <xf numFmtId="0" fontId="33" fillId="0" borderId="0" xfId="0" applyFont="1" applyAlignment="1">
      <alignment wrapText="1"/>
    </xf>
    <xf numFmtId="195" fontId="33" fillId="44" borderId="11" xfId="0" applyNumberFormat="1" applyFont="1" applyFill="1" applyBorder="1" applyAlignment="1" applyProtection="1">
      <alignment horizontal="center"/>
      <protection locked="0"/>
    </xf>
    <xf numFmtId="5" fontId="33" fillId="42" borderId="11" xfId="0" applyNumberFormat="1" applyFont="1" applyFill="1" applyBorder="1" applyAlignment="1">
      <alignment horizontal="center"/>
    </xf>
    <xf numFmtId="0" fontId="90" fillId="42" borderId="0" xfId="0" applyFont="1" applyFill="1" applyAlignment="1">
      <alignment horizontal="center"/>
    </xf>
    <xf numFmtId="195" fontId="33" fillId="42" borderId="0" xfId="0" applyNumberFormat="1" applyFont="1" applyFill="1" applyAlignment="1">
      <alignment horizontal="center"/>
    </xf>
    <xf numFmtId="195" fontId="33" fillId="44" borderId="30" xfId="0" applyNumberFormat="1" applyFont="1" applyFill="1" applyBorder="1" applyAlignment="1" applyProtection="1">
      <alignment horizontal="center"/>
      <protection locked="0"/>
    </xf>
    <xf numFmtId="0" fontId="33" fillId="42" borderId="0" xfId="0" applyFont="1" applyFill="1" applyBorder="1" applyAlignment="1">
      <alignment/>
    </xf>
    <xf numFmtId="0" fontId="33" fillId="0" borderId="0" xfId="0" applyFont="1" applyBorder="1" applyAlignment="1">
      <alignment/>
    </xf>
    <xf numFmtId="0" fontId="33" fillId="42" borderId="33" xfId="0" applyFont="1" applyFill="1" applyBorder="1" applyAlignment="1">
      <alignment/>
    </xf>
    <xf numFmtId="0" fontId="33" fillId="42" borderId="34" xfId="0" applyFont="1" applyFill="1" applyBorder="1" applyAlignment="1">
      <alignment/>
    </xf>
    <xf numFmtId="0" fontId="90" fillId="42" borderId="0" xfId="0" applyFont="1" applyFill="1" applyAlignment="1">
      <alignment horizontal="center" vertical="center"/>
    </xf>
    <xf numFmtId="0" fontId="90" fillId="0" borderId="0" xfId="0" applyFont="1" applyAlignment="1">
      <alignment horizontal="center" vertical="center"/>
    </xf>
    <xf numFmtId="195" fontId="33" fillId="42" borderId="0" xfId="0" applyNumberFormat="1" applyFont="1" applyFill="1" applyAlignment="1">
      <alignment/>
    </xf>
    <xf numFmtId="0" fontId="33" fillId="42" borderId="19" xfId="0" applyFont="1" applyFill="1" applyBorder="1" applyAlignment="1">
      <alignment horizontal="center"/>
    </xf>
    <xf numFmtId="0" fontId="33" fillId="0" borderId="28" xfId="0" applyFont="1" applyBorder="1" applyAlignment="1">
      <alignment horizontal="center" vertical="center"/>
    </xf>
  </cellXfs>
  <cellStyles count="5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2" xfId="235"/>
    <cellStyle name="Normal 2 2 10" xfId="236"/>
    <cellStyle name="Normal 2 2 10 2" xfId="237"/>
    <cellStyle name="Normal 2 2 11" xfId="238"/>
    <cellStyle name="Normal 2 2 11 2" xfId="239"/>
    <cellStyle name="Normal 2 2 12" xfId="240"/>
    <cellStyle name="Normal 2 2 12 2" xfId="241"/>
    <cellStyle name="Normal 2 2 12 2 2" xfId="242"/>
    <cellStyle name="Normal 2 2 12 2 3" xfId="243"/>
    <cellStyle name="Normal 2 2 12 2 4" xfId="244"/>
    <cellStyle name="Normal 2 2 12 3" xfId="245"/>
    <cellStyle name="Normal 2 2 12 4" xfId="246"/>
    <cellStyle name="Normal 2 2 13" xfId="247"/>
    <cellStyle name="Normal 2 2 13 2" xfId="248"/>
    <cellStyle name="Normal 2 2 13 2 2" xfId="249"/>
    <cellStyle name="Normal 2 2 13 2 3" xfId="250"/>
    <cellStyle name="Normal 2 2 13 2 4" xfId="251"/>
    <cellStyle name="Normal 2 2 13 3" xfId="252"/>
    <cellStyle name="Normal 2 2 13 4" xfId="253"/>
    <cellStyle name="Normal 2 2 14" xfId="254"/>
    <cellStyle name="Normal 2 2 14 2" xfId="255"/>
    <cellStyle name="Normal 2 2 15" xfId="256"/>
    <cellStyle name="Normal 2 2 15 2" xfId="257"/>
    <cellStyle name="Normal 2 2 16" xfId="258"/>
    <cellStyle name="Normal 2 2 16 2" xfId="259"/>
    <cellStyle name="Normal 2 2 16 3" xfId="260"/>
    <cellStyle name="Normal 2 2 17" xfId="261"/>
    <cellStyle name="Normal 2 2 18" xfId="262"/>
    <cellStyle name="Normal 2 2 19" xfId="263"/>
    <cellStyle name="Normal 2 2 2" xfId="264"/>
    <cellStyle name="Normal 2 2 2 2" xfId="265"/>
    <cellStyle name="Normal 2 2 2 2 2" xfId="266"/>
    <cellStyle name="Normal 2 2 2 2 3" xfId="267"/>
    <cellStyle name="Normal 2 2 2 2 3 2" xfId="268"/>
    <cellStyle name="Normal 2 2 2 2 3 3" xfId="269"/>
    <cellStyle name="Normal 2 2 2 3" xfId="270"/>
    <cellStyle name="Normal 2 2 2 3 2" xfId="271"/>
    <cellStyle name="Normal 2 2 2 3 3" xfId="272"/>
    <cellStyle name="Normal 2 2 2 3 4" xfId="273"/>
    <cellStyle name="Normal 2 2 2 4" xfId="274"/>
    <cellStyle name="Normal 2 2 2 4 2" xfId="275"/>
    <cellStyle name="Normal 2 2 2 5" xfId="276"/>
    <cellStyle name="Normal 2 2 2 5 2" xfId="277"/>
    <cellStyle name="Normal 2 2 2 5 3" xfId="278"/>
    <cellStyle name="Normal 2 2 2 5 4" xfId="279"/>
    <cellStyle name="Normal 2 2 2 6" xfId="280"/>
    <cellStyle name="Normal 2 2 2 6 2" xfId="281"/>
    <cellStyle name="Normal 2 2 2 7" xfId="282"/>
    <cellStyle name="Normal 2 2 2 7 2" xfId="283"/>
    <cellStyle name="Normal 2 2 2 7 3" xfId="284"/>
    <cellStyle name="Normal 2 2 2 8" xfId="285"/>
    <cellStyle name="Normal 2 2 20" xfId="286"/>
    <cellStyle name="Normal 2 2 21" xfId="287"/>
    <cellStyle name="Normal 2 2 22" xfId="288"/>
    <cellStyle name="Normal 2 2 3" xfId="289"/>
    <cellStyle name="Normal 2 2 3 2" xfId="290"/>
    <cellStyle name="Normal 2 2 4" xfId="291"/>
    <cellStyle name="Normal 2 2 4 2" xfId="292"/>
    <cellStyle name="Normal 2 2 5" xfId="293"/>
    <cellStyle name="Normal 2 2 5 2" xfId="294"/>
    <cellStyle name="Normal 2 2 6" xfId="295"/>
    <cellStyle name="Normal 2 2 6 2" xfId="296"/>
    <cellStyle name="Normal 2 2 7" xfId="297"/>
    <cellStyle name="Normal 2 2 7 2" xfId="298"/>
    <cellStyle name="Normal 2 2 8" xfId="299"/>
    <cellStyle name="Normal 2 2 8 2" xfId="300"/>
    <cellStyle name="Normal 2 2 9" xfId="301"/>
    <cellStyle name="Normal 2 2 9 2" xfId="302"/>
    <cellStyle name="Normal 2 3" xfId="303"/>
    <cellStyle name="Normal 2 3 10" xfId="304"/>
    <cellStyle name="Normal 2 3 11" xfId="305"/>
    <cellStyle name="Normal 2 3 12" xfId="306"/>
    <cellStyle name="Normal 2 3 13" xfId="307"/>
    <cellStyle name="Normal 2 3 14" xfId="308"/>
    <cellStyle name="Normal 2 3 15" xfId="309"/>
    <cellStyle name="Normal 2 3 2" xfId="310"/>
    <cellStyle name="Normal 2 3 2 2" xfId="311"/>
    <cellStyle name="Normal 2 3 2 2 2" xfId="312"/>
    <cellStyle name="Normal 2 3 2 2 3" xfId="313"/>
    <cellStyle name="Normal 2 3 2 3" xfId="314"/>
    <cellStyle name="Normal 2 3 2 4" xfId="315"/>
    <cellStyle name="Normal 2 3 2 5" xfId="316"/>
    <cellStyle name="Normal 2 3 3" xfId="317"/>
    <cellStyle name="Normal 2 3 3 2" xfId="318"/>
    <cellStyle name="Normal 2 3 3 3" xfId="319"/>
    <cellStyle name="Normal 2 3 4" xfId="320"/>
    <cellStyle name="Normal 2 3 5" xfId="321"/>
    <cellStyle name="Normal 2 3 6" xfId="322"/>
    <cellStyle name="Normal 2 3 7" xfId="323"/>
    <cellStyle name="Normal 2 3 8" xfId="324"/>
    <cellStyle name="Normal 2 3 9" xfId="325"/>
    <cellStyle name="Normal 2 4" xfId="326"/>
    <cellStyle name="Normal 2 4 10" xfId="327"/>
    <cellStyle name="Normal 2 4 11" xfId="328"/>
    <cellStyle name="Normal 2 4 12" xfId="329"/>
    <cellStyle name="Normal 2 4 12 2" xfId="330"/>
    <cellStyle name="Normal 2 4 12 3" xfId="331"/>
    <cellStyle name="Normal 2 4 13" xfId="332"/>
    <cellStyle name="Normal 2 4 13 2" xfId="333"/>
    <cellStyle name="Normal 2 4 13 3" xfId="334"/>
    <cellStyle name="Normal 2 4 2" xfId="335"/>
    <cellStyle name="Normal 2 4 2 2" xfId="336"/>
    <cellStyle name="Normal 2 4 2 2 2" xfId="337"/>
    <cellStyle name="Normal 2 4 2 2 3" xfId="338"/>
    <cellStyle name="Normal 2 4 2 3" xfId="339"/>
    <cellStyle name="Normal 2 4 2 4" xfId="340"/>
    <cellStyle name="Normal 2 4 2 5" xfId="341"/>
    <cellStyle name="Normal 2 4 3" xfId="342"/>
    <cellStyle name="Normal 2 4 3 2" xfId="343"/>
    <cellStyle name="Normal 2 4 3 3" xfId="344"/>
    <cellStyle name="Normal 2 4 4" xfId="345"/>
    <cellStyle name="Normal 2 4 5" xfId="346"/>
    <cellStyle name="Normal 2 4 6" xfId="347"/>
    <cellStyle name="Normal 2 4 7" xfId="348"/>
    <cellStyle name="Normal 2 4 8" xfId="349"/>
    <cellStyle name="Normal 2 4 9" xfId="350"/>
    <cellStyle name="Normal 2 5" xfId="351"/>
    <cellStyle name="Normal 2 5 10" xfId="352"/>
    <cellStyle name="Normal 2 5 11" xfId="353"/>
    <cellStyle name="Normal 2 5 12" xfId="354"/>
    <cellStyle name="Normal 2 5 12 2" xfId="355"/>
    <cellStyle name="Normal 2 5 12 3" xfId="356"/>
    <cellStyle name="Normal 2 5 2" xfId="357"/>
    <cellStyle name="Normal 2 5 2 2" xfId="358"/>
    <cellStyle name="Normal 2 5 3" xfId="359"/>
    <cellStyle name="Normal 2 5 3 2" xfId="360"/>
    <cellStyle name="Normal 2 5 4" xfId="361"/>
    <cellStyle name="Normal 2 5 5" xfId="362"/>
    <cellStyle name="Normal 2 5 6" xfId="363"/>
    <cellStyle name="Normal 2 5 7" xfId="364"/>
    <cellStyle name="Normal 2 5 8" xfId="365"/>
    <cellStyle name="Normal 2 5 9" xfId="366"/>
    <cellStyle name="Normal 2 6" xfId="367"/>
    <cellStyle name="Normal 2 6 10" xfId="368"/>
    <cellStyle name="Normal 2 6 11" xfId="369"/>
    <cellStyle name="Normal 2 6 12" xfId="370"/>
    <cellStyle name="Normal 2 6 2" xfId="371"/>
    <cellStyle name="Normal 2 6 2 2" xfId="372"/>
    <cellStyle name="Normal 2 6 3" xfId="373"/>
    <cellStyle name="Normal 2 6 3 2" xfId="374"/>
    <cellStyle name="Normal 2 6 4" xfId="375"/>
    <cellStyle name="Normal 2 6 5" xfId="376"/>
    <cellStyle name="Normal 2 6 6" xfId="377"/>
    <cellStyle name="Normal 2 6 7" xfId="378"/>
    <cellStyle name="Normal 2 6 8" xfId="379"/>
    <cellStyle name="Normal 2 6 9" xfId="380"/>
    <cellStyle name="Normal 2 7" xfId="381"/>
    <cellStyle name="Normal 2 7 10" xfId="382"/>
    <cellStyle name="Normal 2 7 11" xfId="383"/>
    <cellStyle name="Normal 2 7 2" xfId="384"/>
    <cellStyle name="Normal 2 7 2 2" xfId="385"/>
    <cellStyle name="Normal 2 7 2 3" xfId="386"/>
    <cellStyle name="Normal 2 7 3" xfId="387"/>
    <cellStyle name="Normal 2 7 3 2" xfId="388"/>
    <cellStyle name="Normal 2 7 4" xfId="389"/>
    <cellStyle name="Normal 2 7 4 2" xfId="390"/>
    <cellStyle name="Normal 2 7 5" xfId="391"/>
    <cellStyle name="Normal 2 7 5 2" xfId="392"/>
    <cellStyle name="Normal 2 7 6" xfId="393"/>
    <cellStyle name="Normal 2 7 6 2" xfId="394"/>
    <cellStyle name="Normal 2 7 7" xfId="395"/>
    <cellStyle name="Normal 2 7 7 2" xfId="396"/>
    <cellStyle name="Normal 2 7 8" xfId="397"/>
    <cellStyle name="Normal 2 7 8 2" xfId="398"/>
    <cellStyle name="Normal 2 7 9" xfId="399"/>
    <cellStyle name="Normal 2 8" xfId="400"/>
    <cellStyle name="Normal 2 8 10" xfId="401"/>
    <cellStyle name="Normal 2 8 11" xfId="402"/>
    <cellStyle name="Normal 2 8 2" xfId="403"/>
    <cellStyle name="Normal 2 8 2 2" xfId="404"/>
    <cellStyle name="Normal 2 8 3" xfId="405"/>
    <cellStyle name="Normal 2 8 3 2" xfId="406"/>
    <cellStyle name="Normal 2 8 4" xfId="407"/>
    <cellStyle name="Normal 2 8 4 2" xfId="408"/>
    <cellStyle name="Normal 2 8 5" xfId="409"/>
    <cellStyle name="Normal 2 8 5 2" xfId="410"/>
    <cellStyle name="Normal 2 8 6" xfId="411"/>
    <cellStyle name="Normal 2 8 6 2" xfId="412"/>
    <cellStyle name="Normal 2 8 7" xfId="413"/>
    <cellStyle name="Normal 2 8 7 2" xfId="414"/>
    <cellStyle name="Normal 2 8 8" xfId="415"/>
    <cellStyle name="Normal 2 8 8 2" xfId="416"/>
    <cellStyle name="Normal 2 8 9" xfId="417"/>
    <cellStyle name="Normal 2 9" xfId="418"/>
    <cellStyle name="Normal 2 9 10" xfId="419"/>
    <cellStyle name="Normal 2 9 11" xfId="420"/>
    <cellStyle name="Normal 2 9 2" xfId="421"/>
    <cellStyle name="Normal 2 9 2 2" xfId="422"/>
    <cellStyle name="Normal 2 9 3" xfId="423"/>
    <cellStyle name="Normal 2 9 3 2" xfId="424"/>
    <cellStyle name="Normal 2 9 4" xfId="425"/>
    <cellStyle name="Normal 2 9 4 2" xfId="426"/>
    <cellStyle name="Normal 2 9 5" xfId="427"/>
    <cellStyle name="Normal 2 9 5 2" xfId="428"/>
    <cellStyle name="Normal 2 9 6" xfId="429"/>
    <cellStyle name="Normal 2 9 6 2" xfId="430"/>
    <cellStyle name="Normal 2 9 7" xfId="431"/>
    <cellStyle name="Normal 2 9 7 2" xfId="432"/>
    <cellStyle name="Normal 2 9 8" xfId="433"/>
    <cellStyle name="Normal 2 9 8 2" xfId="434"/>
    <cellStyle name="Normal 2 9 9" xfId="435"/>
    <cellStyle name="Normal 20" xfId="436"/>
    <cellStyle name="Normal 20 2" xfId="437"/>
    <cellStyle name="Normal 20 3" xfId="438"/>
    <cellStyle name="Normal 21" xfId="439"/>
    <cellStyle name="Normal 21 2" xfId="440"/>
    <cellStyle name="Normal 21 2 2" xfId="441"/>
    <cellStyle name="Normal 21 2 3" xfId="442"/>
    <cellStyle name="Normal 21 3" xfId="443"/>
    <cellStyle name="Normal 21 4" xfId="444"/>
    <cellStyle name="Normal 21 5" xfId="445"/>
    <cellStyle name="Normal 22" xfId="446"/>
    <cellStyle name="Normal 22 2" xfId="447"/>
    <cellStyle name="Normal 22 3" xfId="448"/>
    <cellStyle name="Normal 23" xfId="449"/>
    <cellStyle name="Normal 23 2" xfId="450"/>
    <cellStyle name="Normal 23 3" xfId="451"/>
    <cellStyle name="Normal 24" xfId="452"/>
    <cellStyle name="Normal 24 2" xfId="453"/>
    <cellStyle name="Normal 24 3" xfId="454"/>
    <cellStyle name="Normal 25" xfId="455"/>
    <cellStyle name="Normal 25 2" xfId="456"/>
    <cellStyle name="Normal 25 3" xfId="457"/>
    <cellStyle name="Normal 26" xfId="458"/>
    <cellStyle name="Normal 27" xfId="459"/>
    <cellStyle name="Normal 27 2"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3" xfId="504"/>
    <cellStyle name="Normal 4 2 4" xfId="505"/>
    <cellStyle name="Normal 4 2 5" xfId="506"/>
    <cellStyle name="Normal 4 3" xfId="507"/>
    <cellStyle name="Normal 4 3 2" xfId="508"/>
    <cellStyle name="Normal 4 3 3" xfId="509"/>
    <cellStyle name="Normal 4 4" xfId="510"/>
    <cellStyle name="Normal 4 5" xfId="511"/>
    <cellStyle name="Normal 4 5 2" xfId="512"/>
    <cellStyle name="Normal 4 5 3" xfId="513"/>
    <cellStyle name="Normal 4 6" xfId="514"/>
    <cellStyle name="Normal 4 6 2" xfId="515"/>
    <cellStyle name="Normal 4 6 3" xfId="516"/>
    <cellStyle name="Normal 4 7" xfId="517"/>
    <cellStyle name="Normal 4 8" xfId="518"/>
    <cellStyle name="Normal 4 9" xfId="519"/>
    <cellStyle name="Normal 5" xfId="520"/>
    <cellStyle name="Normal 5 2" xfId="521"/>
    <cellStyle name="Normal 5 3" xfId="522"/>
    <cellStyle name="Normal 5 3 2" xfId="523"/>
    <cellStyle name="Normal 5 3 3" xfId="524"/>
    <cellStyle name="Normal 5 4" xfId="525"/>
    <cellStyle name="Normal 5 5" xfId="526"/>
    <cellStyle name="Normal 5 5 2" xfId="527"/>
    <cellStyle name="Normal 5 5 3" xfId="528"/>
    <cellStyle name="Normal 5 6" xfId="529"/>
    <cellStyle name="Normal 6" xfId="530"/>
    <cellStyle name="Normal 6 2" xfId="531"/>
    <cellStyle name="Normal 6 3" xfId="532"/>
    <cellStyle name="Normal 6 4" xfId="533"/>
    <cellStyle name="Normal 6 5" xfId="534"/>
    <cellStyle name="Normal 7" xfId="535"/>
    <cellStyle name="Normal 7 2" xfId="536"/>
    <cellStyle name="Normal 7 2 2" xfId="537"/>
    <cellStyle name="Normal 7 2 2 2" xfId="538"/>
    <cellStyle name="Normal 7 2 2 3" xfId="539"/>
    <cellStyle name="Normal 7 2 3" xfId="540"/>
    <cellStyle name="Normal 7 2 4" xfId="541"/>
    <cellStyle name="Normal 7 2 4 2" xfId="542"/>
    <cellStyle name="Normal 7 2 4 3" xfId="543"/>
    <cellStyle name="Normal 7 2 5" xfId="544"/>
    <cellStyle name="Normal 7 3" xfId="545"/>
    <cellStyle name="Normal 7 4" xfId="546"/>
    <cellStyle name="Normal 7 4 2" xfId="547"/>
    <cellStyle name="Normal 7 4 3" xfId="548"/>
    <cellStyle name="Normal 7 5" xfId="549"/>
    <cellStyle name="Normal 7 5 2" xfId="550"/>
    <cellStyle name="Normal 7 5 3" xfId="551"/>
    <cellStyle name="Normal 7 5 4" xfId="552"/>
    <cellStyle name="Normal 7 5 5" xfId="553"/>
    <cellStyle name="Normal 7 6" xfId="554"/>
    <cellStyle name="Normal 7 7" xfId="555"/>
    <cellStyle name="Normal 8" xfId="556"/>
    <cellStyle name="Normal 8 2" xfId="557"/>
    <cellStyle name="Normal 8 3" xfId="558"/>
    <cellStyle name="Normal 9" xfId="559"/>
    <cellStyle name="Normal 9 2" xfId="560"/>
    <cellStyle name="Normal 9 2 2" xfId="561"/>
    <cellStyle name="Normal 9 2 3" xfId="562"/>
    <cellStyle name="Normal 9 3" xfId="563"/>
    <cellStyle name="Normal 9 4" xfId="564"/>
    <cellStyle name="Normal 9 5" xfId="565"/>
    <cellStyle name="Normal 9 5 2" xfId="566"/>
    <cellStyle name="Normal 9 5 3" xfId="567"/>
    <cellStyle name="Normal 9 6" xfId="568"/>
    <cellStyle name="Normal 9 6 2" xfId="569"/>
    <cellStyle name="Normal 9 6 3" xfId="570"/>
    <cellStyle name="Normal_debt" xfId="571"/>
    <cellStyle name="Normal_lpform" xfId="572"/>
    <cellStyle name="Note" xfId="573"/>
    <cellStyle name="Output" xfId="574"/>
    <cellStyle name="Percent" xfId="575"/>
    <cellStyle name="Title" xfId="576"/>
    <cellStyle name="Total" xfId="577"/>
    <cellStyle name="Warning Text" xfId="578"/>
  </cellStyles>
  <dxfs count="339">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3"/>
  <sheetViews>
    <sheetView tabSelected="1" zoomScalePageLayoutView="0" workbookViewId="0" topLeftCell="A1">
      <selection activeCell="X11" sqref="X11"/>
    </sheetView>
  </sheetViews>
  <sheetFormatPr defaultColWidth="8.796875" defaultRowHeight="15"/>
  <cols>
    <col min="1" max="1" width="75.8984375" style="0" customWidth="1"/>
  </cols>
  <sheetData>
    <row r="1" ht="15.75">
      <c r="A1" s="28" t="s">
        <v>1000</v>
      </c>
    </row>
    <row r="3" ht="37.5" customHeight="1">
      <c r="A3" s="444" t="s">
        <v>1046</v>
      </c>
    </row>
    <row r="4" ht="15.75">
      <c r="A4" s="30"/>
    </row>
    <row r="5" ht="57" customHeight="1">
      <c r="A5" s="31" t="s">
        <v>7</v>
      </c>
    </row>
    <row r="6" ht="15.75">
      <c r="A6" s="31"/>
    </row>
    <row r="7" ht="71.25" customHeight="1">
      <c r="A7" s="31" t="s">
        <v>895</v>
      </c>
    </row>
    <row r="8" ht="15.75">
      <c r="A8" s="31"/>
    </row>
    <row r="9" ht="37.5" customHeight="1">
      <c r="A9" s="31" t="s">
        <v>287</v>
      </c>
    </row>
    <row r="11" ht="69.75" customHeight="1">
      <c r="A11" s="31" t="s">
        <v>63</v>
      </c>
    </row>
    <row r="13" ht="15.75">
      <c r="A13" s="28" t="s">
        <v>16</v>
      </c>
    </row>
    <row r="14" ht="15.75">
      <c r="A14" s="28"/>
    </row>
    <row r="15" ht="15.75">
      <c r="A15" s="30" t="s">
        <v>17</v>
      </c>
    </row>
    <row r="17" ht="47.25" customHeight="1">
      <c r="A17" s="32" t="s">
        <v>312</v>
      </c>
    </row>
    <row r="18" ht="15.75">
      <c r="A18" s="32"/>
    </row>
    <row r="20" ht="15.75">
      <c r="A20" s="28" t="s">
        <v>69</v>
      </c>
    </row>
    <row r="22" ht="48.75" customHeight="1">
      <c r="A22" s="31" t="s">
        <v>288</v>
      </c>
    </row>
    <row r="23" ht="15.75">
      <c r="A23" s="31"/>
    </row>
    <row r="24" ht="27" customHeight="1">
      <c r="A24" s="33" t="s">
        <v>289</v>
      </c>
    </row>
    <row r="25" ht="15.75">
      <c r="A25" s="31"/>
    </row>
    <row r="26" ht="15.75">
      <c r="A26" s="34" t="s">
        <v>213</v>
      </c>
    </row>
    <row r="27" ht="15.75">
      <c r="A27" s="35"/>
    </row>
    <row r="28" ht="102" customHeight="1">
      <c r="A28" s="36" t="s">
        <v>2</v>
      </c>
    </row>
    <row r="29" ht="15.75">
      <c r="A29" s="37"/>
    </row>
    <row r="30" ht="34.5" customHeight="1">
      <c r="A30" s="38" t="s">
        <v>290</v>
      </c>
    </row>
    <row r="31" ht="15.75">
      <c r="A31" s="37"/>
    </row>
    <row r="32" ht="15.75">
      <c r="A32" s="39" t="s">
        <v>15</v>
      </c>
    </row>
    <row r="33" ht="15.75">
      <c r="A33" s="37"/>
    </row>
    <row r="34" ht="27.75" customHeight="1">
      <c r="A34" s="31" t="s">
        <v>161</v>
      </c>
    </row>
    <row r="36" ht="15.75">
      <c r="A36" s="28" t="s">
        <v>162</v>
      </c>
    </row>
    <row r="38" ht="54.75" customHeight="1">
      <c r="A38" s="31" t="s">
        <v>702</v>
      </c>
    </row>
    <row r="39" ht="49.5" customHeight="1">
      <c r="A39" s="31" t="s">
        <v>223</v>
      </c>
    </row>
    <row r="40" ht="53.25" customHeight="1">
      <c r="A40" s="40" t="s">
        <v>291</v>
      </c>
    </row>
    <row r="41" ht="94.5">
      <c r="A41" s="678" t="s">
        <v>896</v>
      </c>
    </row>
    <row r="43" ht="63">
      <c r="A43" s="31" t="s">
        <v>703</v>
      </c>
    </row>
    <row r="44" ht="47.25">
      <c r="A44" s="31" t="s">
        <v>292</v>
      </c>
    </row>
    <row r="45" ht="94.5">
      <c r="A45" s="31" t="s">
        <v>64</v>
      </c>
    </row>
    <row r="46" ht="15.75">
      <c r="A46" s="31"/>
    </row>
    <row r="47" ht="47.25" customHeight="1">
      <c r="A47" s="679" t="s">
        <v>897</v>
      </c>
    </row>
    <row r="48" ht="59.25" customHeight="1">
      <c r="A48" s="719" t="s">
        <v>598</v>
      </c>
    </row>
    <row r="49" ht="56.25" customHeight="1">
      <c r="A49" s="680" t="s">
        <v>898</v>
      </c>
    </row>
    <row r="50" ht="15.75">
      <c r="A50" s="31"/>
    </row>
    <row r="51" ht="69" customHeight="1">
      <c r="A51" s="31" t="s">
        <v>599</v>
      </c>
    </row>
    <row r="52" ht="57.75" customHeight="1">
      <c r="A52" s="31" t="s">
        <v>600</v>
      </c>
    </row>
    <row r="53" ht="90.75" customHeight="1">
      <c r="A53" s="31" t="s">
        <v>962</v>
      </c>
    </row>
    <row r="54" ht="78.75">
      <c r="A54" s="681" t="s">
        <v>934</v>
      </c>
    </row>
    <row r="56" ht="71.25" customHeight="1">
      <c r="A56" s="31" t="s">
        <v>963</v>
      </c>
    </row>
    <row r="57" ht="135.75" customHeight="1">
      <c r="A57" s="31" t="s">
        <v>964</v>
      </c>
    </row>
    <row r="58" ht="35.25" customHeight="1">
      <c r="A58" s="31" t="s">
        <v>965</v>
      </c>
    </row>
    <row r="59" ht="15.75">
      <c r="A59" s="31"/>
    </row>
    <row r="60" ht="63">
      <c r="A60" s="681" t="s">
        <v>899</v>
      </c>
    </row>
    <row r="61" ht="15.75">
      <c r="A61" s="31"/>
    </row>
    <row r="62" ht="63">
      <c r="A62" s="31" t="s">
        <v>601</v>
      </c>
    </row>
    <row r="63" ht="15.75">
      <c r="A63" s="31" t="s">
        <v>609</v>
      </c>
    </row>
    <row r="64" ht="63">
      <c r="A64" s="31" t="s">
        <v>610</v>
      </c>
    </row>
    <row r="65" ht="15.75">
      <c r="A65" s="314" t="s">
        <v>611</v>
      </c>
    </row>
    <row r="67" ht="47.25">
      <c r="A67" s="31" t="s">
        <v>602</v>
      </c>
    </row>
    <row r="69" ht="63">
      <c r="A69" s="31" t="s">
        <v>603</v>
      </c>
    </row>
    <row r="70" ht="15.75">
      <c r="A70" s="31"/>
    </row>
    <row r="71" ht="126">
      <c r="A71" s="681" t="s">
        <v>900</v>
      </c>
    </row>
    <row r="73" ht="94.5">
      <c r="A73" s="31" t="s">
        <v>901</v>
      </c>
    </row>
    <row r="74" ht="47.25">
      <c r="A74" s="681" t="s">
        <v>933</v>
      </c>
    </row>
    <row r="75" ht="78.75">
      <c r="A75" s="449" t="s">
        <v>902</v>
      </c>
    </row>
    <row r="76" ht="63">
      <c r="A76" s="449" t="s">
        <v>903</v>
      </c>
    </row>
    <row r="77" ht="63">
      <c r="A77" s="449" t="s">
        <v>904</v>
      </c>
    </row>
    <row r="78" ht="110.25">
      <c r="A78" s="31" t="s">
        <v>905</v>
      </c>
    </row>
    <row r="79" ht="63">
      <c r="A79" s="681" t="s">
        <v>906</v>
      </c>
    </row>
    <row r="80" ht="110.25">
      <c r="A80" s="31" t="s">
        <v>907</v>
      </c>
    </row>
    <row r="81" ht="126">
      <c r="A81" s="31" t="s">
        <v>908</v>
      </c>
    </row>
    <row r="82" ht="47.25">
      <c r="A82" s="31" t="s">
        <v>909</v>
      </c>
    </row>
    <row r="83" ht="78.75">
      <c r="A83" s="31" t="s">
        <v>910</v>
      </c>
    </row>
    <row r="84" ht="31.5">
      <c r="A84" s="31" t="s">
        <v>911</v>
      </c>
    </row>
    <row r="85" ht="78.75">
      <c r="A85" s="31" t="s">
        <v>912</v>
      </c>
    </row>
    <row r="86" ht="94.5">
      <c r="A86" s="682" t="s">
        <v>913</v>
      </c>
    </row>
    <row r="87" ht="78.75">
      <c r="A87" s="683" t="s">
        <v>914</v>
      </c>
    </row>
    <row r="88" ht="31.5">
      <c r="A88" s="718" t="s">
        <v>915</v>
      </c>
    </row>
    <row r="89" ht="47.25">
      <c r="A89" s="681" t="s">
        <v>604</v>
      </c>
    </row>
    <row r="90" ht="15.75">
      <c r="A90" s="684" t="s">
        <v>605</v>
      </c>
    </row>
    <row r="91" ht="31.5">
      <c r="A91" s="449" t="s">
        <v>920</v>
      </c>
    </row>
    <row r="92" ht="110.25">
      <c r="A92" s="449" t="s">
        <v>921</v>
      </c>
    </row>
    <row r="93" ht="126">
      <c r="A93" s="449" t="s">
        <v>922</v>
      </c>
    </row>
    <row r="94" ht="63">
      <c r="A94" s="685" t="s">
        <v>923</v>
      </c>
    </row>
    <row r="95" ht="63">
      <c r="A95" s="686" t="s">
        <v>924</v>
      </c>
    </row>
    <row r="97" ht="126">
      <c r="A97" s="31" t="s">
        <v>916</v>
      </c>
    </row>
    <row r="98" ht="126">
      <c r="A98" s="31" t="s">
        <v>917</v>
      </c>
    </row>
    <row r="99" ht="47.25">
      <c r="A99" s="31" t="s">
        <v>918</v>
      </c>
    </row>
    <row r="100" ht="15.75">
      <c r="A100" s="31" t="s">
        <v>919</v>
      </c>
    </row>
    <row r="102" ht="47.25">
      <c r="A102" s="681" t="s">
        <v>925</v>
      </c>
    </row>
    <row r="103" ht="15.75">
      <c r="A103" s="720"/>
    </row>
    <row r="104" ht="47.25">
      <c r="A104" s="449" t="s">
        <v>926</v>
      </c>
    </row>
    <row r="105" ht="94.5">
      <c r="A105" s="449" t="s">
        <v>927</v>
      </c>
    </row>
    <row r="106" ht="94.5">
      <c r="A106" s="449" t="s">
        <v>928</v>
      </c>
    </row>
    <row r="107" ht="15.75">
      <c r="A107" s="449"/>
    </row>
    <row r="108" ht="15.75">
      <c r="A108" s="720"/>
    </row>
    <row r="109" ht="15.75">
      <c r="A109" s="720"/>
    </row>
    <row r="110" ht="15.75">
      <c r="A110" s="31"/>
    </row>
    <row r="111" ht="15.75">
      <c r="A111" s="31"/>
    </row>
    <row r="113" ht="15.75">
      <c r="A113" s="449"/>
    </row>
  </sheetData>
  <sheetProtection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Y80" sqref="Y80"/>
    </sheetView>
  </sheetViews>
  <sheetFormatPr defaultColWidth="8.796875" defaultRowHeight="15"/>
  <cols>
    <col min="1" max="1" width="4.796875" style="41" customWidth="1"/>
    <col min="2" max="2" width="20.796875" style="41" customWidth="1"/>
    <col min="3" max="3" width="9.296875" style="41" customWidth="1"/>
    <col min="4" max="4" width="8.69921875" style="41" customWidth="1"/>
    <col min="5" max="5" width="8.796875" style="41" customWidth="1"/>
    <col min="6" max="6" width="12.796875" style="41" customWidth="1"/>
    <col min="7" max="7" width="14.296875" style="41" customWidth="1"/>
    <col min="8" max="13" width="9.796875" style="41" customWidth="1"/>
    <col min="14" max="16384" width="8.8984375" style="41" customWidth="1"/>
  </cols>
  <sheetData>
    <row r="1" spans="2:13" ht="15.75">
      <c r="B1" s="161">
        <f>inputPrYr!$D$3</f>
        <v>0</v>
      </c>
      <c r="C1" s="43"/>
      <c r="D1" s="43"/>
      <c r="E1" s="43"/>
      <c r="F1" s="43"/>
      <c r="G1" s="43"/>
      <c r="H1" s="43"/>
      <c r="I1" s="43"/>
      <c r="J1" s="43"/>
      <c r="K1" s="43"/>
      <c r="L1" s="43"/>
      <c r="M1" s="183">
        <f>inputPrYr!$C$6</f>
        <v>0</v>
      </c>
    </row>
    <row r="2" spans="2:13" ht="15.75">
      <c r="B2" s="161"/>
      <c r="C2" s="43"/>
      <c r="D2" s="43"/>
      <c r="E2" s="43"/>
      <c r="F2" s="43"/>
      <c r="G2" s="43"/>
      <c r="H2" s="43"/>
      <c r="I2" s="43"/>
      <c r="J2" s="43"/>
      <c r="K2" s="43"/>
      <c r="L2" s="43"/>
      <c r="M2" s="135"/>
    </row>
    <row r="3" spans="2:13" ht="15.75">
      <c r="B3" s="184" t="s">
        <v>170</v>
      </c>
      <c r="C3" s="48"/>
      <c r="D3" s="48"/>
      <c r="E3" s="48"/>
      <c r="F3" s="48"/>
      <c r="G3" s="48"/>
      <c r="H3" s="48"/>
      <c r="I3" s="48"/>
      <c r="J3" s="48"/>
      <c r="K3" s="48"/>
      <c r="L3" s="48"/>
      <c r="M3" s="48"/>
    </row>
    <row r="4" spans="2:13" ht="10.5" customHeight="1">
      <c r="B4" s="43"/>
      <c r="C4" s="185"/>
      <c r="D4" s="185"/>
      <c r="E4" s="185"/>
      <c r="F4" s="185"/>
      <c r="G4" s="185"/>
      <c r="H4" s="185"/>
      <c r="I4" s="185"/>
      <c r="J4" s="185"/>
      <c r="K4" s="185"/>
      <c r="L4" s="185"/>
      <c r="M4" s="185"/>
    </row>
    <row r="5" spans="2:13" ht="18" customHeight="1">
      <c r="B5" s="119"/>
      <c r="C5" s="163" t="s">
        <v>138</v>
      </c>
      <c r="D5" s="163" t="s">
        <v>138</v>
      </c>
      <c r="E5" s="163" t="s">
        <v>152</v>
      </c>
      <c r="F5" s="163"/>
      <c r="G5" s="163" t="s">
        <v>252</v>
      </c>
      <c r="H5" s="43"/>
      <c r="I5" s="43"/>
      <c r="J5" s="186" t="s">
        <v>139</v>
      </c>
      <c r="K5" s="187"/>
      <c r="L5" s="186" t="s">
        <v>139</v>
      </c>
      <c r="M5" s="187"/>
    </row>
    <row r="6" spans="2:13" ht="15.75">
      <c r="B6" s="188" t="s">
        <v>812</v>
      </c>
      <c r="C6" s="188" t="s">
        <v>140</v>
      </c>
      <c r="D6" s="188" t="s">
        <v>253</v>
      </c>
      <c r="E6" s="188" t="s">
        <v>141</v>
      </c>
      <c r="F6" s="188" t="s">
        <v>95</v>
      </c>
      <c r="G6" s="188" t="s">
        <v>254</v>
      </c>
      <c r="H6" s="880" t="s">
        <v>142</v>
      </c>
      <c r="I6" s="881"/>
      <c r="J6" s="882">
        <f>M1-1</f>
        <v>-1</v>
      </c>
      <c r="K6" s="883"/>
      <c r="L6" s="882">
        <f>M1</f>
        <v>0</v>
      </c>
      <c r="M6" s="883"/>
    </row>
    <row r="7" spans="2:13" ht="15.75">
      <c r="B7" s="164" t="s">
        <v>811</v>
      </c>
      <c r="C7" s="164" t="s">
        <v>143</v>
      </c>
      <c r="D7" s="164" t="s">
        <v>255</v>
      </c>
      <c r="E7" s="164" t="s">
        <v>119</v>
      </c>
      <c r="F7" s="164" t="s">
        <v>144</v>
      </c>
      <c r="G7" s="189" t="str">
        <f>CONCATENATE("Jan 1,",M1-1,"")</f>
        <v>Jan 1,-1</v>
      </c>
      <c r="H7" s="123" t="s">
        <v>152</v>
      </c>
      <c r="I7" s="123" t="s">
        <v>154</v>
      </c>
      <c r="J7" s="123" t="s">
        <v>152</v>
      </c>
      <c r="K7" s="123" t="s">
        <v>154</v>
      </c>
      <c r="L7" s="123" t="s">
        <v>152</v>
      </c>
      <c r="M7" s="123" t="s">
        <v>154</v>
      </c>
    </row>
    <row r="8" spans="2:13" ht="15.75">
      <c r="B8" s="190" t="s">
        <v>145</v>
      </c>
      <c r="C8" s="53"/>
      <c r="D8" s="53"/>
      <c r="E8" s="191"/>
      <c r="F8" s="192"/>
      <c r="G8" s="192"/>
      <c r="H8" s="53"/>
      <c r="I8" s="53"/>
      <c r="J8" s="192"/>
      <c r="K8" s="192"/>
      <c r="L8" s="192"/>
      <c r="M8" s="192"/>
    </row>
    <row r="9" spans="2:13" ht="15.75">
      <c r="B9" s="56"/>
      <c r="C9" s="338"/>
      <c r="D9" s="338"/>
      <c r="E9" s="193"/>
      <c r="F9" s="194"/>
      <c r="G9" s="195"/>
      <c r="H9" s="196"/>
      <c r="I9" s="196"/>
      <c r="J9" s="195"/>
      <c r="K9" s="195"/>
      <c r="L9" s="195"/>
      <c r="M9" s="195"/>
    </row>
    <row r="10" spans="2:13" ht="15.75">
      <c r="B10" s="56"/>
      <c r="C10" s="338"/>
      <c r="D10" s="338"/>
      <c r="E10" s="193"/>
      <c r="F10" s="194"/>
      <c r="G10" s="195"/>
      <c r="H10" s="196"/>
      <c r="I10" s="196"/>
      <c r="J10" s="195"/>
      <c r="K10" s="195"/>
      <c r="L10" s="195"/>
      <c r="M10" s="195"/>
    </row>
    <row r="11" spans="2:13" ht="15.75">
      <c r="B11" s="56"/>
      <c r="C11" s="338"/>
      <c r="D11" s="338"/>
      <c r="E11" s="193"/>
      <c r="F11" s="194"/>
      <c r="G11" s="195"/>
      <c r="H11" s="196"/>
      <c r="I11" s="196"/>
      <c r="J11" s="195"/>
      <c r="K11" s="195"/>
      <c r="L11" s="195"/>
      <c r="M11" s="195"/>
    </row>
    <row r="12" spans="2:13" ht="15.75">
      <c r="B12" s="56"/>
      <c r="C12" s="338"/>
      <c r="D12" s="338"/>
      <c r="E12" s="193"/>
      <c r="F12" s="194"/>
      <c r="G12" s="195"/>
      <c r="H12" s="196"/>
      <c r="I12" s="196"/>
      <c r="J12" s="195"/>
      <c r="K12" s="195"/>
      <c r="L12" s="195"/>
      <c r="M12" s="195"/>
    </row>
    <row r="13" spans="2:13" ht="15.75">
      <c r="B13" s="56"/>
      <c r="C13" s="338"/>
      <c r="D13" s="338"/>
      <c r="E13" s="193"/>
      <c r="F13" s="194"/>
      <c r="G13" s="195"/>
      <c r="H13" s="196"/>
      <c r="I13" s="196"/>
      <c r="J13" s="195"/>
      <c r="K13" s="195"/>
      <c r="L13" s="195"/>
      <c r="M13" s="195"/>
    </row>
    <row r="14" spans="2:13" ht="15.75">
      <c r="B14" s="56"/>
      <c r="C14" s="338"/>
      <c r="D14" s="338"/>
      <c r="E14" s="193"/>
      <c r="F14" s="194"/>
      <c r="G14" s="195"/>
      <c r="H14" s="196"/>
      <c r="I14" s="196"/>
      <c r="J14" s="195"/>
      <c r="K14" s="195"/>
      <c r="L14" s="195"/>
      <c r="M14" s="195"/>
    </row>
    <row r="15" spans="2:13" ht="15.75">
      <c r="B15" s="56"/>
      <c r="C15" s="338"/>
      <c r="D15" s="338"/>
      <c r="E15" s="193"/>
      <c r="F15" s="194"/>
      <c r="G15" s="195"/>
      <c r="H15" s="196"/>
      <c r="I15" s="196"/>
      <c r="J15" s="195"/>
      <c r="K15" s="195"/>
      <c r="L15" s="195"/>
      <c r="M15" s="195"/>
    </row>
    <row r="16" spans="2:13" ht="15.75">
      <c r="B16" s="56"/>
      <c r="C16" s="338"/>
      <c r="D16" s="338"/>
      <c r="E16" s="193"/>
      <c r="F16" s="194"/>
      <c r="G16" s="195"/>
      <c r="H16" s="196"/>
      <c r="I16" s="196"/>
      <c r="J16" s="195"/>
      <c r="K16" s="195"/>
      <c r="L16" s="195"/>
      <c r="M16" s="195"/>
    </row>
    <row r="17" spans="2:13" ht="15.75">
      <c r="B17" s="56"/>
      <c r="C17" s="338"/>
      <c r="D17" s="338"/>
      <c r="E17" s="193"/>
      <c r="F17" s="194"/>
      <c r="G17" s="195"/>
      <c r="H17" s="196"/>
      <c r="I17" s="196"/>
      <c r="J17" s="195"/>
      <c r="K17" s="195"/>
      <c r="L17" s="195"/>
      <c r="M17" s="195"/>
    </row>
    <row r="18" spans="2:13" ht="15.75">
      <c r="B18" s="56"/>
      <c r="C18" s="338"/>
      <c r="D18" s="338"/>
      <c r="E18" s="193"/>
      <c r="F18" s="194"/>
      <c r="G18" s="195"/>
      <c r="H18" s="196"/>
      <c r="I18" s="196"/>
      <c r="J18" s="195"/>
      <c r="K18" s="195"/>
      <c r="L18" s="195"/>
      <c r="M18" s="195"/>
    </row>
    <row r="19" spans="2:13" ht="15.75">
      <c r="B19" s="56"/>
      <c r="C19" s="338"/>
      <c r="D19" s="338"/>
      <c r="E19" s="193"/>
      <c r="F19" s="194"/>
      <c r="G19" s="195"/>
      <c r="H19" s="196"/>
      <c r="I19" s="196"/>
      <c r="J19" s="195"/>
      <c r="K19" s="195"/>
      <c r="L19" s="195"/>
      <c r="M19" s="195"/>
    </row>
    <row r="20" spans="2:13" ht="15.75">
      <c r="B20" s="197" t="s">
        <v>146</v>
      </c>
      <c r="C20" s="198"/>
      <c r="D20" s="198"/>
      <c r="E20" s="199"/>
      <c r="F20" s="200"/>
      <c r="G20" s="201">
        <f>SUM(G9:G19)</f>
        <v>0</v>
      </c>
      <c r="H20" s="202"/>
      <c r="I20" s="202"/>
      <c r="J20" s="201">
        <f>SUM(J9:J19)</f>
        <v>0</v>
      </c>
      <c r="K20" s="201">
        <f>SUM(K9:K19)</f>
        <v>0</v>
      </c>
      <c r="L20" s="201">
        <f>SUM(L9:L19)</f>
        <v>0</v>
      </c>
      <c r="M20" s="201">
        <f>SUM(M9:M19)</f>
        <v>0</v>
      </c>
    </row>
    <row r="21" spans="2:13" ht="15.75">
      <c r="B21" s="190" t="s">
        <v>147</v>
      </c>
      <c r="C21" s="203"/>
      <c r="D21" s="203"/>
      <c r="E21" s="204"/>
      <c r="F21" s="205"/>
      <c r="G21" s="205"/>
      <c r="H21" s="206"/>
      <c r="I21" s="206"/>
      <c r="J21" s="205"/>
      <c r="K21" s="205"/>
      <c r="L21" s="205"/>
      <c r="M21" s="205"/>
    </row>
    <row r="22" spans="2:13" ht="15.75">
      <c r="B22" s="56"/>
      <c r="C22" s="338"/>
      <c r="D22" s="338"/>
      <c r="E22" s="193"/>
      <c r="F22" s="194"/>
      <c r="G22" s="195"/>
      <c r="H22" s="196"/>
      <c r="I22" s="196"/>
      <c r="J22" s="195"/>
      <c r="K22" s="195"/>
      <c r="L22" s="195"/>
      <c r="M22" s="195"/>
    </row>
    <row r="23" spans="2:13" ht="15.75">
      <c r="B23" s="56"/>
      <c r="C23" s="338"/>
      <c r="D23" s="338"/>
      <c r="E23" s="193"/>
      <c r="F23" s="194"/>
      <c r="G23" s="195"/>
      <c r="H23" s="196"/>
      <c r="I23" s="196"/>
      <c r="J23" s="195"/>
      <c r="K23" s="195"/>
      <c r="L23" s="195"/>
      <c r="M23" s="195"/>
    </row>
    <row r="24" spans="2:13" ht="15.75">
      <c r="B24" s="56"/>
      <c r="C24" s="338"/>
      <c r="D24" s="338"/>
      <c r="E24" s="193"/>
      <c r="F24" s="194"/>
      <c r="G24" s="195"/>
      <c r="H24" s="196"/>
      <c r="I24" s="196"/>
      <c r="J24" s="195"/>
      <c r="K24" s="195"/>
      <c r="L24" s="195"/>
      <c r="M24" s="195"/>
    </row>
    <row r="25" spans="2:13" ht="15.75">
      <c r="B25" s="56"/>
      <c r="C25" s="338"/>
      <c r="D25" s="338"/>
      <c r="E25" s="193"/>
      <c r="F25" s="194"/>
      <c r="G25" s="195"/>
      <c r="H25" s="196"/>
      <c r="I25" s="196"/>
      <c r="J25" s="195"/>
      <c r="K25" s="195"/>
      <c r="L25" s="195"/>
      <c r="M25" s="195"/>
    </row>
    <row r="26" spans="2:13" ht="15.75">
      <c r="B26" s="56"/>
      <c r="C26" s="338"/>
      <c r="D26" s="338"/>
      <c r="E26" s="193"/>
      <c r="F26" s="194"/>
      <c r="G26" s="195"/>
      <c r="H26" s="196"/>
      <c r="I26" s="196"/>
      <c r="J26" s="195"/>
      <c r="K26" s="195"/>
      <c r="L26" s="195"/>
      <c r="M26" s="195"/>
    </row>
    <row r="27" spans="2:13" ht="15.75">
      <c r="B27" s="56"/>
      <c r="C27" s="338"/>
      <c r="D27" s="338"/>
      <c r="E27" s="193"/>
      <c r="F27" s="194"/>
      <c r="G27" s="195"/>
      <c r="H27" s="196"/>
      <c r="I27" s="196"/>
      <c r="J27" s="195"/>
      <c r="K27" s="195"/>
      <c r="L27" s="195"/>
      <c r="M27" s="195"/>
    </row>
    <row r="28" spans="2:13" ht="15.75">
      <c r="B28" s="56"/>
      <c r="C28" s="338"/>
      <c r="D28" s="338"/>
      <c r="E28" s="193"/>
      <c r="F28" s="194"/>
      <c r="G28" s="195"/>
      <c r="H28" s="196"/>
      <c r="I28" s="196"/>
      <c r="J28" s="195"/>
      <c r="K28" s="195"/>
      <c r="L28" s="195"/>
      <c r="M28" s="195"/>
    </row>
    <row r="29" spans="2:13" ht="15.75">
      <c r="B29" s="56"/>
      <c r="C29" s="338"/>
      <c r="D29" s="338"/>
      <c r="E29" s="193"/>
      <c r="F29" s="194"/>
      <c r="G29" s="195"/>
      <c r="H29" s="196"/>
      <c r="I29" s="196"/>
      <c r="J29" s="195"/>
      <c r="K29" s="195"/>
      <c r="L29" s="195"/>
      <c r="M29" s="195"/>
    </row>
    <row r="30" spans="2:13" ht="15.75">
      <c r="B30" s="56"/>
      <c r="C30" s="338"/>
      <c r="D30" s="338"/>
      <c r="E30" s="193"/>
      <c r="F30" s="194"/>
      <c r="G30" s="195"/>
      <c r="H30" s="196"/>
      <c r="I30" s="196"/>
      <c r="J30" s="195"/>
      <c r="K30" s="195"/>
      <c r="L30" s="195"/>
      <c r="M30" s="195"/>
    </row>
    <row r="31" spans="2:13" ht="15.75">
      <c r="B31" s="56"/>
      <c r="C31" s="338"/>
      <c r="D31" s="338"/>
      <c r="E31" s="193"/>
      <c r="F31" s="194"/>
      <c r="G31" s="195"/>
      <c r="H31" s="196"/>
      <c r="I31" s="196"/>
      <c r="J31" s="195"/>
      <c r="K31" s="195"/>
      <c r="L31" s="195"/>
      <c r="M31" s="195"/>
    </row>
    <row r="32" spans="2:13" ht="15.75">
      <c r="B32" s="197" t="s">
        <v>148</v>
      </c>
      <c r="C32" s="198"/>
      <c r="D32" s="198"/>
      <c r="E32" s="207"/>
      <c r="F32" s="200"/>
      <c r="G32" s="208">
        <f>SUM(G22:G31)</f>
        <v>0</v>
      </c>
      <c r="H32" s="202"/>
      <c r="I32" s="202"/>
      <c r="J32" s="208">
        <f>SUM(J22:J31)</f>
        <v>0</v>
      </c>
      <c r="K32" s="208">
        <f>SUM(K22:K31)</f>
        <v>0</v>
      </c>
      <c r="L32" s="201">
        <f>SUM(L22:L31)</f>
        <v>0</v>
      </c>
      <c r="M32" s="208">
        <f>SUM(M22:M31)</f>
        <v>0</v>
      </c>
    </row>
    <row r="33" spans="2:13" ht="15.75">
      <c r="B33" s="190" t="s">
        <v>149</v>
      </c>
      <c r="C33" s="203"/>
      <c r="D33" s="203"/>
      <c r="E33" s="204"/>
      <c r="F33" s="205"/>
      <c r="G33" s="209"/>
      <c r="H33" s="206"/>
      <c r="I33" s="206"/>
      <c r="J33" s="205"/>
      <c r="K33" s="205"/>
      <c r="L33" s="205"/>
      <c r="M33" s="205"/>
    </row>
    <row r="34" spans="2:13" ht="15.75">
      <c r="B34" s="56"/>
      <c r="C34" s="338"/>
      <c r="D34" s="338"/>
      <c r="E34" s="193"/>
      <c r="F34" s="194"/>
      <c r="G34" s="195"/>
      <c r="H34" s="196"/>
      <c r="I34" s="196"/>
      <c r="J34" s="195"/>
      <c r="K34" s="195"/>
      <c r="L34" s="195"/>
      <c r="M34" s="195"/>
    </row>
    <row r="35" spans="2:13" ht="15.75">
      <c r="B35" s="56"/>
      <c r="C35" s="338"/>
      <c r="D35" s="338"/>
      <c r="E35" s="193"/>
      <c r="F35" s="194"/>
      <c r="G35" s="195"/>
      <c r="H35" s="196"/>
      <c r="I35" s="196"/>
      <c r="J35" s="195"/>
      <c r="K35" s="195"/>
      <c r="L35" s="195"/>
      <c r="M35" s="195"/>
    </row>
    <row r="36" spans="2:13" ht="15.75">
      <c r="B36" s="56"/>
      <c r="C36" s="338"/>
      <c r="D36" s="338"/>
      <c r="E36" s="193"/>
      <c r="F36" s="194"/>
      <c r="G36" s="195"/>
      <c r="H36" s="196"/>
      <c r="I36" s="196"/>
      <c r="J36" s="195"/>
      <c r="K36" s="195"/>
      <c r="L36" s="195"/>
      <c r="M36" s="195"/>
    </row>
    <row r="37" spans="2:13" ht="15.75">
      <c r="B37" s="56"/>
      <c r="C37" s="338"/>
      <c r="D37" s="338"/>
      <c r="E37" s="193"/>
      <c r="F37" s="194"/>
      <c r="G37" s="195"/>
      <c r="H37" s="196"/>
      <c r="I37" s="196"/>
      <c r="J37" s="195"/>
      <c r="K37" s="195"/>
      <c r="L37" s="195"/>
      <c r="M37" s="195"/>
    </row>
    <row r="38" spans="2:13" ht="15.75">
      <c r="B38" s="56"/>
      <c r="C38" s="338"/>
      <c r="D38" s="338"/>
      <c r="E38" s="193"/>
      <c r="F38" s="194"/>
      <c r="G38" s="195"/>
      <c r="H38" s="196"/>
      <c r="I38" s="196"/>
      <c r="J38" s="195"/>
      <c r="K38" s="195"/>
      <c r="L38" s="195"/>
      <c r="M38" s="195"/>
    </row>
    <row r="39" spans="2:13" ht="15.75">
      <c r="B39" s="56"/>
      <c r="C39" s="338"/>
      <c r="D39" s="338"/>
      <c r="E39" s="193"/>
      <c r="F39" s="194"/>
      <c r="G39" s="195"/>
      <c r="H39" s="196"/>
      <c r="I39" s="196"/>
      <c r="J39" s="195"/>
      <c r="K39" s="195"/>
      <c r="L39" s="195"/>
      <c r="M39" s="195"/>
    </row>
    <row r="40" spans="2:13" ht="15.75">
      <c r="B40" s="56"/>
      <c r="C40" s="338"/>
      <c r="D40" s="338"/>
      <c r="E40" s="193"/>
      <c r="F40" s="194"/>
      <c r="G40" s="195"/>
      <c r="H40" s="196"/>
      <c r="I40" s="196"/>
      <c r="J40" s="195"/>
      <c r="K40" s="195"/>
      <c r="L40" s="195"/>
      <c r="M40" s="195"/>
    </row>
    <row r="41" spans="2:29" ht="15.75">
      <c r="B41" s="56"/>
      <c r="C41" s="338"/>
      <c r="D41" s="338"/>
      <c r="E41" s="193"/>
      <c r="F41" s="194"/>
      <c r="G41" s="195"/>
      <c r="H41" s="196"/>
      <c r="I41" s="196"/>
      <c r="J41" s="195"/>
      <c r="K41" s="195"/>
      <c r="L41" s="195"/>
      <c r="M41" s="195"/>
      <c r="N41" s="29"/>
      <c r="O41" s="29"/>
      <c r="P41" s="29"/>
      <c r="Q41" s="29"/>
      <c r="R41" s="29"/>
      <c r="S41" s="29"/>
      <c r="T41" s="29"/>
      <c r="U41" s="29"/>
      <c r="V41" s="29"/>
      <c r="W41" s="29"/>
      <c r="X41" s="29"/>
      <c r="Y41" s="29"/>
      <c r="Z41" s="29"/>
      <c r="AA41" s="29"/>
      <c r="AB41" s="29"/>
      <c r="AC41" s="29"/>
    </row>
    <row r="42" spans="2:13" ht="15.75">
      <c r="B42" s="197" t="s">
        <v>256</v>
      </c>
      <c r="C42" s="178"/>
      <c r="D42" s="178"/>
      <c r="E42" s="207"/>
      <c r="F42" s="200"/>
      <c r="G42" s="208">
        <f>SUM(G34:G41)</f>
        <v>0</v>
      </c>
      <c r="H42" s="200"/>
      <c r="I42" s="200"/>
      <c r="J42" s="208">
        <f>SUM(J34:J41)</f>
        <v>0</v>
      </c>
      <c r="K42" s="208">
        <f>SUM(K34:K41)</f>
        <v>0</v>
      </c>
      <c r="L42" s="208">
        <f>SUM(L34:L41)</f>
        <v>0</v>
      </c>
      <c r="M42" s="208">
        <f>SUM(M34:M41)</f>
        <v>0</v>
      </c>
    </row>
    <row r="43" spans="2:13" ht="15.75">
      <c r="B43" s="197" t="s">
        <v>150</v>
      </c>
      <c r="C43" s="178"/>
      <c r="D43" s="178"/>
      <c r="E43" s="178"/>
      <c r="F43" s="200"/>
      <c r="G43" s="208">
        <f>SUM(G20+G32+G42)</f>
        <v>0</v>
      </c>
      <c r="H43" s="200"/>
      <c r="I43" s="200"/>
      <c r="J43" s="208">
        <f>SUM(J20+J32+J42)</f>
        <v>0</v>
      </c>
      <c r="K43" s="208">
        <f>SUM(K20+K32+K42)</f>
        <v>0</v>
      </c>
      <c r="L43" s="208">
        <f>SUM(L20+L32+L42)</f>
        <v>0</v>
      </c>
      <c r="M43" s="208">
        <f>SUM(M20+M32+M42)</f>
        <v>0</v>
      </c>
    </row>
    <row r="44" spans="2:13" ht="15.75">
      <c r="B44" s="29"/>
      <c r="C44" s="29"/>
      <c r="D44" s="29"/>
      <c r="E44" s="29"/>
      <c r="F44" s="29"/>
      <c r="G44" s="29"/>
      <c r="H44" s="29"/>
      <c r="I44" s="29"/>
      <c r="J44" s="29"/>
      <c r="K44" s="29"/>
      <c r="L44" s="29"/>
      <c r="M44" s="29"/>
    </row>
    <row r="45" spans="6:13" ht="15.75">
      <c r="F45" s="210"/>
      <c r="G45" s="210"/>
      <c r="J45" s="210"/>
      <c r="K45" s="210"/>
      <c r="L45" s="210"/>
      <c r="M45" s="210"/>
    </row>
    <row r="46" spans="6:14" ht="15.75">
      <c r="F46" s="29"/>
      <c r="H46" s="211"/>
      <c r="N46" s="29"/>
    </row>
    <row r="47" spans="2:13" ht="15.75">
      <c r="B47" s="29"/>
      <c r="C47" s="29"/>
      <c r="D47" s="29"/>
      <c r="E47" s="29"/>
      <c r="F47" s="29"/>
      <c r="G47" s="29"/>
      <c r="H47" s="29"/>
      <c r="I47" s="29"/>
      <c r="J47" s="29"/>
      <c r="K47" s="29"/>
      <c r="L47" s="29"/>
      <c r="M47" s="29"/>
    </row>
    <row r="48" spans="2:13" ht="15.75">
      <c r="B48" s="29"/>
      <c r="C48" s="29"/>
      <c r="D48" s="29"/>
      <c r="E48" s="29"/>
      <c r="F48" s="29"/>
      <c r="G48" s="29"/>
      <c r="H48" s="29"/>
      <c r="I48" s="29"/>
      <c r="J48" s="29"/>
      <c r="K48" s="29"/>
      <c r="L48" s="29"/>
      <c r="M48" s="29"/>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W63" sqref="W63"/>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f>inputPrYr!$D$3</f>
        <v>0</v>
      </c>
      <c r="C1" s="5"/>
      <c r="D1" s="5"/>
      <c r="E1" s="5"/>
      <c r="F1" s="5"/>
      <c r="G1" s="5"/>
      <c r="H1" s="5"/>
      <c r="I1" s="20">
        <f>inputPrYr!C6</f>
        <v>0</v>
      </c>
    </row>
    <row r="2" spans="2:9" ht="15.75">
      <c r="B2" s="10"/>
      <c r="C2" s="5"/>
      <c r="D2" s="5"/>
      <c r="E2" s="5"/>
      <c r="F2" s="5"/>
      <c r="G2" s="5"/>
      <c r="H2" s="5"/>
      <c r="I2" s="7"/>
    </row>
    <row r="3" spans="2:9" ht="15.75">
      <c r="B3" s="5"/>
      <c r="C3" s="5"/>
      <c r="D3" s="5"/>
      <c r="E3" s="5"/>
      <c r="F3" s="5"/>
      <c r="G3" s="5"/>
      <c r="H3" s="5"/>
      <c r="I3" s="6"/>
    </row>
    <row r="4" spans="2:9" ht="15.75">
      <c r="B4" s="11" t="s">
        <v>164</v>
      </c>
      <c r="C4" s="8"/>
      <c r="D4" s="8"/>
      <c r="E4" s="8"/>
      <c r="F4" s="8"/>
      <c r="G4" s="8"/>
      <c r="H4" s="8"/>
      <c r="I4" s="8"/>
    </row>
    <row r="5" spans="2:9" ht="15.75">
      <c r="B5" s="4"/>
      <c r="C5" s="16"/>
      <c r="D5" s="16"/>
      <c r="E5" s="16"/>
      <c r="F5" s="16"/>
      <c r="G5" s="16"/>
      <c r="H5" s="16"/>
      <c r="I5" s="16"/>
    </row>
    <row r="6" spans="2:9" ht="15.75">
      <c r="B6" s="9"/>
      <c r="C6" s="9"/>
      <c r="D6" s="9"/>
      <c r="E6" s="9"/>
      <c r="F6" s="12" t="s">
        <v>74</v>
      </c>
      <c r="G6" s="9"/>
      <c r="H6" s="9"/>
      <c r="I6" s="9"/>
    </row>
    <row r="7" spans="2:9" ht="15.75">
      <c r="B7" s="563"/>
      <c r="C7" s="13"/>
      <c r="D7" s="13" t="s">
        <v>151</v>
      </c>
      <c r="E7" s="13" t="s">
        <v>152</v>
      </c>
      <c r="F7" s="13" t="s">
        <v>95</v>
      </c>
      <c r="G7" s="13" t="s">
        <v>154</v>
      </c>
      <c r="H7" s="13" t="s">
        <v>155</v>
      </c>
      <c r="I7" s="13" t="s">
        <v>155</v>
      </c>
    </row>
    <row r="8" spans="2:9" ht="15.75">
      <c r="B8" s="13" t="s">
        <v>814</v>
      </c>
      <c r="C8" s="13" t="s">
        <v>156</v>
      </c>
      <c r="D8" s="13" t="s">
        <v>157</v>
      </c>
      <c r="E8" s="13" t="s">
        <v>141</v>
      </c>
      <c r="F8" s="13" t="s">
        <v>158</v>
      </c>
      <c r="G8" s="13" t="s">
        <v>203</v>
      </c>
      <c r="H8" s="13" t="s">
        <v>159</v>
      </c>
      <c r="I8" s="13" t="s">
        <v>159</v>
      </c>
    </row>
    <row r="9" spans="2:9" ht="15.75">
      <c r="B9" s="14" t="s">
        <v>813</v>
      </c>
      <c r="C9" s="14" t="s">
        <v>138</v>
      </c>
      <c r="D9" s="18" t="s">
        <v>160</v>
      </c>
      <c r="E9" s="14" t="s">
        <v>119</v>
      </c>
      <c r="F9" s="18" t="s">
        <v>216</v>
      </c>
      <c r="G9" s="15" t="str">
        <f>CONCATENATE("Jan 1,",I1-1,"")</f>
        <v>Jan 1,-1</v>
      </c>
      <c r="H9" s="14">
        <f>I1-1</f>
        <v>-1</v>
      </c>
      <c r="I9" s="14">
        <f>I1</f>
        <v>0</v>
      </c>
    </row>
    <row r="10" spans="2:9" ht="15.75">
      <c r="B10" s="3"/>
      <c r="C10" s="25"/>
      <c r="D10" s="23"/>
      <c r="E10" s="21"/>
      <c r="F10" s="22"/>
      <c r="G10" s="22"/>
      <c r="H10" s="22"/>
      <c r="I10" s="22"/>
    </row>
    <row r="11" spans="2:9" ht="15.75">
      <c r="B11" s="3"/>
      <c r="C11" s="25"/>
      <c r="D11" s="23"/>
      <c r="E11" s="21"/>
      <c r="F11" s="22"/>
      <c r="G11" s="22"/>
      <c r="H11" s="22"/>
      <c r="I11" s="22"/>
    </row>
    <row r="12" spans="2:9" ht="15.75">
      <c r="B12" s="3"/>
      <c r="C12" s="25"/>
      <c r="D12" s="23"/>
      <c r="E12" s="21"/>
      <c r="F12" s="22"/>
      <c r="G12" s="22"/>
      <c r="H12" s="22"/>
      <c r="I12" s="22"/>
    </row>
    <row r="13" spans="2:9" ht="15.75">
      <c r="B13" s="3"/>
      <c r="C13" s="25"/>
      <c r="D13" s="23"/>
      <c r="E13" s="21"/>
      <c r="F13" s="22"/>
      <c r="G13" s="22"/>
      <c r="H13" s="22"/>
      <c r="I13" s="22"/>
    </row>
    <row r="14" spans="2:9" ht="15.75">
      <c r="B14" s="3"/>
      <c r="C14" s="25"/>
      <c r="D14" s="23"/>
      <c r="E14" s="21"/>
      <c r="F14" s="22"/>
      <c r="G14" s="22"/>
      <c r="H14" s="22"/>
      <c r="I14" s="22"/>
    </row>
    <row r="15" spans="2:9" ht="15.75">
      <c r="B15" s="3"/>
      <c r="C15" s="25"/>
      <c r="D15" s="23"/>
      <c r="E15" s="21"/>
      <c r="F15" s="22"/>
      <c r="G15" s="22"/>
      <c r="H15" s="22"/>
      <c r="I15" s="22"/>
    </row>
    <row r="16" spans="2:9" ht="15.75">
      <c r="B16" s="3"/>
      <c r="C16" s="25"/>
      <c r="D16" s="23"/>
      <c r="E16" s="21"/>
      <c r="F16" s="22"/>
      <c r="G16" s="22"/>
      <c r="H16" s="22"/>
      <c r="I16" s="22"/>
    </row>
    <row r="17" spans="2:9" ht="15.75">
      <c r="B17" s="3"/>
      <c r="C17" s="25"/>
      <c r="D17" s="23"/>
      <c r="E17" s="21"/>
      <c r="F17" s="22"/>
      <c r="G17" s="22"/>
      <c r="H17" s="22"/>
      <c r="I17" s="22"/>
    </row>
    <row r="18" spans="2:9" ht="15.75">
      <c r="B18" s="3"/>
      <c r="C18" s="25"/>
      <c r="D18" s="23"/>
      <c r="E18" s="21"/>
      <c r="F18" s="22"/>
      <c r="G18" s="22"/>
      <c r="H18" s="22"/>
      <c r="I18" s="22"/>
    </row>
    <row r="19" spans="2:9" ht="15.75">
      <c r="B19" s="3"/>
      <c r="C19" s="25"/>
      <c r="D19" s="23"/>
      <c r="E19" s="21"/>
      <c r="F19" s="22"/>
      <c r="G19" s="22"/>
      <c r="H19" s="22"/>
      <c r="I19" s="22"/>
    </row>
    <row r="20" spans="2:9" ht="15.75">
      <c r="B20" s="3"/>
      <c r="C20" s="25"/>
      <c r="D20" s="23"/>
      <c r="E20" s="21"/>
      <c r="F20" s="22"/>
      <c r="G20" s="22"/>
      <c r="H20" s="22"/>
      <c r="I20" s="22"/>
    </row>
    <row r="21" spans="2:9" ht="15.75">
      <c r="B21" s="3"/>
      <c r="C21" s="25"/>
      <c r="D21" s="23"/>
      <c r="E21" s="21"/>
      <c r="F21" s="22"/>
      <c r="G21" s="22"/>
      <c r="H21" s="22"/>
      <c r="I21" s="22"/>
    </row>
    <row r="22" spans="2:9" ht="15.75">
      <c r="B22" s="3"/>
      <c r="C22" s="25"/>
      <c r="D22" s="23"/>
      <c r="E22" s="21"/>
      <c r="F22" s="22"/>
      <c r="G22" s="22"/>
      <c r="H22" s="22"/>
      <c r="I22" s="22"/>
    </row>
    <row r="23" spans="2:9" ht="15.75">
      <c r="B23" s="3"/>
      <c r="C23" s="25"/>
      <c r="D23" s="23"/>
      <c r="E23" s="21"/>
      <c r="F23" s="22"/>
      <c r="G23" s="22"/>
      <c r="H23" s="22"/>
      <c r="I23" s="22"/>
    </row>
    <row r="24" spans="2:9" ht="15.75">
      <c r="B24" s="3"/>
      <c r="C24" s="25"/>
      <c r="D24" s="23"/>
      <c r="E24" s="21"/>
      <c r="F24" s="22"/>
      <c r="G24" s="22"/>
      <c r="H24" s="22"/>
      <c r="I24" s="22"/>
    </row>
    <row r="25" spans="2:9" ht="15.75">
      <c r="B25" s="3"/>
      <c r="C25" s="25"/>
      <c r="D25" s="23"/>
      <c r="E25" s="21"/>
      <c r="F25" s="22"/>
      <c r="G25" s="22"/>
      <c r="H25" s="22"/>
      <c r="I25" s="22"/>
    </row>
    <row r="26" spans="2:9" ht="15.75">
      <c r="B26" s="3"/>
      <c r="C26" s="25"/>
      <c r="D26" s="23"/>
      <c r="E26" s="21"/>
      <c r="F26" s="22"/>
      <c r="G26" s="22"/>
      <c r="H26" s="22"/>
      <c r="I26" s="22"/>
    </row>
    <row r="27" spans="2:9" ht="15.75">
      <c r="B27" s="3"/>
      <c r="C27" s="25"/>
      <c r="D27" s="23"/>
      <c r="E27" s="21"/>
      <c r="F27" s="22"/>
      <c r="G27" s="22"/>
      <c r="H27" s="22"/>
      <c r="I27" s="22"/>
    </row>
    <row r="28" spans="2:9" ht="16.5" thickBot="1">
      <c r="B28" s="17"/>
      <c r="C28" s="19"/>
      <c r="D28" s="19"/>
      <c r="E28" s="19"/>
      <c r="F28" s="661" t="s">
        <v>90</v>
      </c>
      <c r="G28" s="24">
        <f>SUM(G10:G27)</f>
        <v>0</v>
      </c>
      <c r="H28" s="24">
        <f>SUM(H10:H27)</f>
        <v>0</v>
      </c>
      <c r="I28" s="24">
        <f>SUM(I10:I27)</f>
        <v>0</v>
      </c>
    </row>
    <row r="29" spans="2:9" ht="16.5" thickTop="1">
      <c r="B29" s="5"/>
      <c r="C29" s="5"/>
      <c r="D29" s="5"/>
      <c r="E29" s="5"/>
      <c r="F29" s="5"/>
      <c r="G29" s="5"/>
      <c r="H29" s="10"/>
      <c r="I29" s="10"/>
    </row>
    <row r="30" spans="2:9" ht="15.75">
      <c r="B30" s="26" t="s">
        <v>19</v>
      </c>
      <c r="C30" s="27"/>
      <c r="D30" s="27"/>
      <c r="E30" s="27"/>
      <c r="F30" s="27"/>
      <c r="G30" s="27"/>
      <c r="H30" s="10"/>
      <c r="I30" s="10"/>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49" sqref="U149"/>
    </sheetView>
  </sheetViews>
  <sheetFormatPr defaultColWidth="8.796875" defaultRowHeight="15"/>
  <cols>
    <col min="1" max="1" width="2.59765625" style="631" customWidth="1"/>
    <col min="2" max="4" width="8.8984375" style="631" customWidth="1"/>
    <col min="5" max="5" width="9.69921875" style="631" customWidth="1"/>
    <col min="6" max="6" width="8.8984375" style="631" customWidth="1"/>
    <col min="7" max="7" width="9.69921875" style="631" customWidth="1"/>
    <col min="8" max="16384" width="8.8984375" style="631" customWidth="1"/>
  </cols>
  <sheetData>
    <row r="1" spans="2:9" ht="15.75">
      <c r="B1" s="630"/>
      <c r="C1" s="630"/>
      <c r="D1" s="630"/>
      <c r="E1" s="630"/>
      <c r="F1" s="630"/>
      <c r="G1" s="630"/>
      <c r="H1" s="630"/>
      <c r="I1" s="630"/>
    </row>
    <row r="2" spans="2:9" ht="15.75">
      <c r="B2" s="884" t="s">
        <v>836</v>
      </c>
      <c r="C2" s="884"/>
      <c r="D2" s="884"/>
      <c r="E2" s="884"/>
      <c r="F2" s="884"/>
      <c r="G2" s="884"/>
      <c r="H2" s="884"/>
      <c r="I2" s="884"/>
    </row>
    <row r="3" spans="2:9" ht="15.75">
      <c r="B3" s="884" t="s">
        <v>837</v>
      </c>
      <c r="C3" s="884"/>
      <c r="D3" s="884"/>
      <c r="E3" s="884"/>
      <c r="F3" s="884"/>
      <c r="G3" s="884"/>
      <c r="H3" s="884"/>
      <c r="I3" s="884"/>
    </row>
    <row r="4" spans="2:9" ht="15.75">
      <c r="B4" s="632"/>
      <c r="C4" s="632"/>
      <c r="D4" s="632"/>
      <c r="E4" s="632"/>
      <c r="F4" s="632"/>
      <c r="G4" s="632"/>
      <c r="H4" s="632"/>
      <c r="I4" s="632"/>
    </row>
    <row r="5" spans="2:9" ht="15.75">
      <c r="B5" s="885" t="str">
        <f>CONCATENATE("Budgeted Year: ",inputPrYr!C6,"")</f>
        <v>Budgeted Year: </v>
      </c>
      <c r="C5" s="885"/>
      <c r="D5" s="885"/>
      <c r="E5" s="885"/>
      <c r="F5" s="885"/>
      <c r="G5" s="885"/>
      <c r="H5" s="885"/>
      <c r="I5" s="885"/>
    </row>
    <row r="6" spans="2:9" ht="15.75">
      <c r="B6" s="633"/>
      <c r="C6" s="632"/>
      <c r="D6" s="632"/>
      <c r="E6" s="632"/>
      <c r="F6" s="632"/>
      <c r="G6" s="632"/>
      <c r="H6" s="632"/>
      <c r="I6" s="632"/>
    </row>
    <row r="7" spans="2:9" ht="15.75">
      <c r="B7" s="633" t="str">
        <f>CONCATENATE("Library found in: ",inputPrYr!D3,"")</f>
        <v>Library found in: </v>
      </c>
      <c r="C7" s="632"/>
      <c r="D7" s="632"/>
      <c r="E7" s="632"/>
      <c r="F7" s="632"/>
      <c r="G7" s="632"/>
      <c r="H7" s="632"/>
      <c r="I7" s="632"/>
    </row>
    <row r="8" spans="2:9" ht="15.75">
      <c r="B8" s="633">
        <f>inputPrYr!D4</f>
        <v>0</v>
      </c>
      <c r="C8" s="632"/>
      <c r="D8" s="632"/>
      <c r="E8" s="632"/>
      <c r="F8" s="632"/>
      <c r="G8" s="632"/>
      <c r="H8" s="632"/>
      <c r="I8" s="632"/>
    </row>
    <row r="9" spans="2:9" ht="15.75">
      <c r="B9" s="632"/>
      <c r="C9" s="632"/>
      <c r="D9" s="632"/>
      <c r="E9" s="632"/>
      <c r="F9" s="632"/>
      <c r="G9" s="632"/>
      <c r="H9" s="632"/>
      <c r="I9" s="632"/>
    </row>
    <row r="10" spans="2:9" ht="39" customHeight="1">
      <c r="B10" s="886" t="s">
        <v>838</v>
      </c>
      <c r="C10" s="886"/>
      <c r="D10" s="886"/>
      <c r="E10" s="886"/>
      <c r="F10" s="886"/>
      <c r="G10" s="886"/>
      <c r="H10" s="886"/>
      <c r="I10" s="886"/>
    </row>
    <row r="11" spans="2:9" ht="15.75">
      <c r="B11" s="632"/>
      <c r="C11" s="632"/>
      <c r="D11" s="632"/>
      <c r="E11" s="632"/>
      <c r="F11" s="632"/>
      <c r="G11" s="632"/>
      <c r="H11" s="632"/>
      <c r="I11" s="632"/>
    </row>
    <row r="12" spans="2:9" ht="15.75">
      <c r="B12" s="634" t="s">
        <v>839</v>
      </c>
      <c r="C12" s="632"/>
      <c r="D12" s="632"/>
      <c r="E12" s="632"/>
      <c r="F12" s="632"/>
      <c r="G12" s="632"/>
      <c r="H12" s="632"/>
      <c r="I12" s="632"/>
    </row>
    <row r="13" spans="2:9" ht="15.75">
      <c r="B13" s="632"/>
      <c r="C13" s="632"/>
      <c r="D13" s="632"/>
      <c r="E13" s="635" t="s">
        <v>840</v>
      </c>
      <c r="F13" s="632"/>
      <c r="G13" s="635" t="s">
        <v>841</v>
      </c>
      <c r="H13" s="632"/>
      <c r="I13" s="632"/>
    </row>
    <row r="14" spans="2:9" ht="15.75">
      <c r="B14" s="632"/>
      <c r="C14" s="632"/>
      <c r="D14" s="632"/>
      <c r="E14" s="636">
        <f>inputPrYr!C6-1</f>
        <v>-1</v>
      </c>
      <c r="F14" s="632"/>
      <c r="G14" s="636">
        <f>inputPrYr!C6</f>
        <v>0</v>
      </c>
      <c r="H14" s="632"/>
      <c r="I14" s="632"/>
    </row>
    <row r="15" spans="2:9" ht="15.75">
      <c r="B15" s="633" t="s">
        <v>938</v>
      </c>
      <c r="C15" s="632"/>
      <c r="D15" s="632"/>
      <c r="E15" s="637">
        <f>'DebtSvs-library'!D49</f>
        <v>0</v>
      </c>
      <c r="F15" s="632"/>
      <c r="G15" s="637">
        <f>'DebtSvs-library'!E84</f>
        <v>0</v>
      </c>
      <c r="H15" s="632"/>
      <c r="I15" s="632"/>
    </row>
    <row r="16" spans="2:9" ht="15.75">
      <c r="B16" s="633" t="s">
        <v>103</v>
      </c>
      <c r="C16" s="632"/>
      <c r="D16" s="632"/>
      <c r="E16" s="637">
        <f>'DebtSvs-library'!D50</f>
        <v>0</v>
      </c>
      <c r="F16" s="632"/>
      <c r="G16" s="637">
        <f>'DebtSvs-library'!E50</f>
        <v>0</v>
      </c>
      <c r="H16" s="632"/>
      <c r="I16" s="632"/>
    </row>
    <row r="17" spans="2:9" ht="15.75">
      <c r="B17" s="633" t="s">
        <v>104</v>
      </c>
      <c r="C17" s="632"/>
      <c r="D17" s="632"/>
      <c r="E17" s="637">
        <f>'DebtSvs-library'!D51</f>
        <v>0</v>
      </c>
      <c r="F17" s="632"/>
      <c r="G17" s="637" t="str">
        <f>'DebtSvs-library'!E51</f>
        <v>  </v>
      </c>
      <c r="H17" s="632"/>
      <c r="I17" s="632"/>
    </row>
    <row r="18" spans="2:9" ht="15.75">
      <c r="B18" s="633" t="s">
        <v>939</v>
      </c>
      <c r="C18" s="632"/>
      <c r="D18" s="632"/>
      <c r="E18" s="637">
        <f>'DebtSvs-library'!D52</f>
        <v>0</v>
      </c>
      <c r="F18" s="632"/>
      <c r="G18" s="637" t="str">
        <f>'DebtSvs-library'!E52</f>
        <v> </v>
      </c>
      <c r="H18" s="632"/>
      <c r="I18" s="632"/>
    </row>
    <row r="19" spans="2:9" ht="15.75">
      <c r="B19" s="633" t="s">
        <v>940</v>
      </c>
      <c r="C19" s="632"/>
      <c r="D19" s="632"/>
      <c r="E19" s="637">
        <f>'DebtSvs-library'!D53</f>
        <v>0</v>
      </c>
      <c r="F19" s="632"/>
      <c r="G19" s="637" t="str">
        <f>'DebtSvs-library'!E53</f>
        <v> </v>
      </c>
      <c r="H19" s="632"/>
      <c r="I19" s="632"/>
    </row>
    <row r="20" spans="2:9" ht="15.75">
      <c r="B20" s="632" t="s">
        <v>238</v>
      </c>
      <c r="C20" s="632"/>
      <c r="D20" s="632"/>
      <c r="E20" s="637">
        <v>0</v>
      </c>
      <c r="F20" s="632"/>
      <c r="G20" s="637">
        <v>0</v>
      </c>
      <c r="H20" s="632"/>
      <c r="I20" s="632"/>
    </row>
    <row r="21" spans="2:9" ht="15.75">
      <c r="B21" s="632"/>
      <c r="C21" s="632"/>
      <c r="D21" s="632"/>
      <c r="E21" s="637">
        <v>0</v>
      </c>
      <c r="F21" s="632"/>
      <c r="G21" s="637">
        <v>0</v>
      </c>
      <c r="H21" s="632"/>
      <c r="I21" s="632"/>
    </row>
    <row r="22" spans="2:9" ht="15.75">
      <c r="B22" s="632" t="s">
        <v>842</v>
      </c>
      <c r="C22" s="632"/>
      <c r="D22" s="632"/>
      <c r="E22" s="638">
        <f>SUM(E15:E21)</f>
        <v>0</v>
      </c>
      <c r="F22" s="632"/>
      <c r="G22" s="638">
        <f>SUM(G15:G21)</f>
        <v>0</v>
      </c>
      <c r="H22" s="632"/>
      <c r="I22" s="632"/>
    </row>
    <row r="23" spans="2:9" ht="15.75">
      <c r="B23" s="632" t="s">
        <v>843</v>
      </c>
      <c r="C23" s="632"/>
      <c r="D23" s="632"/>
      <c r="E23" s="662">
        <f>G22-E22</f>
        <v>0</v>
      </c>
      <c r="F23" s="632"/>
      <c r="G23" s="639"/>
      <c r="H23" s="632"/>
      <c r="I23" s="632"/>
    </row>
    <row r="24" spans="2:9" ht="15.75">
      <c r="B24" s="632" t="s">
        <v>844</v>
      </c>
      <c r="C24" s="632"/>
      <c r="D24" s="640" t="str">
        <f>IF((G22-E22)&gt;=0,"Qualify","Not Qualify")</f>
        <v>Qualify</v>
      </c>
      <c r="E24" s="632"/>
      <c r="F24" s="632"/>
      <c r="G24" s="632"/>
      <c r="H24" s="632"/>
      <c r="I24" s="632"/>
    </row>
    <row r="25" spans="2:9" ht="15.75">
      <c r="B25" s="632"/>
      <c r="C25" s="632"/>
      <c r="D25" s="632"/>
      <c r="E25" s="632"/>
      <c r="F25" s="632"/>
      <c r="G25" s="632"/>
      <c r="H25" s="632"/>
      <c r="I25" s="632"/>
    </row>
    <row r="26" spans="2:9" ht="15.75">
      <c r="B26" s="634" t="s">
        <v>845</v>
      </c>
      <c r="C26" s="632"/>
      <c r="D26" s="632"/>
      <c r="E26" s="632"/>
      <c r="F26" s="632"/>
      <c r="G26" s="632"/>
      <c r="H26" s="632"/>
      <c r="I26" s="632"/>
    </row>
    <row r="27" spans="2:9" ht="15.75">
      <c r="B27" s="632" t="s">
        <v>846</v>
      </c>
      <c r="C27" s="632"/>
      <c r="D27" s="632"/>
      <c r="E27" s="637">
        <f>summ!D57</f>
        <v>0</v>
      </c>
      <c r="F27" s="632"/>
      <c r="G27" s="637">
        <f>summ!F57</f>
        <v>0</v>
      </c>
      <c r="H27" s="632"/>
      <c r="I27" s="632"/>
    </row>
    <row r="28" spans="2:9" ht="15.75">
      <c r="B28" s="632" t="s">
        <v>847</v>
      </c>
      <c r="C28" s="632"/>
      <c r="D28" s="632"/>
      <c r="E28" s="641" t="str">
        <f>IF(G27-E27&gt;=0,"No","Yes")</f>
        <v>No</v>
      </c>
      <c r="F28" s="632"/>
      <c r="G28" s="632"/>
      <c r="H28" s="632"/>
      <c r="I28" s="632"/>
    </row>
    <row r="29" spans="2:9" ht="15.75">
      <c r="B29" s="632" t="s">
        <v>848</v>
      </c>
      <c r="C29" s="632"/>
      <c r="D29" s="632"/>
      <c r="E29" s="635" t="str">
        <f>summ!E17</f>
        <v>  </v>
      </c>
      <c r="F29" s="632"/>
      <c r="G29" s="642" t="str">
        <f>summ!H17</f>
        <v>  </v>
      </c>
      <c r="H29" s="632"/>
      <c r="I29" s="632"/>
    </row>
    <row r="30" spans="2:9" ht="15.75">
      <c r="B30" s="632" t="s">
        <v>849</v>
      </c>
      <c r="C30" s="632"/>
      <c r="D30" s="632"/>
      <c r="E30" s="643" t="e">
        <f>G29-E29</f>
        <v>#VALUE!</v>
      </c>
      <c r="F30" s="632"/>
      <c r="G30" s="632"/>
      <c r="H30" s="632"/>
      <c r="I30" s="632"/>
    </row>
    <row r="31" spans="2:9" ht="15.75">
      <c r="B31" s="632" t="s">
        <v>844</v>
      </c>
      <c r="C31" s="632"/>
      <c r="D31" s="644" t="e">
        <f>IF(E30&gt;=0,"Qualify","Not Qualify")</f>
        <v>#VALUE!</v>
      </c>
      <c r="E31" s="632"/>
      <c r="F31" s="632"/>
      <c r="G31" s="632"/>
      <c r="H31" s="632"/>
      <c r="I31" s="632"/>
    </row>
    <row r="32" spans="2:9" ht="15.75">
      <c r="B32" s="632"/>
      <c r="C32" s="632"/>
      <c r="D32" s="632"/>
      <c r="E32" s="632"/>
      <c r="F32" s="632"/>
      <c r="G32" s="632"/>
      <c r="H32" s="632"/>
      <c r="I32" s="632"/>
    </row>
    <row r="33" spans="2:9" ht="15.75">
      <c r="B33" s="632" t="s">
        <v>850</v>
      </c>
      <c r="C33" s="632"/>
      <c r="D33" s="632"/>
      <c r="E33" s="632"/>
      <c r="F33" s="645" t="str">
        <f>IF(D24="Not Qualify",IF(D31="Not Qualify",IF(D31="Not Qualify","Not Qualify","Qualify"),"Qualify"),"Qualify")</f>
        <v>Qualify</v>
      </c>
      <c r="G33" s="632"/>
      <c r="H33" s="632"/>
      <c r="I33" s="632"/>
    </row>
    <row r="34" spans="2:9" ht="15.75">
      <c r="B34" s="632"/>
      <c r="C34" s="632"/>
      <c r="D34" s="632"/>
      <c r="E34" s="632"/>
      <c r="F34" s="632"/>
      <c r="G34" s="632"/>
      <c r="H34" s="632"/>
      <c r="I34" s="632"/>
    </row>
    <row r="35" spans="2:9" ht="15.75">
      <c r="B35" s="632"/>
      <c r="C35" s="632"/>
      <c r="D35" s="632"/>
      <c r="E35" s="632"/>
      <c r="F35" s="632"/>
      <c r="G35" s="632"/>
      <c r="H35" s="632"/>
      <c r="I35" s="632"/>
    </row>
    <row r="36" spans="2:9" ht="37.5" customHeight="1">
      <c r="B36" s="886" t="s">
        <v>851</v>
      </c>
      <c r="C36" s="886"/>
      <c r="D36" s="886"/>
      <c r="E36" s="886"/>
      <c r="F36" s="886"/>
      <c r="G36" s="886"/>
      <c r="H36" s="886"/>
      <c r="I36" s="886"/>
    </row>
    <row r="37" spans="2:9" ht="15.75">
      <c r="B37" s="632"/>
      <c r="C37" s="632"/>
      <c r="D37" s="632"/>
      <c r="E37" s="632"/>
      <c r="F37" s="632"/>
      <c r="G37" s="632"/>
      <c r="H37" s="632"/>
      <c r="I37" s="632"/>
    </row>
    <row r="38" spans="2:9" ht="15.75">
      <c r="B38" s="632"/>
      <c r="C38" s="632"/>
      <c r="D38" s="632"/>
      <c r="E38" s="632"/>
      <c r="F38" s="632"/>
      <c r="G38" s="632"/>
      <c r="H38" s="632"/>
      <c r="I38" s="632"/>
    </row>
    <row r="39" spans="2:9" ht="15.75">
      <c r="B39" s="632"/>
      <c r="C39" s="632"/>
      <c r="D39" s="632"/>
      <c r="E39" s="632"/>
      <c r="F39" s="632"/>
      <c r="G39" s="632"/>
      <c r="H39" s="632"/>
      <c r="I39" s="632"/>
    </row>
    <row r="40" spans="2:9" ht="15.75">
      <c r="B40" s="632"/>
      <c r="C40" s="632"/>
      <c r="D40" s="632"/>
      <c r="E40" s="646" t="s">
        <v>112</v>
      </c>
      <c r="F40" s="647">
        <v>7</v>
      </c>
      <c r="G40" s="632"/>
      <c r="H40" s="632"/>
      <c r="I40" s="632"/>
    </row>
    <row r="41" spans="2:9" ht="15.75">
      <c r="B41" s="632"/>
      <c r="C41" s="632"/>
      <c r="D41" s="632"/>
      <c r="E41" s="632"/>
      <c r="F41" s="632"/>
      <c r="G41" s="632"/>
      <c r="H41" s="632"/>
      <c r="I41" s="632"/>
    </row>
    <row r="42" spans="2:9" ht="15.75">
      <c r="B42" s="632"/>
      <c r="C42" s="632"/>
      <c r="D42" s="632"/>
      <c r="E42" s="632"/>
      <c r="F42" s="632"/>
      <c r="G42" s="632"/>
      <c r="H42" s="632"/>
      <c r="I42" s="632"/>
    </row>
    <row r="43" spans="2:9" ht="15.75">
      <c r="B43" s="887" t="s">
        <v>852</v>
      </c>
      <c r="C43" s="888"/>
      <c r="D43" s="888"/>
      <c r="E43" s="888"/>
      <c r="F43" s="888"/>
      <c r="G43" s="888"/>
      <c r="H43" s="888"/>
      <c r="I43" s="888"/>
    </row>
    <row r="44" spans="2:9" ht="15.75">
      <c r="B44" s="632"/>
      <c r="C44" s="632"/>
      <c r="D44" s="632"/>
      <c r="E44" s="632"/>
      <c r="F44" s="632"/>
      <c r="G44" s="632"/>
      <c r="H44" s="632"/>
      <c r="I44" s="632"/>
    </row>
    <row r="45" spans="2:9" ht="15.75">
      <c r="B45" s="648" t="s">
        <v>853</v>
      </c>
      <c r="C45" s="632"/>
      <c r="D45" s="632"/>
      <c r="E45" s="632"/>
      <c r="F45" s="632"/>
      <c r="G45" s="632"/>
      <c r="H45" s="632"/>
      <c r="I45" s="632"/>
    </row>
    <row r="46" spans="2:9" ht="15.75">
      <c r="B46" s="648" t="str">
        <f>CONCATENATE("sources in your ",G14," library fund is not equal to or greater than the amount from the same")</f>
        <v>sources in your 0 library fund is not equal to or greater than the amount from the same</v>
      </c>
      <c r="C46" s="632"/>
      <c r="D46" s="632"/>
      <c r="E46" s="632"/>
      <c r="F46" s="632"/>
      <c r="G46" s="632"/>
      <c r="H46" s="632"/>
      <c r="I46" s="632"/>
    </row>
    <row r="47" spans="2:9" ht="15.75">
      <c r="B47" s="648" t="str">
        <f>CONCATENATE("sources in ",E14,".")</f>
        <v>sources in -1.</v>
      </c>
      <c r="C47" s="630"/>
      <c r="D47" s="630"/>
      <c r="E47" s="630"/>
      <c r="F47" s="630"/>
      <c r="G47" s="630"/>
      <c r="H47" s="630"/>
      <c r="I47" s="630"/>
    </row>
    <row r="48" spans="2:9" ht="15.75">
      <c r="B48" s="630"/>
      <c r="C48" s="630"/>
      <c r="D48" s="630"/>
      <c r="E48" s="630"/>
      <c r="F48" s="630"/>
      <c r="G48" s="630"/>
      <c r="H48" s="630"/>
      <c r="I48" s="630"/>
    </row>
    <row r="49" spans="2:9" ht="15.75">
      <c r="B49" s="648" t="s">
        <v>854</v>
      </c>
      <c r="C49" s="648"/>
      <c r="D49" s="649"/>
      <c r="E49" s="649"/>
      <c r="F49" s="649"/>
      <c r="G49" s="649"/>
      <c r="H49" s="649"/>
      <c r="I49" s="649"/>
    </row>
    <row r="50" spans="2:9" ht="15.75">
      <c r="B50" s="648" t="s">
        <v>855</v>
      </c>
      <c r="C50" s="648"/>
      <c r="D50" s="649"/>
      <c r="E50" s="649"/>
      <c r="F50" s="649"/>
      <c r="G50" s="649"/>
      <c r="H50" s="649"/>
      <c r="I50" s="649"/>
    </row>
    <row r="51" spans="2:9" ht="15.75">
      <c r="B51" s="648" t="s">
        <v>856</v>
      </c>
      <c r="C51" s="648"/>
      <c r="D51" s="649"/>
      <c r="E51" s="649"/>
      <c r="F51" s="649"/>
      <c r="G51" s="649"/>
      <c r="H51" s="649"/>
      <c r="I51" s="649"/>
    </row>
    <row r="52" spans="2:9" ht="15">
      <c r="B52" s="649"/>
      <c r="C52" s="649"/>
      <c r="D52" s="649"/>
      <c r="E52" s="649"/>
      <c r="F52" s="649"/>
      <c r="G52" s="649"/>
      <c r="H52" s="649"/>
      <c r="I52" s="649"/>
    </row>
    <row r="53" spans="2:9" ht="15.75">
      <c r="B53" s="650" t="s">
        <v>857</v>
      </c>
      <c r="C53" s="649"/>
      <c r="D53" s="649"/>
      <c r="E53" s="649"/>
      <c r="F53" s="649"/>
      <c r="G53" s="649"/>
      <c r="H53" s="649"/>
      <c r="I53" s="649"/>
    </row>
    <row r="54" spans="2:9" ht="15">
      <c r="B54" s="649"/>
      <c r="C54" s="649"/>
      <c r="D54" s="649"/>
      <c r="E54" s="649"/>
      <c r="F54" s="649"/>
      <c r="G54" s="649"/>
      <c r="H54" s="649"/>
      <c r="I54" s="649"/>
    </row>
    <row r="55" spans="2:9" ht="15.75">
      <c r="B55" s="648" t="s">
        <v>858</v>
      </c>
      <c r="C55" s="649"/>
      <c r="D55" s="649"/>
      <c r="E55" s="649"/>
      <c r="F55" s="649"/>
      <c r="G55" s="649"/>
      <c r="H55" s="649"/>
      <c r="I55" s="649"/>
    </row>
    <row r="56" spans="2:9" ht="15.75">
      <c r="B56" s="648" t="s">
        <v>859</v>
      </c>
      <c r="C56" s="649"/>
      <c r="D56" s="649"/>
      <c r="E56" s="649"/>
      <c r="F56" s="649"/>
      <c r="G56" s="649"/>
      <c r="H56" s="649"/>
      <c r="I56" s="649"/>
    </row>
    <row r="57" spans="2:9" ht="15">
      <c r="B57" s="649"/>
      <c r="C57" s="649"/>
      <c r="D57" s="649"/>
      <c r="E57" s="649"/>
      <c r="F57" s="649"/>
      <c r="G57" s="649"/>
      <c r="H57" s="649"/>
      <c r="I57" s="649"/>
    </row>
    <row r="58" spans="2:9" ht="15.75">
      <c r="B58" s="650" t="s">
        <v>860</v>
      </c>
      <c r="C58" s="648"/>
      <c r="D58" s="648"/>
      <c r="E58" s="648"/>
      <c r="F58" s="648"/>
      <c r="G58" s="649"/>
      <c r="H58" s="649"/>
      <c r="I58" s="649"/>
    </row>
    <row r="59" spans="2:9" ht="15.75">
      <c r="B59" s="648"/>
      <c r="C59" s="648"/>
      <c r="D59" s="648"/>
      <c r="E59" s="648"/>
      <c r="F59" s="648"/>
      <c r="G59" s="649"/>
      <c r="H59" s="649"/>
      <c r="I59" s="649"/>
    </row>
    <row r="60" spans="2:9" ht="15.75">
      <c r="B60" s="648" t="s">
        <v>861</v>
      </c>
      <c r="C60" s="648"/>
      <c r="D60" s="648"/>
      <c r="E60" s="648"/>
      <c r="F60" s="648"/>
      <c r="G60" s="649"/>
      <c r="H60" s="649"/>
      <c r="I60" s="649"/>
    </row>
    <row r="61" spans="2:9" ht="15.75">
      <c r="B61" s="648" t="s">
        <v>862</v>
      </c>
      <c r="C61" s="648"/>
      <c r="D61" s="648"/>
      <c r="E61" s="648"/>
      <c r="F61" s="648"/>
      <c r="G61" s="649"/>
      <c r="H61" s="649"/>
      <c r="I61" s="649"/>
    </row>
    <row r="62" spans="2:9" ht="15.75">
      <c r="B62" s="648" t="s">
        <v>863</v>
      </c>
      <c r="C62" s="648"/>
      <c r="D62" s="648"/>
      <c r="E62" s="648"/>
      <c r="F62" s="648"/>
      <c r="G62" s="649"/>
      <c r="H62" s="649"/>
      <c r="I62" s="649"/>
    </row>
    <row r="63" spans="2:9" ht="15.75">
      <c r="B63" s="648" t="s">
        <v>864</v>
      </c>
      <c r="C63" s="648"/>
      <c r="D63" s="648"/>
      <c r="E63" s="648"/>
      <c r="F63" s="648"/>
      <c r="G63" s="649"/>
      <c r="H63" s="649"/>
      <c r="I63" s="649"/>
    </row>
    <row r="64" spans="2:9" ht="15">
      <c r="B64" s="651"/>
      <c r="C64" s="651"/>
      <c r="D64" s="651"/>
      <c r="E64" s="651"/>
      <c r="F64" s="651"/>
      <c r="G64" s="649"/>
      <c r="H64" s="649"/>
      <c r="I64" s="649"/>
    </row>
    <row r="65" spans="2:9" ht="15.75">
      <c r="B65" s="648" t="s">
        <v>865</v>
      </c>
      <c r="C65" s="651"/>
      <c r="D65" s="651"/>
      <c r="E65" s="651"/>
      <c r="F65" s="651"/>
      <c r="G65" s="649"/>
      <c r="H65" s="649"/>
      <c r="I65" s="649"/>
    </row>
    <row r="66" spans="2:9" ht="15.75">
      <c r="B66" s="648" t="s">
        <v>866</v>
      </c>
      <c r="C66" s="651"/>
      <c r="D66" s="651"/>
      <c r="E66" s="651"/>
      <c r="F66" s="651"/>
      <c r="G66" s="649"/>
      <c r="H66" s="649"/>
      <c r="I66" s="649"/>
    </row>
    <row r="67" spans="2:9" ht="15">
      <c r="B67" s="651"/>
      <c r="C67" s="651"/>
      <c r="D67" s="651"/>
      <c r="E67" s="651"/>
      <c r="F67" s="651"/>
      <c r="G67" s="649"/>
      <c r="H67" s="649"/>
      <c r="I67" s="649"/>
    </row>
    <row r="68" spans="2:9" ht="15.75">
      <c r="B68" s="648" t="s">
        <v>867</v>
      </c>
      <c r="C68" s="651"/>
      <c r="D68" s="651"/>
      <c r="E68" s="651"/>
      <c r="F68" s="651"/>
      <c r="G68" s="649"/>
      <c r="H68" s="649"/>
      <c r="I68" s="649"/>
    </row>
    <row r="69" spans="2:9" ht="15.75">
      <c r="B69" s="648" t="s">
        <v>868</v>
      </c>
      <c r="C69" s="651"/>
      <c r="D69" s="651"/>
      <c r="E69" s="651"/>
      <c r="F69" s="651"/>
      <c r="G69" s="649"/>
      <c r="H69" s="649"/>
      <c r="I69" s="649"/>
    </row>
    <row r="70" spans="2:9" ht="15">
      <c r="B70" s="651"/>
      <c r="C70" s="651"/>
      <c r="D70" s="651"/>
      <c r="E70" s="651"/>
      <c r="F70" s="651"/>
      <c r="G70" s="649"/>
      <c r="H70" s="649"/>
      <c r="I70" s="649"/>
    </row>
    <row r="71" spans="2:9" ht="15.75">
      <c r="B71" s="650" t="s">
        <v>869</v>
      </c>
      <c r="C71" s="651"/>
      <c r="D71" s="651"/>
      <c r="E71" s="651"/>
      <c r="F71" s="651"/>
      <c r="G71" s="649"/>
      <c r="H71" s="649"/>
      <c r="I71" s="649"/>
    </row>
    <row r="72" spans="2:9" ht="15">
      <c r="B72" s="651"/>
      <c r="C72" s="651"/>
      <c r="D72" s="651"/>
      <c r="E72" s="651"/>
      <c r="F72" s="651"/>
      <c r="G72" s="649"/>
      <c r="H72" s="649"/>
      <c r="I72" s="649"/>
    </row>
    <row r="73" spans="2:9" ht="15.75">
      <c r="B73" s="648" t="s">
        <v>870</v>
      </c>
      <c r="C73" s="651"/>
      <c r="D73" s="651"/>
      <c r="E73" s="651"/>
      <c r="F73" s="651"/>
      <c r="G73" s="649"/>
      <c r="H73" s="649"/>
      <c r="I73" s="649"/>
    </row>
    <row r="74" spans="2:9" ht="15.75">
      <c r="B74" s="648" t="s">
        <v>871</v>
      </c>
      <c r="C74" s="651"/>
      <c r="D74" s="651"/>
      <c r="E74" s="651"/>
      <c r="F74" s="651"/>
      <c r="G74" s="649"/>
      <c r="H74" s="649"/>
      <c r="I74" s="649"/>
    </row>
    <row r="75" spans="2:9" ht="15">
      <c r="B75" s="651"/>
      <c r="C75" s="651"/>
      <c r="D75" s="651"/>
      <c r="E75" s="651"/>
      <c r="F75" s="651"/>
      <c r="G75" s="649"/>
      <c r="H75" s="649"/>
      <c r="I75" s="649"/>
    </row>
    <row r="76" spans="2:9" ht="15.75">
      <c r="B76" s="650" t="s">
        <v>872</v>
      </c>
      <c r="C76" s="651"/>
      <c r="D76" s="651"/>
      <c r="E76" s="651"/>
      <c r="F76" s="651"/>
      <c r="G76" s="649"/>
      <c r="H76" s="649"/>
      <c r="I76" s="649"/>
    </row>
    <row r="77" spans="2:9" ht="15">
      <c r="B77" s="651"/>
      <c r="C77" s="651"/>
      <c r="D77" s="651"/>
      <c r="E77" s="651"/>
      <c r="F77" s="651"/>
      <c r="G77" s="649"/>
      <c r="H77" s="649"/>
      <c r="I77" s="649"/>
    </row>
    <row r="78" spans="2:9" ht="15.75">
      <c r="B78" s="648" t="str">
        <f>CONCATENATE("If the ",G14," municipal budget has not been published and has not been submitted to the County")</f>
        <v>If the 0 municipal budget has not been published and has not been submitted to the County</v>
      </c>
      <c r="C78" s="651"/>
      <c r="D78" s="651"/>
      <c r="E78" s="651"/>
      <c r="F78" s="651"/>
      <c r="G78" s="649"/>
      <c r="H78" s="649"/>
      <c r="I78" s="649"/>
    </row>
    <row r="79" spans="2:9" ht="15.75">
      <c r="B79" s="648" t="s">
        <v>873</v>
      </c>
      <c r="C79" s="651"/>
      <c r="D79" s="651"/>
      <c r="E79" s="651"/>
      <c r="F79" s="651"/>
      <c r="G79" s="649"/>
      <c r="H79" s="649"/>
      <c r="I79" s="649"/>
    </row>
    <row r="80" spans="2:9" ht="15">
      <c r="B80" s="651"/>
      <c r="C80" s="651"/>
      <c r="D80" s="651"/>
      <c r="E80" s="651"/>
      <c r="F80" s="651"/>
      <c r="G80" s="649"/>
      <c r="H80" s="649"/>
      <c r="I80" s="649"/>
    </row>
    <row r="81" spans="2:9" ht="15.75">
      <c r="B81" s="650" t="s">
        <v>401</v>
      </c>
      <c r="C81" s="651"/>
      <c r="D81" s="651"/>
      <c r="E81" s="651"/>
      <c r="F81" s="651"/>
      <c r="G81" s="649"/>
      <c r="H81" s="649"/>
      <c r="I81" s="649"/>
    </row>
    <row r="82" spans="2:9" ht="15">
      <c r="B82" s="651"/>
      <c r="C82" s="651"/>
      <c r="D82" s="651"/>
      <c r="E82" s="651"/>
      <c r="F82" s="651"/>
      <c r="G82" s="649"/>
      <c r="H82" s="649"/>
      <c r="I82" s="649"/>
    </row>
    <row r="83" spans="2:9" ht="15.75">
      <c r="B83" s="648" t="s">
        <v>874</v>
      </c>
      <c r="C83" s="651"/>
      <c r="D83" s="651"/>
      <c r="E83" s="651"/>
      <c r="F83" s="651"/>
      <c r="G83" s="649"/>
      <c r="H83" s="649"/>
      <c r="I83" s="649"/>
    </row>
    <row r="84" spans="2:9" ht="15.75">
      <c r="B84" s="648" t="str">
        <f>CONCATENATE("Budget Year ",G14," is equal to or greater than that for Current Year Estimate ",E14,".")</f>
        <v>Budget Year 0 is equal to or greater than that for Current Year Estimate -1.</v>
      </c>
      <c r="C84" s="651"/>
      <c r="D84" s="651"/>
      <c r="E84" s="651"/>
      <c r="F84" s="651"/>
      <c r="G84" s="649"/>
      <c r="H84" s="649"/>
      <c r="I84" s="649"/>
    </row>
    <row r="85" spans="2:9" ht="15">
      <c r="B85" s="651"/>
      <c r="C85" s="651"/>
      <c r="D85" s="651"/>
      <c r="E85" s="651"/>
      <c r="F85" s="651"/>
      <c r="G85" s="649"/>
      <c r="H85" s="649"/>
      <c r="I85" s="649"/>
    </row>
    <row r="86" spans="2:9" ht="15.75">
      <c r="B86" s="648" t="s">
        <v>875</v>
      </c>
      <c r="C86" s="651"/>
      <c r="D86" s="651"/>
      <c r="E86" s="651"/>
      <c r="F86" s="651"/>
      <c r="G86" s="649"/>
      <c r="H86" s="649"/>
      <c r="I86" s="649"/>
    </row>
    <row r="87" spans="2:9" ht="15.75">
      <c r="B87" s="648" t="s">
        <v>876</v>
      </c>
      <c r="C87" s="651"/>
      <c r="D87" s="651"/>
      <c r="E87" s="651"/>
      <c r="F87" s="651"/>
      <c r="G87" s="649"/>
      <c r="H87" s="649"/>
      <c r="I87" s="649"/>
    </row>
    <row r="88" spans="2:9" ht="15.75">
      <c r="B88" s="648" t="s">
        <v>877</v>
      </c>
      <c r="C88" s="651"/>
      <c r="D88" s="651"/>
      <c r="E88" s="651"/>
      <c r="F88" s="651"/>
      <c r="G88" s="649"/>
      <c r="H88" s="649"/>
      <c r="I88" s="649"/>
    </row>
    <row r="89" spans="2:9" ht="15.75">
      <c r="B89" s="648" t="str">
        <f>CONCATENATE("purpose for the previous (",E14,") year.")</f>
        <v>purpose for the previous (-1) year.</v>
      </c>
      <c r="C89" s="651"/>
      <c r="D89" s="651"/>
      <c r="E89" s="651"/>
      <c r="F89" s="651"/>
      <c r="G89" s="649"/>
      <c r="H89" s="649"/>
      <c r="I89" s="649"/>
    </row>
    <row r="90" spans="2:9" ht="15">
      <c r="B90" s="651"/>
      <c r="C90" s="651"/>
      <c r="D90" s="651"/>
      <c r="E90" s="651"/>
      <c r="F90" s="651"/>
      <c r="G90" s="649"/>
      <c r="H90" s="649"/>
      <c r="I90" s="649"/>
    </row>
    <row r="91" spans="2:9" ht="15.75">
      <c r="B91" s="648" t="str">
        <f>CONCATENATE("Next, look to see if delinquent tax for ",G14," is budgeted. Often this line is budgeted at $0 or left")</f>
        <v>Next, look to see if delinquent tax for 0 is budgeted. Often this line is budgeted at $0 or left</v>
      </c>
      <c r="C91" s="651"/>
      <c r="D91" s="651"/>
      <c r="E91" s="651"/>
      <c r="F91" s="651"/>
      <c r="G91" s="649"/>
      <c r="H91" s="649"/>
      <c r="I91" s="649"/>
    </row>
    <row r="92" spans="2:9" ht="15.75">
      <c r="B92" s="648" t="s">
        <v>878</v>
      </c>
      <c r="C92" s="651"/>
      <c r="D92" s="651"/>
      <c r="E92" s="651"/>
      <c r="F92" s="651"/>
      <c r="G92" s="649"/>
      <c r="H92" s="649"/>
      <c r="I92" s="649"/>
    </row>
    <row r="93" spans="2:9" ht="15.75">
      <c r="B93" s="648" t="s">
        <v>879</v>
      </c>
      <c r="C93" s="651"/>
      <c r="D93" s="651"/>
      <c r="E93" s="651"/>
      <c r="F93" s="651"/>
      <c r="G93" s="649"/>
      <c r="H93" s="649"/>
      <c r="I93" s="649"/>
    </row>
    <row r="94" spans="2:9" ht="15.75">
      <c r="B94" s="648" t="s">
        <v>880</v>
      </c>
      <c r="C94" s="651"/>
      <c r="D94" s="651"/>
      <c r="E94" s="651"/>
      <c r="F94" s="651"/>
      <c r="G94" s="649"/>
      <c r="H94" s="649"/>
      <c r="I94" s="649"/>
    </row>
    <row r="95" spans="2:9" ht="15">
      <c r="B95" s="651"/>
      <c r="C95" s="651"/>
      <c r="D95" s="651"/>
      <c r="E95" s="651"/>
      <c r="F95" s="651"/>
      <c r="G95" s="649"/>
      <c r="H95" s="649"/>
      <c r="I95" s="649"/>
    </row>
    <row r="96" spans="2:9" ht="15.75">
      <c r="B96" s="650" t="s">
        <v>881</v>
      </c>
      <c r="C96" s="651"/>
      <c r="D96" s="651"/>
      <c r="E96" s="651"/>
      <c r="F96" s="651"/>
      <c r="G96" s="649"/>
      <c r="H96" s="649"/>
      <c r="I96" s="649"/>
    </row>
    <row r="97" spans="2:9" ht="15">
      <c r="B97" s="651"/>
      <c r="C97" s="651"/>
      <c r="D97" s="651"/>
      <c r="E97" s="651"/>
      <c r="F97" s="651"/>
      <c r="G97" s="649"/>
      <c r="H97" s="649"/>
      <c r="I97" s="649"/>
    </row>
    <row r="98" spans="2:9" ht="15.75">
      <c r="B98" s="648" t="s">
        <v>882</v>
      </c>
      <c r="C98" s="651"/>
      <c r="D98" s="651"/>
      <c r="E98" s="651"/>
      <c r="F98" s="651"/>
      <c r="G98" s="649"/>
      <c r="H98" s="649"/>
      <c r="I98" s="649"/>
    </row>
    <row r="99" spans="2:9" ht="15.75">
      <c r="B99" s="648" t="s">
        <v>883</v>
      </c>
      <c r="C99" s="651"/>
      <c r="D99" s="651"/>
      <c r="E99" s="651"/>
      <c r="F99" s="651"/>
      <c r="G99" s="649"/>
      <c r="H99" s="649"/>
      <c r="I99" s="649"/>
    </row>
    <row r="100" spans="2:9" ht="15">
      <c r="B100" s="651"/>
      <c r="C100" s="651"/>
      <c r="D100" s="651"/>
      <c r="E100" s="651"/>
      <c r="F100" s="651"/>
      <c r="G100" s="649"/>
      <c r="H100" s="649"/>
      <c r="I100" s="649"/>
    </row>
    <row r="101" spans="2:9" ht="15.75">
      <c r="B101" s="648" t="s">
        <v>884</v>
      </c>
      <c r="C101" s="651"/>
      <c r="D101" s="651"/>
      <c r="E101" s="651"/>
      <c r="F101" s="651"/>
      <c r="G101" s="649"/>
      <c r="H101" s="649"/>
      <c r="I101" s="649"/>
    </row>
    <row r="102" spans="2:9" ht="15.75">
      <c r="B102" s="648" t="s">
        <v>885</v>
      </c>
      <c r="C102" s="651"/>
      <c r="D102" s="651"/>
      <c r="E102" s="651"/>
      <c r="F102" s="651"/>
      <c r="G102" s="649"/>
      <c r="H102" s="649"/>
      <c r="I102" s="649"/>
    </row>
    <row r="103" spans="2:9" ht="15.75">
      <c r="B103" s="648" t="s">
        <v>886</v>
      </c>
      <c r="C103" s="651"/>
      <c r="D103" s="651"/>
      <c r="E103" s="651"/>
      <c r="F103" s="651"/>
      <c r="G103" s="649"/>
      <c r="H103" s="649"/>
      <c r="I103" s="649"/>
    </row>
    <row r="104" spans="2:9" ht="15.75">
      <c r="B104" s="648" t="s">
        <v>887</v>
      </c>
      <c r="C104" s="651"/>
      <c r="D104" s="651"/>
      <c r="E104" s="651"/>
      <c r="F104" s="651"/>
      <c r="G104" s="649"/>
      <c r="H104" s="649"/>
      <c r="I104" s="649"/>
    </row>
    <row r="105" spans="2:9" ht="15.75">
      <c r="B105" s="688" t="s">
        <v>997</v>
      </c>
      <c r="C105" s="689"/>
      <c r="D105" s="689"/>
      <c r="E105" s="689"/>
      <c r="F105" s="689"/>
      <c r="G105" s="649"/>
      <c r="H105" s="649"/>
      <c r="I105" s="649"/>
    </row>
    <row r="108" ht="15">
      <c r="G108" s="652"/>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5"/>
  <sheetViews>
    <sheetView zoomScaleSheetLayoutView="100" zoomScalePageLayoutView="0" workbookViewId="0" topLeftCell="A1">
      <selection activeCell="H125" sqref="H125"/>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6" width="6.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61">
        <f>inputPrYr!D3</f>
        <v>0</v>
      </c>
      <c r="C1" s="43"/>
      <c r="D1" s="43"/>
      <c r="E1" s="212">
        <f>inputPrYr!C6</f>
        <v>0</v>
      </c>
    </row>
    <row r="2" spans="2:5" ht="15.75">
      <c r="B2" s="43"/>
      <c r="C2" s="43"/>
      <c r="D2" s="43"/>
      <c r="E2" s="135"/>
    </row>
    <row r="3" spans="2:5" ht="15.75">
      <c r="B3" s="213"/>
      <c r="C3" s="43"/>
      <c r="D3" s="43"/>
      <c r="E3" s="103"/>
    </row>
    <row r="4" spans="2:5" ht="15.75">
      <c r="B4" s="351" t="s">
        <v>168</v>
      </c>
      <c r="C4" s="214"/>
      <c r="D4" s="214"/>
      <c r="E4" s="214"/>
    </row>
    <row r="5" spans="2:5" ht="15.75">
      <c r="B5" s="137" t="s">
        <v>101</v>
      </c>
      <c r="C5" s="663" t="s">
        <v>892</v>
      </c>
      <c r="D5" s="664" t="s">
        <v>893</v>
      </c>
      <c r="E5" s="111" t="s">
        <v>894</v>
      </c>
    </row>
    <row r="6" spans="2:5" ht="15.75">
      <c r="B6" s="489" t="str">
        <f>inputPrYr!B18</f>
        <v>General</v>
      </c>
      <c r="C6" s="189" t="str">
        <f>CONCATENATE("Actual for ",E1-2,"")</f>
        <v>Actual for -2</v>
      </c>
      <c r="D6" s="189" t="str">
        <f>CONCATENATE("Estimate for ",E1-1,"")</f>
        <v>Estimate for -1</v>
      </c>
      <c r="E6" s="172" t="str">
        <f>CONCATENATE("Year for ",E1,"")</f>
        <v>Year for 0</v>
      </c>
    </row>
    <row r="7" spans="2:5" ht="15.75">
      <c r="B7" s="216" t="s">
        <v>210</v>
      </c>
      <c r="C7" s="217"/>
      <c r="D7" s="219">
        <f>C114</f>
        <v>0</v>
      </c>
      <c r="E7" s="192">
        <f>D114</f>
        <v>0</v>
      </c>
    </row>
    <row r="8" spans="2:5" ht="15.75">
      <c r="B8" s="220" t="s">
        <v>212</v>
      </c>
      <c r="C8" s="126"/>
      <c r="D8" s="126"/>
      <c r="E8" s="69"/>
    </row>
    <row r="9" spans="2:5" ht="15.75">
      <c r="B9" s="216" t="s">
        <v>102</v>
      </c>
      <c r="C9" s="221"/>
      <c r="D9" s="219">
        <f>IF(inputPrYr!H17&gt;0,inputPrYr!G18,inputPrYr!E18)</f>
        <v>0</v>
      </c>
      <c r="E9" s="223" t="s">
        <v>91</v>
      </c>
    </row>
    <row r="10" spans="2:5" ht="15.75">
      <c r="B10" s="216" t="s">
        <v>103</v>
      </c>
      <c r="C10" s="221"/>
      <c r="D10" s="221"/>
      <c r="E10" s="224"/>
    </row>
    <row r="11" spans="2:5" ht="15.75">
      <c r="B11" s="216" t="s">
        <v>104</v>
      </c>
      <c r="C11" s="221"/>
      <c r="D11" s="221"/>
      <c r="E11" s="192">
        <f>mvalloc!D7</f>
        <v>0</v>
      </c>
    </row>
    <row r="12" spans="2:5" ht="15.75">
      <c r="B12" s="216" t="s">
        <v>105</v>
      </c>
      <c r="C12" s="221"/>
      <c r="D12" s="221"/>
      <c r="E12" s="192">
        <f>mvalloc!E7</f>
        <v>0</v>
      </c>
    </row>
    <row r="13" spans="2:5" ht="15.75">
      <c r="B13" s="216" t="s">
        <v>199</v>
      </c>
      <c r="C13" s="221"/>
      <c r="D13" s="221"/>
      <c r="E13" s="192">
        <f>mvalloc!F7</f>
        <v>0</v>
      </c>
    </row>
    <row r="14" spans="2:5" ht="15.75">
      <c r="B14" s="793" t="s">
        <v>1020</v>
      </c>
      <c r="C14" s="221"/>
      <c r="D14" s="221"/>
      <c r="E14" s="192">
        <f>mvalloc!G7</f>
        <v>0</v>
      </c>
    </row>
    <row r="15" spans="2:5" ht="15.75">
      <c r="B15" s="793" t="s">
        <v>1021</v>
      </c>
      <c r="C15" s="221"/>
      <c r="D15" s="221"/>
      <c r="E15" s="192">
        <f>mvalloc!H7</f>
        <v>0</v>
      </c>
    </row>
    <row r="16" spans="2:5" ht="15.75">
      <c r="B16" s="216" t="s">
        <v>200</v>
      </c>
      <c r="C16" s="221"/>
      <c r="D16" s="221"/>
      <c r="E16" s="192">
        <f>inputOth!E16</f>
        <v>0</v>
      </c>
    </row>
    <row r="17" spans="2:5" ht="15.75">
      <c r="B17" s="216" t="s">
        <v>238</v>
      </c>
      <c r="C17" s="221"/>
      <c r="D17" s="221"/>
      <c r="E17" s="192">
        <f>inputOth!E44</f>
        <v>0</v>
      </c>
    </row>
    <row r="18" spans="2:5" ht="15.75">
      <c r="B18" s="216" t="s">
        <v>239</v>
      </c>
      <c r="C18" s="221"/>
      <c r="D18" s="221"/>
      <c r="E18" s="192">
        <f>inputOth!E45</f>
        <v>0</v>
      </c>
    </row>
    <row r="19" spans="2:5" ht="15.75">
      <c r="B19" s="217"/>
      <c r="C19" s="221"/>
      <c r="D19" s="221"/>
      <c r="E19" s="224"/>
    </row>
    <row r="20" spans="2:5" ht="15.75">
      <c r="B20" s="217" t="s">
        <v>108</v>
      </c>
      <c r="C20" s="221"/>
      <c r="D20" s="221"/>
      <c r="E20" s="224"/>
    </row>
    <row r="21" spans="2:5" ht="15.75">
      <c r="B21" s="217" t="s">
        <v>106</v>
      </c>
      <c r="C21" s="221"/>
      <c r="D21" s="221"/>
      <c r="E21" s="224"/>
    </row>
    <row r="22" spans="2:5" ht="15.75">
      <c r="B22" s="491" t="s">
        <v>718</v>
      </c>
      <c r="C22" s="221"/>
      <c r="D22" s="221"/>
      <c r="E22" s="224"/>
    </row>
    <row r="23" spans="2:5" ht="15.75">
      <c r="B23" s="490" t="s">
        <v>719</v>
      </c>
      <c r="C23" s="221"/>
      <c r="D23" s="221"/>
      <c r="E23" s="224"/>
    </row>
    <row r="24" spans="2:5" ht="15.75">
      <c r="B24" s="490" t="s">
        <v>720</v>
      </c>
      <c r="C24" s="221"/>
      <c r="D24" s="221"/>
      <c r="E24" s="224"/>
    </row>
    <row r="25" spans="2:5" ht="15.75">
      <c r="B25" s="490" t="s">
        <v>721</v>
      </c>
      <c r="C25" s="221"/>
      <c r="D25" s="221"/>
      <c r="E25" s="224"/>
    </row>
    <row r="26" spans="2:5" ht="15.75">
      <c r="B26" s="217"/>
      <c r="C26" s="221"/>
      <c r="D26" s="221"/>
      <c r="E26" s="224"/>
    </row>
    <row r="27" spans="2:5" ht="15.75">
      <c r="B27" s="217"/>
      <c r="C27" s="221"/>
      <c r="D27" s="221"/>
      <c r="E27" s="224"/>
    </row>
    <row r="28" spans="2:5" ht="15.75">
      <c r="B28" s="217"/>
      <c r="C28" s="221"/>
      <c r="D28" s="221"/>
      <c r="E28" s="224"/>
    </row>
    <row r="29" spans="2:5" ht="15.75">
      <c r="B29" s="217"/>
      <c r="C29" s="221"/>
      <c r="D29" s="221"/>
      <c r="E29" s="224"/>
    </row>
    <row r="30" spans="2:5" ht="15.75">
      <c r="B30" s="217"/>
      <c r="C30" s="221"/>
      <c r="D30" s="221"/>
      <c r="E30" s="224"/>
    </row>
    <row r="31" spans="2:5" ht="15.75">
      <c r="B31" s="217"/>
      <c r="C31" s="221"/>
      <c r="D31" s="221"/>
      <c r="E31" s="224"/>
    </row>
    <row r="32" spans="2:5" ht="15.75">
      <c r="B32" s="217"/>
      <c r="C32" s="221"/>
      <c r="D32" s="221"/>
      <c r="E32" s="224"/>
    </row>
    <row r="33" spans="2:5" ht="15.75">
      <c r="B33" s="217"/>
      <c r="C33" s="221"/>
      <c r="D33" s="221"/>
      <c r="E33" s="224"/>
    </row>
    <row r="34" spans="2:5" ht="15.75">
      <c r="B34" s="217"/>
      <c r="C34" s="221"/>
      <c r="D34" s="221"/>
      <c r="E34" s="224"/>
    </row>
    <row r="35" spans="2:5" ht="15.75">
      <c r="B35" s="217"/>
      <c r="C35" s="221"/>
      <c r="D35" s="221"/>
      <c r="E35" s="224"/>
    </row>
    <row r="36" spans="2:5" ht="15.75">
      <c r="B36" s="217"/>
      <c r="C36" s="221"/>
      <c r="D36" s="221"/>
      <c r="E36" s="224"/>
    </row>
    <row r="37" spans="2:5" ht="15.75">
      <c r="B37" s="217"/>
      <c r="C37" s="221"/>
      <c r="D37" s="221"/>
      <c r="E37" s="224"/>
    </row>
    <row r="38" spans="2:5" ht="15.75">
      <c r="B38" s="217"/>
      <c r="C38" s="221"/>
      <c r="D38" s="221"/>
      <c r="E38" s="224"/>
    </row>
    <row r="39" spans="2:5" ht="15.75">
      <c r="B39" s="217"/>
      <c r="C39" s="221"/>
      <c r="D39" s="221"/>
      <c r="E39" s="224"/>
    </row>
    <row r="40" spans="2:5" ht="15.75">
      <c r="B40" s="217"/>
      <c r="C40" s="221"/>
      <c r="D40" s="221"/>
      <c r="E40" s="224"/>
    </row>
    <row r="41" spans="2:5" ht="15.75">
      <c r="B41" s="217"/>
      <c r="C41" s="221"/>
      <c r="D41" s="221"/>
      <c r="E41" s="224"/>
    </row>
    <row r="42" spans="2:5" ht="15.75">
      <c r="B42" s="217"/>
      <c r="C42" s="221"/>
      <c r="D42" s="221"/>
      <c r="E42" s="224"/>
    </row>
    <row r="43" spans="2:5" ht="15.75">
      <c r="B43" s="217"/>
      <c r="C43" s="221"/>
      <c r="D43" s="221"/>
      <c r="E43" s="224"/>
    </row>
    <row r="44" spans="2:5" ht="15.75">
      <c r="B44" s="217"/>
      <c r="C44" s="221"/>
      <c r="D44" s="221"/>
      <c r="E44" s="224"/>
    </row>
    <row r="45" spans="2:5" ht="15.75">
      <c r="B45" s="217"/>
      <c r="C45" s="221"/>
      <c r="D45" s="221"/>
      <c r="E45" s="224"/>
    </row>
    <row r="46" spans="2:5" ht="15.75">
      <c r="B46" s="217"/>
      <c r="C46" s="221"/>
      <c r="D46" s="221"/>
      <c r="E46" s="224"/>
    </row>
    <row r="47" spans="2:5" ht="15.75">
      <c r="B47" s="217"/>
      <c r="C47" s="221"/>
      <c r="D47" s="221"/>
      <c r="E47" s="224"/>
    </row>
    <row r="48" spans="2:5" ht="15.75">
      <c r="B48" s="217"/>
      <c r="C48" s="221"/>
      <c r="D48" s="221"/>
      <c r="E48" s="224"/>
    </row>
    <row r="49" spans="2:5" ht="15.75">
      <c r="B49" s="217"/>
      <c r="C49" s="221"/>
      <c r="D49" s="221"/>
      <c r="E49" s="224"/>
    </row>
    <row r="50" spans="2:5" ht="15.75">
      <c r="B50" s="217"/>
      <c r="C50" s="221"/>
      <c r="D50" s="221"/>
      <c r="E50" s="224"/>
    </row>
    <row r="51" spans="2:5" ht="15.75">
      <c r="B51" s="217"/>
      <c r="C51" s="221"/>
      <c r="D51" s="221"/>
      <c r="E51" s="224"/>
    </row>
    <row r="52" spans="2:5" ht="15.75">
      <c r="B52" s="217"/>
      <c r="C52" s="221"/>
      <c r="D52" s="221"/>
      <c r="E52" s="224"/>
    </row>
    <row r="53" spans="2:5" ht="15.75">
      <c r="B53" s="217"/>
      <c r="C53" s="221"/>
      <c r="D53" s="221"/>
      <c r="E53" s="224"/>
    </row>
    <row r="54" spans="2:5" ht="15.75">
      <c r="B54" s="217" t="s">
        <v>107</v>
      </c>
      <c r="C54" s="221"/>
      <c r="D54" s="221"/>
      <c r="E54" s="224"/>
    </row>
    <row r="55" spans="2:5" ht="15.75">
      <c r="B55" s="225" t="s">
        <v>109</v>
      </c>
      <c r="C55" s="221"/>
      <c r="D55" s="221"/>
      <c r="E55" s="224"/>
    </row>
    <row r="56" spans="2:5" ht="15.75">
      <c r="B56" s="238" t="s">
        <v>12</v>
      </c>
      <c r="C56" s="221"/>
      <c r="D56" s="221"/>
      <c r="E56" s="839">
        <f>nhood!E6*-1</f>
        <v>0</v>
      </c>
    </row>
    <row r="57" spans="2:5" ht="15.75">
      <c r="B57" s="126" t="s">
        <v>13</v>
      </c>
      <c r="C57" s="221"/>
      <c r="D57" s="221"/>
      <c r="E57" s="224"/>
    </row>
    <row r="58" spans="2:5" ht="15.75">
      <c r="B58" s="216" t="s">
        <v>734</v>
      </c>
      <c r="C58" s="226">
        <f>IF(C59*0.1&lt;C57,"Exceed 10% Rule","")</f>
      </c>
      <c r="D58" s="226">
        <f>IF(D59*0.1&lt;D57,"Exceed 10% Rule","")</f>
      </c>
      <c r="E58" s="262">
        <f>IF(E59*0.1+E120&lt;E57,"Exceed 10% Rule","")</f>
      </c>
    </row>
    <row r="59" spans="2:5" ht="15.75">
      <c r="B59" s="228" t="s">
        <v>110</v>
      </c>
      <c r="C59" s="230">
        <f>SUM(C9:C57)</f>
        <v>0</v>
      </c>
      <c r="D59" s="230">
        <f>SUM(D9:D57)</f>
        <v>0</v>
      </c>
      <c r="E59" s="231">
        <f>SUM(E10:E57)</f>
        <v>0</v>
      </c>
    </row>
    <row r="60" spans="2:5" ht="15.75">
      <c r="B60" s="228" t="s">
        <v>111</v>
      </c>
      <c r="C60" s="230">
        <f>C7+C59</f>
        <v>0</v>
      </c>
      <c r="D60" s="230">
        <f>D7+D59</f>
        <v>0</v>
      </c>
      <c r="E60" s="231">
        <f>E7+E59</f>
        <v>0</v>
      </c>
    </row>
    <row r="61" spans="2:5" ht="15.75">
      <c r="B61" s="43"/>
      <c r="C61" s="43"/>
      <c r="D61" s="43"/>
      <c r="E61" s="43"/>
    </row>
    <row r="62" spans="2:5" ht="15.75">
      <c r="B62" s="103" t="s">
        <v>120</v>
      </c>
      <c r="C62" s="137">
        <f>IF(inputPrYr!D20&gt;0,8,7)</f>
        <v>7</v>
      </c>
      <c r="D62" s="138"/>
      <c r="E62" s="138"/>
    </row>
    <row r="63" spans="2:5" ht="15.75">
      <c r="B63" s="138"/>
      <c r="C63" s="138"/>
      <c r="D63" s="138"/>
      <c r="E63" s="138"/>
    </row>
    <row r="64" spans="2:5" ht="15.75">
      <c r="B64" s="161">
        <f>inputPrYr!D3</f>
        <v>0</v>
      </c>
      <c r="C64" s="43"/>
      <c r="D64" s="43"/>
      <c r="E64" s="135"/>
    </row>
    <row r="65" spans="2:5" ht="15.75">
      <c r="B65" s="43"/>
      <c r="C65" s="43"/>
      <c r="D65" s="43"/>
      <c r="E65" s="103"/>
    </row>
    <row r="66" spans="2:5" ht="15.75">
      <c r="B66" s="232" t="s">
        <v>167</v>
      </c>
      <c r="C66" s="185"/>
      <c r="D66" s="185"/>
      <c r="E66" s="185"/>
    </row>
    <row r="67" spans="2:5" ht="15.75">
      <c r="B67" s="43" t="s">
        <v>101</v>
      </c>
      <c r="C67" s="663" t="s">
        <v>892</v>
      </c>
      <c r="D67" s="664" t="s">
        <v>893</v>
      </c>
      <c r="E67" s="111" t="s">
        <v>894</v>
      </c>
    </row>
    <row r="68" spans="2:5" ht="15.75">
      <c r="B68" s="64" t="str">
        <f>inputPrYr!B18</f>
        <v>General</v>
      </c>
      <c r="C68" s="189" t="str">
        <f>CONCATENATE("Actual for ",E1-2,"")</f>
        <v>Actual for -2</v>
      </c>
      <c r="D68" s="189" t="str">
        <f>CONCATENATE("Estimate for ",E1-1,"")</f>
        <v>Estimate for -1</v>
      </c>
      <c r="E68" s="172" t="str">
        <f>CONCATENATE("Year for ",E1,"")</f>
        <v>Year for 0</v>
      </c>
    </row>
    <row r="69" spans="2:5" ht="15.75">
      <c r="B69" s="233" t="s">
        <v>111</v>
      </c>
      <c r="C69" s="219">
        <f>C60</f>
        <v>0</v>
      </c>
      <c r="D69" s="219">
        <f>D60</f>
        <v>0</v>
      </c>
      <c r="E69" s="192">
        <f>E60</f>
        <v>0</v>
      </c>
    </row>
    <row r="70" spans="2:6" ht="15.75">
      <c r="B70" s="220" t="s">
        <v>113</v>
      </c>
      <c r="C70" s="126"/>
      <c r="D70" s="126"/>
      <c r="E70" s="69"/>
      <c r="F70" s="235"/>
    </row>
    <row r="71" spans="2:6" ht="15.75">
      <c r="B71" s="216">
        <f>GenDetail!A7</f>
        <v>0</v>
      </c>
      <c r="C71" s="234">
        <f>GenDetail!B15</f>
        <v>0</v>
      </c>
      <c r="D71" s="234">
        <f>GenDetail!C15</f>
        <v>0</v>
      </c>
      <c r="E71" s="67">
        <f>GenDetail!D15</f>
        <v>0</v>
      </c>
      <c r="F71" s="235"/>
    </row>
    <row r="72" spans="2:5" ht="15.75">
      <c r="B72" s="216">
        <f>GenDetail!A16</f>
        <v>0</v>
      </c>
      <c r="C72" s="234">
        <f>GenDetail!B22</f>
        <v>0</v>
      </c>
      <c r="D72" s="234">
        <f>GenDetail!C22</f>
        <v>0</v>
      </c>
      <c r="E72" s="67">
        <f>GenDetail!D22</f>
        <v>0</v>
      </c>
    </row>
    <row r="73" spans="2:5" ht="15.75">
      <c r="B73" s="216">
        <f>GenDetail!A23</f>
        <v>0</v>
      </c>
      <c r="C73" s="234">
        <f>GenDetail!B29</f>
        <v>0</v>
      </c>
      <c r="D73" s="234">
        <f>GenDetail!C29</f>
        <v>0</v>
      </c>
      <c r="E73" s="67">
        <f>GenDetail!D29</f>
        <v>0</v>
      </c>
    </row>
    <row r="74" spans="2:5" ht="15.75">
      <c r="B74" s="216">
        <f>GenDetail!A30</f>
        <v>0</v>
      </c>
      <c r="C74" s="234">
        <f>GenDetail!B35</f>
        <v>0</v>
      </c>
      <c r="D74" s="234">
        <f>GenDetail!C35</f>
        <v>0</v>
      </c>
      <c r="E74" s="67">
        <f>GenDetail!D35</f>
        <v>0</v>
      </c>
    </row>
    <row r="75" spans="2:5" ht="15.75">
      <c r="B75" s="216">
        <f>GenDetail!A36</f>
        <v>0</v>
      </c>
      <c r="C75" s="234">
        <f>GenDetail!B42</f>
        <v>0</v>
      </c>
      <c r="D75" s="234">
        <f>GenDetail!C42</f>
        <v>0</v>
      </c>
      <c r="E75" s="67">
        <f>GenDetail!D42</f>
        <v>0</v>
      </c>
    </row>
    <row r="76" spans="2:5" ht="15.75">
      <c r="B76" s="216">
        <f>GenDetail!A43</f>
        <v>0</v>
      </c>
      <c r="C76" s="234">
        <f>GenDetail!B49</f>
        <v>0</v>
      </c>
      <c r="D76" s="234">
        <f>GenDetail!C49</f>
        <v>0</v>
      </c>
      <c r="E76" s="67">
        <f>GenDetail!D49</f>
        <v>0</v>
      </c>
    </row>
    <row r="77" spans="2:5" ht="15.75">
      <c r="B77" s="216">
        <f>GenDetail!A50</f>
        <v>0</v>
      </c>
      <c r="C77" s="234">
        <f>GenDetail!B56</f>
        <v>0</v>
      </c>
      <c r="D77" s="234">
        <f>GenDetail!C56</f>
        <v>0</v>
      </c>
      <c r="E77" s="67">
        <f>GenDetail!D56</f>
        <v>0</v>
      </c>
    </row>
    <row r="78" spans="2:5" ht="15.75">
      <c r="B78" s="216">
        <f>GenDetail!A57</f>
        <v>0</v>
      </c>
      <c r="C78" s="234">
        <f>GenDetail!B63</f>
        <v>0</v>
      </c>
      <c r="D78" s="234">
        <f>GenDetail!C63</f>
        <v>0</v>
      </c>
      <c r="E78" s="67">
        <f>GenDetail!D63</f>
        <v>0</v>
      </c>
    </row>
    <row r="79" spans="2:5" ht="15.75">
      <c r="B79" s="216">
        <f>GenDetail!A75</f>
        <v>0</v>
      </c>
      <c r="C79" s="234">
        <f>GenDetail!B81</f>
        <v>0</v>
      </c>
      <c r="D79" s="234">
        <f>GenDetail!C81</f>
        <v>0</v>
      </c>
      <c r="E79" s="67">
        <f>GenDetail!D81</f>
        <v>0</v>
      </c>
    </row>
    <row r="80" spans="2:5" ht="15.75">
      <c r="B80" s="216">
        <f>GenDetail!A82</f>
        <v>0</v>
      </c>
      <c r="C80" s="234">
        <f>GenDetail!B88</f>
        <v>0</v>
      </c>
      <c r="D80" s="234">
        <f>GenDetail!C88</f>
        <v>0</v>
      </c>
      <c r="E80" s="67">
        <f>GenDetail!D88</f>
        <v>0</v>
      </c>
    </row>
    <row r="81" spans="2:5" ht="15.75">
      <c r="B81" s="216">
        <f>GenDetail!A89</f>
        <v>0</v>
      </c>
      <c r="C81" s="234">
        <f>GenDetail!B95</f>
        <v>0</v>
      </c>
      <c r="D81" s="234">
        <f>GenDetail!C95</f>
        <v>0</v>
      </c>
      <c r="E81" s="67">
        <f>GenDetail!D95</f>
        <v>0</v>
      </c>
    </row>
    <row r="82" spans="2:5" ht="15.75">
      <c r="B82" s="216">
        <f>GenDetail!A96</f>
        <v>0</v>
      </c>
      <c r="C82" s="234">
        <f>GenDetail!B101</f>
        <v>0</v>
      </c>
      <c r="D82" s="234">
        <f>GenDetail!C101</f>
        <v>0</v>
      </c>
      <c r="E82" s="67">
        <f>GenDetail!D101</f>
        <v>0</v>
      </c>
    </row>
    <row r="83" spans="2:5" ht="15.75">
      <c r="B83" s="216">
        <f>GenDetail!A102</f>
        <v>0</v>
      </c>
      <c r="C83" s="234">
        <f>GenDetail!B108</f>
        <v>0</v>
      </c>
      <c r="D83" s="234">
        <f>GenDetail!C108</f>
        <v>0</v>
      </c>
      <c r="E83" s="67">
        <f>GenDetail!D108</f>
        <v>0</v>
      </c>
    </row>
    <row r="84" spans="2:5" ht="15.75">
      <c r="B84" s="216">
        <f>GenDetail!A109</f>
        <v>0</v>
      </c>
      <c r="C84" s="234">
        <f>GenDetail!B115</f>
        <v>0</v>
      </c>
      <c r="D84" s="234">
        <f>GenDetail!C115</f>
        <v>0</v>
      </c>
      <c r="E84" s="67">
        <f>GenDetail!D115</f>
        <v>0</v>
      </c>
    </row>
    <row r="85" spans="2:5" ht="15.75">
      <c r="B85" s="216">
        <f>GenDetail!A116</f>
        <v>0</v>
      </c>
      <c r="C85" s="234">
        <f>GenDetail!B122</f>
        <v>0</v>
      </c>
      <c r="D85" s="234">
        <f>GenDetail!C122</f>
        <v>0</v>
      </c>
      <c r="E85" s="67">
        <f>GenDetail!D122</f>
        <v>0</v>
      </c>
    </row>
    <row r="86" spans="2:5" ht="15.75">
      <c r="B86" s="216">
        <f>GenDetail!A123</f>
        <v>0</v>
      </c>
      <c r="C86" s="234">
        <f>GenDetail!B129</f>
        <v>0</v>
      </c>
      <c r="D86" s="234">
        <f>GenDetail!C129</f>
        <v>0</v>
      </c>
      <c r="E86" s="67">
        <f>GenDetail!D129</f>
        <v>0</v>
      </c>
    </row>
    <row r="87" spans="2:5" ht="15.75">
      <c r="B87" s="236" t="s">
        <v>625</v>
      </c>
      <c r="C87" s="340">
        <f>SUM(C71:C86)</f>
        <v>0</v>
      </c>
      <c r="D87" s="340">
        <f>SUM(D71:D86)</f>
        <v>0</v>
      </c>
      <c r="E87" s="250">
        <f>SUM(E71:E86)</f>
        <v>0</v>
      </c>
    </row>
    <row r="88" spans="2:5" ht="15.75">
      <c r="B88" s="225"/>
      <c r="C88" s="221"/>
      <c r="D88" s="221"/>
      <c r="E88" s="224"/>
    </row>
    <row r="89" spans="2:5" ht="15.75">
      <c r="B89" s="225"/>
      <c r="C89" s="221"/>
      <c r="D89" s="221"/>
      <c r="E89" s="224"/>
    </row>
    <row r="90" spans="2:5" ht="15.75">
      <c r="B90" s="225"/>
      <c r="C90" s="221"/>
      <c r="D90" s="221"/>
      <c r="E90" s="224"/>
    </row>
    <row r="91" spans="2:5" ht="15.75">
      <c r="B91" s="225"/>
      <c r="C91" s="221"/>
      <c r="D91" s="221"/>
      <c r="E91" s="224"/>
    </row>
    <row r="92" spans="2:5" ht="15.75">
      <c r="B92" s="225"/>
      <c r="C92" s="221"/>
      <c r="D92" s="221"/>
      <c r="E92" s="224"/>
    </row>
    <row r="93" spans="2:5" ht="15.75">
      <c r="B93" s="225"/>
      <c r="C93" s="221"/>
      <c r="D93" s="221"/>
      <c r="E93" s="224"/>
    </row>
    <row r="94" spans="2:5" ht="15.75">
      <c r="B94" s="237"/>
      <c r="C94" s="221"/>
      <c r="D94" s="221"/>
      <c r="E94" s="224"/>
    </row>
    <row r="95" spans="2:5" ht="15.75">
      <c r="B95" s="237"/>
      <c r="C95" s="221"/>
      <c r="D95" s="221"/>
      <c r="E95" s="224"/>
    </row>
    <row r="96" spans="2:10" ht="15.75">
      <c r="B96" s="237"/>
      <c r="C96" s="221"/>
      <c r="D96" s="221"/>
      <c r="E96" s="224"/>
      <c r="G96" s="889" t="str">
        <f>CONCATENATE("Desired Carryover Into ",E1+1,"")</f>
        <v>Desired Carryover Into 1</v>
      </c>
      <c r="H96" s="890"/>
      <c r="I96" s="890"/>
      <c r="J96" s="891"/>
    </row>
    <row r="97" spans="2:10" ht="15.75">
      <c r="B97" s="237"/>
      <c r="C97" s="221"/>
      <c r="D97" s="221"/>
      <c r="E97" s="224"/>
      <c r="G97" s="496"/>
      <c r="H97" s="493"/>
      <c r="I97" s="493"/>
      <c r="J97" s="497"/>
    </row>
    <row r="98" spans="2:10" ht="15.75">
      <c r="B98" s="237"/>
      <c r="C98" s="221"/>
      <c r="D98" s="221"/>
      <c r="E98" s="224"/>
      <c r="G98" s="507" t="s">
        <v>722</v>
      </c>
      <c r="H98" s="501"/>
      <c r="I98" s="501"/>
      <c r="J98" s="495">
        <v>0</v>
      </c>
    </row>
    <row r="99" spans="2:10" ht="15.75">
      <c r="B99" s="237"/>
      <c r="C99" s="221"/>
      <c r="D99" s="221"/>
      <c r="E99" s="224"/>
      <c r="G99" s="511" t="s">
        <v>723</v>
      </c>
      <c r="H99" s="492"/>
      <c r="I99" s="494"/>
      <c r="J99" s="510">
        <f>IF(J98=0,"",ROUND((J98+E120-G111)/inputOth!E7*1000,3)-general!G116)</f>
      </c>
    </row>
    <row r="100" spans="2:10" ht="15.75">
      <c r="B100" s="237"/>
      <c r="C100" s="221"/>
      <c r="D100" s="221"/>
      <c r="E100" s="224"/>
      <c r="G100" s="574" t="str">
        <f>CONCATENATE("",E1," Total Expenditures Must Be:")</f>
        <v>0 Total Expenditures Must Be:</v>
      </c>
      <c r="H100" s="575"/>
      <c r="I100" s="576"/>
      <c r="J100" s="509">
        <f>IF(J98&gt;0,IF(E117&lt;E60,IF(J98=G111,E117,((J98-G111)*(1-D119))+E60),E117+(J98-G111)),0)</f>
        <v>0</v>
      </c>
    </row>
    <row r="101" spans="2:10" ht="15.75">
      <c r="B101" s="237"/>
      <c r="C101" s="221"/>
      <c r="D101" s="221"/>
      <c r="E101" s="224"/>
      <c r="G101" s="578" t="s">
        <v>833</v>
      </c>
      <c r="H101" s="579"/>
      <c r="I101" s="580"/>
      <c r="J101" s="613">
        <f>IF(J98&gt;0,J100-E117,0)</f>
        <v>0</v>
      </c>
    </row>
    <row r="102" spans="2:5" ht="15.75">
      <c r="B102" s="237"/>
      <c r="C102" s="221"/>
      <c r="D102" s="221"/>
      <c r="E102" s="224"/>
    </row>
    <row r="103" spans="2:10" ht="15.75">
      <c r="B103" s="237"/>
      <c r="C103" s="221"/>
      <c r="D103" s="221"/>
      <c r="E103" s="224"/>
      <c r="G103" s="889" t="str">
        <f>CONCATENATE("Projected Carryover Into ",E1+1,"")</f>
        <v>Projected Carryover Into 1</v>
      </c>
      <c r="H103" s="898"/>
      <c r="I103" s="898"/>
      <c r="J103" s="899"/>
    </row>
    <row r="104" spans="2:10" ht="15.75">
      <c r="B104" s="237"/>
      <c r="C104" s="221"/>
      <c r="D104" s="221"/>
      <c r="E104" s="224"/>
      <c r="G104" s="496"/>
      <c r="H104" s="493"/>
      <c r="I104" s="493"/>
      <c r="J104" s="497"/>
    </row>
    <row r="105" spans="2:10" ht="15.75">
      <c r="B105" s="237"/>
      <c r="C105" s="221"/>
      <c r="D105" s="221"/>
      <c r="E105" s="224"/>
      <c r="G105" s="498">
        <f>D114</f>
        <v>0</v>
      </c>
      <c r="H105" s="499" t="str">
        <f>CONCATENATE("",E1-1," Ending Cash Balance (est.)")</f>
        <v>-1 Ending Cash Balance (est.)</v>
      </c>
      <c r="I105" s="500"/>
      <c r="J105" s="497"/>
    </row>
    <row r="106" spans="2:10" ht="15.75">
      <c r="B106" s="237"/>
      <c r="C106" s="221"/>
      <c r="D106" s="221"/>
      <c r="E106" s="224"/>
      <c r="G106" s="498">
        <f>E59</f>
        <v>0</v>
      </c>
      <c r="H106" s="501" t="str">
        <f>CONCATENATE("",E1," Non-AV Receipts (est.)")</f>
        <v>0 Non-AV Receipts (est.)</v>
      </c>
      <c r="I106" s="500"/>
      <c r="J106" s="497"/>
    </row>
    <row r="107" spans="2:11" ht="15.75">
      <c r="B107" s="237"/>
      <c r="C107" s="221"/>
      <c r="D107" s="221"/>
      <c r="E107" s="224"/>
      <c r="G107" s="502">
        <f>IF(E119&gt;0,E118,E120)</f>
        <v>0</v>
      </c>
      <c r="H107" s="501" t="str">
        <f>CONCATENATE("",E1," Ad Valorem Tax (est.)")</f>
        <v>0 Ad Valorem Tax (est.)</v>
      </c>
      <c r="I107" s="500"/>
      <c r="J107" s="497"/>
      <c r="K107" s="592">
        <f>IF(G107=E120,"","Note: Does not include Delinquent Taxes")</f>
      </c>
    </row>
    <row r="108" spans="2:10" ht="15.75">
      <c r="B108" s="237"/>
      <c r="C108" s="221"/>
      <c r="D108" s="221"/>
      <c r="E108" s="224"/>
      <c r="G108" s="498">
        <f>SUM(G105:G107)</f>
        <v>0</v>
      </c>
      <c r="H108" s="501" t="str">
        <f>CONCATENATE("Total ",E1," Resources Available")</f>
        <v>Total 0 Resources Available</v>
      </c>
      <c r="I108" s="500"/>
      <c r="J108" s="497"/>
    </row>
    <row r="109" spans="2:10" ht="15.75">
      <c r="B109" s="237"/>
      <c r="C109" s="221"/>
      <c r="D109" s="221"/>
      <c r="E109" s="224"/>
      <c r="G109" s="503"/>
      <c r="H109" s="501"/>
      <c r="I109" s="501"/>
      <c r="J109" s="497"/>
    </row>
    <row r="110" spans="2:10" ht="15.75">
      <c r="B110" s="238" t="str">
        <f>CONCATENATE("Cash Forward (",E1," column)")</f>
        <v>Cash Forward (0 column)</v>
      </c>
      <c r="C110" s="221"/>
      <c r="D110" s="221"/>
      <c r="E110" s="224"/>
      <c r="G110" s="502">
        <f>C113*0.05+C113</f>
        <v>0</v>
      </c>
      <c r="H110" s="501" t="str">
        <f>CONCATENATE("Less ",E1-2," Expenditures + 5%")</f>
        <v>Less -2 Expenditures + 5%</v>
      </c>
      <c r="I110" s="500"/>
      <c r="J110" s="497"/>
    </row>
    <row r="111" spans="2:10" ht="15.75">
      <c r="B111" s="238" t="s">
        <v>13</v>
      </c>
      <c r="C111" s="221"/>
      <c r="D111" s="221"/>
      <c r="E111" s="224"/>
      <c r="G111" s="508">
        <f>G108-G110</f>
        <v>0</v>
      </c>
      <c r="H111" s="504" t="str">
        <f>CONCATENATE("Projected ",E1+1," Carryover (est.)")</f>
        <v>Projected 1 Carryover (est.)</v>
      </c>
      <c r="I111" s="505"/>
      <c r="J111" s="506"/>
    </row>
    <row r="112" spans="2:5" ht="15.75">
      <c r="B112" s="238" t="s">
        <v>735</v>
      </c>
      <c r="C112" s="226">
        <f>IF(C113*0.1&lt;C111,"Exceed 10% Rule","")</f>
      </c>
      <c r="D112" s="226">
        <f>IF(D113*0.1&lt;D111,"Exceed 10% Rule","")</f>
      </c>
      <c r="E112" s="262">
        <f>IF(E113*0.1&lt;E111,"Exceed 10% Rule","")</f>
      </c>
    </row>
    <row r="113" spans="2:10" ht="15.75">
      <c r="B113" s="228" t="s">
        <v>117</v>
      </c>
      <c r="C113" s="230">
        <f>SUM(C87:C111)</f>
        <v>0</v>
      </c>
      <c r="D113" s="230">
        <f>SUM(D87:D111)</f>
        <v>0</v>
      </c>
      <c r="E113" s="231">
        <f>SUM(E87:E111)</f>
        <v>0</v>
      </c>
      <c r="G113" s="900" t="s">
        <v>834</v>
      </c>
      <c r="H113" s="901"/>
      <c r="I113" s="901"/>
      <c r="J113" s="902"/>
    </row>
    <row r="114" spans="2:10" ht="15.75">
      <c r="B114" s="117" t="s">
        <v>211</v>
      </c>
      <c r="C114" s="234">
        <f>C60-C113</f>
        <v>0</v>
      </c>
      <c r="D114" s="234">
        <f>D60-D113</f>
        <v>0</v>
      </c>
      <c r="E114" s="223" t="s">
        <v>91</v>
      </c>
      <c r="G114" s="582"/>
      <c r="H114" s="583"/>
      <c r="I114" s="584"/>
      <c r="J114" s="585"/>
    </row>
    <row r="115" spans="2:10" ht="15.75">
      <c r="B115" s="137" t="str">
        <f>CONCATENATE("",E1-2,"/",E1-1,"/",E1," Budget Authority Amount:")</f>
        <v>-2/-1/0 Budget Authority Amount:</v>
      </c>
      <c r="C115" s="669">
        <f>inputOth!B62</f>
        <v>0</v>
      </c>
      <c r="D115" s="669">
        <f>inputPrYr!D18</f>
        <v>0</v>
      </c>
      <c r="E115" s="692">
        <f>E113</f>
        <v>0</v>
      </c>
      <c r="F115" s="239"/>
      <c r="G115" s="586">
        <f>summ!H15</f>
      </c>
      <c r="H115" s="583" t="str">
        <f>CONCATENATE("",E1," Fund Mill Rate")</f>
        <v>0 Fund Mill Rate</v>
      </c>
      <c r="I115" s="584"/>
      <c r="J115" s="585"/>
    </row>
    <row r="116" spans="2:10" ht="15.75">
      <c r="B116" s="103"/>
      <c r="C116" s="892" t="s">
        <v>623</v>
      </c>
      <c r="D116" s="893"/>
      <c r="E116" s="224"/>
      <c r="F116" s="395">
        <f>IF(E113/0.95-E113&lt;E116,"Exceeds 5%","")</f>
      </c>
      <c r="G116" s="587" t="str">
        <f>summ!E15</f>
        <v>  </v>
      </c>
      <c r="H116" s="583" t="str">
        <f>CONCATENATE("",E1-1," Fund Mill Rate")</f>
        <v>-1 Fund Mill Rate</v>
      </c>
      <c r="I116" s="584"/>
      <c r="J116" s="585"/>
    </row>
    <row r="117" spans="2:10" ht="15.75">
      <c r="B117" s="485" t="str">
        <f>CONCATENATE(C134,"     ",D134)</f>
        <v>     </v>
      </c>
      <c r="C117" s="894" t="s">
        <v>624</v>
      </c>
      <c r="D117" s="895"/>
      <c r="E117" s="192">
        <f>E113+E116</f>
        <v>0</v>
      </c>
      <c r="G117" s="588">
        <f>summ!H52</f>
        <v>0</v>
      </c>
      <c r="H117" s="583" t="str">
        <f>CONCATENATE("Total ",E1," Mill Rate")</f>
        <v>Total 0 Mill Rate</v>
      </c>
      <c r="I117" s="584"/>
      <c r="J117" s="585"/>
    </row>
    <row r="118" spans="2:10" ht="15.75">
      <c r="B118" s="485" t="str">
        <f>CONCATENATE(C135,"     ",D135)</f>
        <v>     </v>
      </c>
      <c r="C118" s="240"/>
      <c r="D118" s="135" t="s">
        <v>118</v>
      </c>
      <c r="E118" s="67">
        <f>IF(E117-E60&gt;0,E117-E60,0)</f>
        <v>0</v>
      </c>
      <c r="G118" s="587">
        <f>summ!E52</f>
        <v>0</v>
      </c>
      <c r="H118" s="589" t="str">
        <f>CONCATENATE("Total ",E1-1," Mill Rate")</f>
        <v>Total -1 Mill Rate</v>
      </c>
      <c r="I118" s="590"/>
      <c r="J118" s="591"/>
    </row>
    <row r="119" spans="2:5" ht="15.75">
      <c r="B119" s="135"/>
      <c r="C119" s="346" t="s">
        <v>622</v>
      </c>
      <c r="D119" s="677">
        <f>inputOth!$E$49</f>
        <v>0</v>
      </c>
      <c r="E119" s="192">
        <f>ROUND(IF(D119&gt;0,(E118*D119),0),0)</f>
        <v>0</v>
      </c>
    </row>
    <row r="120" spans="2:10" ht="16.5" thickBot="1">
      <c r="B120" s="43"/>
      <c r="C120" s="896" t="str">
        <f>CONCATENATE("Amount of  ",$E$1-1," Ad Valorem Tax")</f>
        <v>Amount of  -1 Ad Valorem Tax</v>
      </c>
      <c r="D120" s="897"/>
      <c r="E120" s="598">
        <f>E118+E119</f>
        <v>0</v>
      </c>
      <c r="G120" s="808"/>
      <c r="H120" s="827"/>
      <c r="I120" s="807"/>
      <c r="J120" s="826"/>
    </row>
    <row r="121" spans="2:10" ht="16.5" thickTop="1">
      <c r="B121" s="43"/>
      <c r="C121" s="43"/>
      <c r="D121" s="43"/>
      <c r="E121" s="43"/>
      <c r="G121" s="806" t="str">
        <f>CONCATENATE("Computed ",E1," tax levy limit amount")</f>
        <v>Computed 0 tax levy limit amount</v>
      </c>
      <c r="H121" s="805"/>
      <c r="I121" s="805"/>
      <c r="J121" s="803">
        <f>computation!J47</f>
        <v>0</v>
      </c>
    </row>
    <row r="122" spans="2:10" ht="15.75">
      <c r="B122" s="103" t="s">
        <v>120</v>
      </c>
      <c r="C122" s="137" t="str">
        <f>CONCATENATE("",C62,"a")</f>
        <v>7a</v>
      </c>
      <c r="D122" s="138"/>
      <c r="E122" s="138"/>
      <c r="G122" s="804" t="str">
        <f>CONCATENATE("Total ",E1," tax levy amount")</f>
        <v>Total 0 tax levy amount</v>
      </c>
      <c r="H122" s="580"/>
      <c r="I122" s="580"/>
      <c r="J122" s="802">
        <f>summ!G52</f>
        <v>0</v>
      </c>
    </row>
    <row r="124" ht="15.75">
      <c r="B124" s="81"/>
    </row>
    <row r="127" spans="2:3" ht="15.75">
      <c r="B127" s="29"/>
      <c r="C127" s="29"/>
    </row>
    <row r="134" spans="3:4" ht="15.75" hidden="1">
      <c r="C134" s="484">
        <f>IF(C113&gt;C115,"See Tab A","")</f>
      </c>
      <c r="D134" s="484">
        <f>IF(D113&gt;D115,"See Tab C","")</f>
      </c>
    </row>
    <row r="135" spans="3:4" ht="15.75" hidden="1">
      <c r="C135" s="484">
        <f>IF(C114&lt;0,"See Tab B","")</f>
      </c>
      <c r="D135" s="484">
        <f>IF(D114&lt;0,"See Tab D","")</f>
      </c>
    </row>
  </sheetData>
  <sheetProtection sheet="1"/>
  <mergeCells count="6">
    <mergeCell ref="G96:J96"/>
    <mergeCell ref="C116:D116"/>
    <mergeCell ref="C117:D117"/>
    <mergeCell ref="C120:D120"/>
    <mergeCell ref="G103:J103"/>
    <mergeCell ref="G113:J113"/>
  </mergeCells>
  <conditionalFormatting sqref="E111">
    <cfRule type="cellIs" priority="2" dxfId="338" operator="greaterThan" stopIfTrue="1">
      <formula>$E$113*0.1</formula>
    </cfRule>
  </conditionalFormatting>
  <conditionalFormatting sqref="E116">
    <cfRule type="cellIs" priority="3" dxfId="338" operator="greaterThan" stopIfTrue="1">
      <formula>$E$113/0.95-$E$113</formula>
    </cfRule>
  </conditionalFormatting>
  <conditionalFormatting sqref="D113">
    <cfRule type="cellIs" priority="4" dxfId="0" operator="greaterThan" stopIfTrue="1">
      <formula>$D$115</formula>
    </cfRule>
  </conditionalFormatting>
  <conditionalFormatting sqref="C113">
    <cfRule type="cellIs" priority="5" dxfId="0" operator="greaterThan" stopIfTrue="1">
      <formula>$C$115</formula>
    </cfRule>
  </conditionalFormatting>
  <conditionalFormatting sqref="C114">
    <cfRule type="cellIs" priority="6" dxfId="0" operator="lessThan" stopIfTrue="1">
      <formula>0</formula>
    </cfRule>
  </conditionalFormatting>
  <conditionalFormatting sqref="C111">
    <cfRule type="cellIs" priority="7" dxfId="0" operator="greaterThan" stopIfTrue="1">
      <formula>$C$113*0.1</formula>
    </cfRule>
  </conditionalFormatting>
  <conditionalFormatting sqref="D111">
    <cfRule type="cellIs" priority="8" dxfId="0" operator="greaterThan" stopIfTrue="1">
      <formula>$D$113*0.1</formula>
    </cfRule>
  </conditionalFormatting>
  <conditionalFormatting sqref="D57">
    <cfRule type="cellIs" priority="9" dxfId="0" operator="greaterThan" stopIfTrue="1">
      <formula>$D$59*0.1</formula>
    </cfRule>
  </conditionalFormatting>
  <conditionalFormatting sqref="C57">
    <cfRule type="cellIs" priority="10" dxfId="0" operator="greaterThan" stopIfTrue="1">
      <formula>$C$59*0.1</formula>
    </cfRule>
  </conditionalFormatting>
  <conditionalFormatting sqref="E57">
    <cfRule type="cellIs" priority="11" dxfId="338" operator="greaterThan" stopIfTrue="1">
      <formula>$E$59*0.1+E120</formula>
    </cfRule>
  </conditionalFormatting>
  <conditionalFormatting sqref="D114">
    <cfRule type="cellIs" priority="1" dxfId="1" operator="lessThan" stopIfTrue="1">
      <formula>0</formula>
    </cfRule>
  </conditionalFormatting>
  <printOptions/>
  <pageMargins left="0.5" right="0.5" top="1" bottom="0.5" header="0.5" footer="0.5"/>
  <pageSetup blackAndWhite="1" fitToHeight="2" fitToWidth="1" horizontalDpi="120" verticalDpi="120" orientation="portrait" scale="68" r:id="rId1"/>
  <headerFooter alignWithMargins="0">
    <oddHeader>&amp;RState of Kansas
City</oddHeader>
  </headerFooter>
  <rowBreaks count="2" manualBreakCount="2">
    <brk id="62" min="1" max="4" man="1"/>
    <brk id="62"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5"/>
  <sheetViews>
    <sheetView workbookViewId="0" topLeftCell="A1">
      <selection activeCell="P89" sqref="P89"/>
    </sheetView>
  </sheetViews>
  <sheetFormatPr defaultColWidth="8.796875" defaultRowHeight="15"/>
  <cols>
    <col min="1" max="1" width="28.296875" style="29" customWidth="1"/>
    <col min="2" max="3" width="15.796875" style="29" customWidth="1"/>
    <col min="4" max="4" width="16.09765625" style="29" customWidth="1"/>
    <col min="5" max="16384" width="8.8984375" style="29" customWidth="1"/>
  </cols>
  <sheetData>
    <row r="1" spans="1:4" ht="15.75">
      <c r="A1" s="161">
        <f>inputPrYr!D3</f>
        <v>0</v>
      </c>
      <c r="B1" s="43"/>
      <c r="C1" s="137"/>
      <c r="D1" s="43">
        <f>inputPrYr!C6</f>
        <v>0</v>
      </c>
    </row>
    <row r="2" spans="1:4" ht="15.75">
      <c r="A2" s="43"/>
      <c r="B2" s="43"/>
      <c r="C2" s="43"/>
      <c r="D2" s="137"/>
    </row>
    <row r="3" spans="1:4" ht="15.75">
      <c r="A3" s="525"/>
      <c r="B3" s="241"/>
      <c r="C3" s="241"/>
      <c r="D3" s="241"/>
    </row>
    <row r="4" spans="1:4" ht="15.75">
      <c r="A4" s="665" t="s">
        <v>101</v>
      </c>
      <c r="B4" s="242" t="s">
        <v>892</v>
      </c>
      <c r="C4" s="111" t="s">
        <v>893</v>
      </c>
      <c r="D4" s="111" t="s">
        <v>894</v>
      </c>
    </row>
    <row r="5" spans="1:4" ht="15.75">
      <c r="A5" s="525" t="s">
        <v>366</v>
      </c>
      <c r="B5" s="215" t="str">
        <f>CONCATENATE("Actual for ",D1-2,"")</f>
        <v>Actual for -2</v>
      </c>
      <c r="C5" s="215" t="str">
        <f>CONCATENATE("Estimate for ",D1-1,"")</f>
        <v>Estimate for -1</v>
      </c>
      <c r="D5" s="215" t="str">
        <f>CONCATENATE("Year for ",D1,"")</f>
        <v>Year for 0</v>
      </c>
    </row>
    <row r="6" spans="1:4" ht="15.75">
      <c r="A6" s="190" t="s">
        <v>113</v>
      </c>
      <c r="B6" s="69"/>
      <c r="C6" s="69"/>
      <c r="D6" s="69"/>
    </row>
    <row r="7" spans="1:4" ht="15.75">
      <c r="A7" s="243"/>
      <c r="B7" s="69"/>
      <c r="C7" s="69"/>
      <c r="D7" s="69"/>
    </row>
    <row r="8" spans="1:4" ht="15.75">
      <c r="A8" s="244" t="s">
        <v>121</v>
      </c>
      <c r="B8" s="224"/>
      <c r="C8" s="224"/>
      <c r="D8" s="224"/>
    </row>
    <row r="9" spans="1:4" ht="15.75">
      <c r="A9" s="244" t="s">
        <v>114</v>
      </c>
      <c r="B9" s="224"/>
      <c r="C9" s="224"/>
      <c r="D9" s="224"/>
    </row>
    <row r="10" spans="1:4" ht="15.75">
      <c r="A10" s="244" t="s">
        <v>115</v>
      </c>
      <c r="B10" s="224"/>
      <c r="C10" s="224"/>
      <c r="D10" s="224"/>
    </row>
    <row r="11" spans="1:4" ht="15.75">
      <c r="A11" s="244" t="s">
        <v>116</v>
      </c>
      <c r="B11" s="224"/>
      <c r="C11" s="224"/>
      <c r="D11" s="224"/>
    </row>
    <row r="12" spans="1:4" ht="15.75">
      <c r="A12" s="244"/>
      <c r="B12" s="224"/>
      <c r="C12" s="224"/>
      <c r="D12" s="224"/>
    </row>
    <row r="13" spans="1:4" ht="15.75">
      <c r="A13" s="56"/>
      <c r="B13" s="224"/>
      <c r="C13" s="224"/>
      <c r="D13" s="224"/>
    </row>
    <row r="14" spans="1:4" ht="15.75">
      <c r="A14" s="56"/>
      <c r="B14" s="224"/>
      <c r="C14" s="224"/>
      <c r="D14" s="224"/>
    </row>
    <row r="15" spans="1:4" ht="15.75">
      <c r="A15" s="190" t="s">
        <v>74</v>
      </c>
      <c r="B15" s="229">
        <f>SUM(B8:B14)</f>
        <v>0</v>
      </c>
      <c r="C15" s="229">
        <f>SUM(C8:C14)</f>
        <v>0</v>
      </c>
      <c r="D15" s="229">
        <f>SUM(D8:D14)</f>
        <v>0</v>
      </c>
    </row>
    <row r="16" spans="1:4" ht="15.75">
      <c r="A16" s="245"/>
      <c r="B16" s="161"/>
      <c r="C16" s="161"/>
      <c r="D16" s="161"/>
    </row>
    <row r="17" spans="1:4" ht="15.75">
      <c r="A17" s="244" t="s">
        <v>121</v>
      </c>
      <c r="B17" s="224"/>
      <c r="C17" s="224"/>
      <c r="D17" s="224"/>
    </row>
    <row r="18" spans="1:4" ht="15.75">
      <c r="A18" s="244" t="s">
        <v>114</v>
      </c>
      <c r="B18" s="224"/>
      <c r="C18" s="224"/>
      <c r="D18" s="224"/>
    </row>
    <row r="19" spans="1:4" ht="15.75">
      <c r="A19" s="244" t="s">
        <v>115</v>
      </c>
      <c r="B19" s="224"/>
      <c r="C19" s="224"/>
      <c r="D19" s="224"/>
    </row>
    <row r="20" spans="1:4" ht="15.75">
      <c r="A20" s="244" t="s">
        <v>116</v>
      </c>
      <c r="B20" s="224"/>
      <c r="C20" s="224"/>
      <c r="D20" s="224"/>
    </row>
    <row r="21" spans="1:4" ht="15.75">
      <c r="A21" s="244"/>
      <c r="B21" s="224"/>
      <c r="C21" s="224"/>
      <c r="D21" s="224"/>
    </row>
    <row r="22" spans="1:4" ht="15.75">
      <c r="A22" s="190" t="s">
        <v>74</v>
      </c>
      <c r="B22" s="229">
        <f>SUM(B17:B21)</f>
        <v>0</v>
      </c>
      <c r="C22" s="229">
        <f>SUM(C17:C21)</f>
        <v>0</v>
      </c>
      <c r="D22" s="229">
        <f>SUM(D17:D21)</f>
        <v>0</v>
      </c>
    </row>
    <row r="23" spans="1:4" ht="15.75">
      <c r="A23" s="245"/>
      <c r="B23" s="161"/>
      <c r="C23" s="161"/>
      <c r="D23" s="161"/>
    </row>
    <row r="24" spans="1:4" ht="15.75">
      <c r="A24" s="244" t="s">
        <v>121</v>
      </c>
      <c r="B24" s="224"/>
      <c r="C24" s="224"/>
      <c r="D24" s="224"/>
    </row>
    <row r="25" spans="1:4" ht="15.75">
      <c r="A25" s="244" t="s">
        <v>114</v>
      </c>
      <c r="B25" s="224"/>
      <c r="C25" s="224"/>
      <c r="D25" s="224"/>
    </row>
    <row r="26" spans="1:4" ht="15.75">
      <c r="A26" s="244" t="s">
        <v>115</v>
      </c>
      <c r="B26" s="224"/>
      <c r="C26" s="224"/>
      <c r="D26" s="224"/>
    </row>
    <row r="27" spans="1:4" ht="15.75">
      <c r="A27" s="244" t="s">
        <v>116</v>
      </c>
      <c r="B27" s="224"/>
      <c r="C27" s="224"/>
      <c r="D27" s="224"/>
    </row>
    <row r="28" spans="1:4" ht="15.75">
      <c r="A28" s="244"/>
      <c r="B28" s="224"/>
      <c r="C28" s="224"/>
      <c r="D28" s="224"/>
    </row>
    <row r="29" spans="1:4" ht="15.75">
      <c r="A29" s="190" t="s">
        <v>74</v>
      </c>
      <c r="B29" s="229">
        <f>SUM(B24:B28)</f>
        <v>0</v>
      </c>
      <c r="C29" s="229">
        <f>SUM(C24:C28)</f>
        <v>0</v>
      </c>
      <c r="D29" s="229">
        <f>SUM(D24:D28)</f>
        <v>0</v>
      </c>
    </row>
    <row r="30" spans="1:4" ht="15.75">
      <c r="A30" s="245"/>
      <c r="B30" s="161"/>
      <c r="C30" s="161"/>
      <c r="D30" s="161"/>
    </row>
    <row r="31" spans="1:4" ht="15.75">
      <c r="A31" s="244" t="s">
        <v>121</v>
      </c>
      <c r="B31" s="224"/>
      <c r="C31" s="224"/>
      <c r="D31" s="224"/>
    </row>
    <row r="32" spans="1:4" ht="15.75">
      <c r="A32" s="244" t="s">
        <v>114</v>
      </c>
      <c r="B32" s="224"/>
      <c r="C32" s="224"/>
      <c r="D32" s="224"/>
    </row>
    <row r="33" spans="1:4" ht="15.75">
      <c r="A33" s="244" t="s">
        <v>115</v>
      </c>
      <c r="B33" s="224"/>
      <c r="C33" s="224"/>
      <c r="D33" s="224"/>
    </row>
    <row r="34" spans="1:4" ht="15.75">
      <c r="A34" s="244" t="s">
        <v>116</v>
      </c>
      <c r="B34" s="224"/>
      <c r="C34" s="224"/>
      <c r="D34" s="224"/>
    </row>
    <row r="35" spans="1:4" ht="15.75">
      <c r="A35" s="190" t="s">
        <v>74</v>
      </c>
      <c r="B35" s="229">
        <f>SUM(B31:B34)</f>
        <v>0</v>
      </c>
      <c r="C35" s="229">
        <f>SUM(C31:C34)</f>
        <v>0</v>
      </c>
      <c r="D35" s="229">
        <f>SUM(D31:D34)</f>
        <v>0</v>
      </c>
    </row>
    <row r="36" spans="1:4" ht="15.75">
      <c r="A36" s="245"/>
      <c r="B36" s="161"/>
      <c r="C36" s="161"/>
      <c r="D36" s="161"/>
    </row>
    <row r="37" spans="1:4" ht="15.75">
      <c r="A37" s="244" t="s">
        <v>121</v>
      </c>
      <c r="B37" s="224"/>
      <c r="C37" s="224"/>
      <c r="D37" s="224"/>
    </row>
    <row r="38" spans="1:4" ht="15.75">
      <c r="A38" s="244" t="s">
        <v>114</v>
      </c>
      <c r="B38" s="224"/>
      <c r="C38" s="224"/>
      <c r="D38" s="224"/>
    </row>
    <row r="39" spans="1:4" ht="15.75">
      <c r="A39" s="244" t="s">
        <v>115</v>
      </c>
      <c r="B39" s="224"/>
      <c r="C39" s="224"/>
      <c r="D39" s="224"/>
    </row>
    <row r="40" spans="1:4" ht="15.75">
      <c r="A40" s="244" t="s">
        <v>116</v>
      </c>
      <c r="B40" s="224"/>
      <c r="C40" s="224"/>
      <c r="D40" s="224"/>
    </row>
    <row r="41" spans="1:4" ht="15.75">
      <c r="A41" s="244"/>
      <c r="B41" s="224"/>
      <c r="C41" s="224"/>
      <c r="D41" s="224"/>
    </row>
    <row r="42" spans="1:4" ht="15.75">
      <c r="A42" s="190" t="s">
        <v>74</v>
      </c>
      <c r="B42" s="229">
        <f>SUM(B37:B41)</f>
        <v>0</v>
      </c>
      <c r="C42" s="229">
        <f>SUM(C37:C41)</f>
        <v>0</v>
      </c>
      <c r="D42" s="229">
        <f>SUM(D37:D41)</f>
        <v>0</v>
      </c>
    </row>
    <row r="43" spans="1:4" ht="15.75">
      <c r="A43" s="245"/>
      <c r="B43" s="161"/>
      <c r="C43" s="161"/>
      <c r="D43" s="161"/>
    </row>
    <row r="44" spans="1:4" ht="15.75">
      <c r="A44" s="244" t="s">
        <v>121</v>
      </c>
      <c r="B44" s="224"/>
      <c r="C44" s="224"/>
      <c r="D44" s="224"/>
    </row>
    <row r="45" spans="1:4" ht="15.75">
      <c r="A45" s="244" t="s">
        <v>114</v>
      </c>
      <c r="B45" s="224"/>
      <c r="C45" s="224"/>
      <c r="D45" s="224"/>
    </row>
    <row r="46" spans="1:4" ht="15.75">
      <c r="A46" s="244" t="s">
        <v>115</v>
      </c>
      <c r="B46" s="224"/>
      <c r="C46" s="224"/>
      <c r="D46" s="224"/>
    </row>
    <row r="47" spans="1:4" ht="15.75">
      <c r="A47" s="244" t="s">
        <v>116</v>
      </c>
      <c r="B47" s="224"/>
      <c r="C47" s="224"/>
      <c r="D47" s="224"/>
    </row>
    <row r="48" spans="1:4" ht="15.75">
      <c r="A48" s="244"/>
      <c r="B48" s="224"/>
      <c r="C48" s="224"/>
      <c r="D48" s="224"/>
    </row>
    <row r="49" spans="1:4" ht="15.75">
      <c r="A49" s="190" t="s">
        <v>74</v>
      </c>
      <c r="B49" s="229">
        <f>SUM(B44:B48)</f>
        <v>0</v>
      </c>
      <c r="C49" s="229">
        <f>SUM(C44:C48)</f>
        <v>0</v>
      </c>
      <c r="D49" s="229">
        <f>SUM(D44:D48)</f>
        <v>0</v>
      </c>
    </row>
    <row r="50" spans="1:4" ht="15.75">
      <c r="A50" s="245"/>
      <c r="B50" s="161"/>
      <c r="C50" s="161"/>
      <c r="D50" s="161"/>
    </row>
    <row r="51" spans="1:4" ht="15.75">
      <c r="A51" s="244" t="s">
        <v>121</v>
      </c>
      <c r="B51" s="224"/>
      <c r="C51" s="224"/>
      <c r="D51" s="224"/>
    </row>
    <row r="52" spans="1:4" ht="15.75">
      <c r="A52" s="244" t="s">
        <v>114</v>
      </c>
      <c r="B52" s="224"/>
      <c r="C52" s="224"/>
      <c r="D52" s="224"/>
    </row>
    <row r="53" spans="1:4" ht="15.75">
      <c r="A53" s="244" t="s">
        <v>115</v>
      </c>
      <c r="B53" s="224"/>
      <c r="C53" s="224"/>
      <c r="D53" s="224"/>
    </row>
    <row r="54" spans="1:4" ht="15.75">
      <c r="A54" s="244" t="s">
        <v>116</v>
      </c>
      <c r="B54" s="224"/>
      <c r="C54" s="224"/>
      <c r="D54" s="224"/>
    </row>
    <row r="55" spans="1:4" ht="15.75">
      <c r="A55" s="244"/>
      <c r="B55" s="224"/>
      <c r="C55" s="224"/>
      <c r="D55" s="224"/>
    </row>
    <row r="56" spans="1:4" ht="15.75">
      <c r="A56" s="190" t="s">
        <v>74</v>
      </c>
      <c r="B56" s="229">
        <f>SUM(B51:B55)</f>
        <v>0</v>
      </c>
      <c r="C56" s="229">
        <f>SUM(C51:C55)</f>
        <v>0</v>
      </c>
      <c r="D56" s="229">
        <f>SUM(D51:D55)</f>
        <v>0</v>
      </c>
    </row>
    <row r="57" spans="1:4" ht="15.75">
      <c r="A57" s="245"/>
      <c r="B57" s="161"/>
      <c r="C57" s="161"/>
      <c r="D57" s="161"/>
    </row>
    <row r="58" spans="1:4" ht="15.75">
      <c r="A58" s="244" t="s">
        <v>121</v>
      </c>
      <c r="B58" s="224"/>
      <c r="C58" s="224"/>
      <c r="D58" s="224"/>
    </row>
    <row r="59" spans="1:4" ht="15.75">
      <c r="A59" s="244" t="s">
        <v>114</v>
      </c>
      <c r="B59" s="224"/>
      <c r="C59" s="224"/>
      <c r="D59" s="224"/>
    </row>
    <row r="60" spans="1:4" ht="15.75">
      <c r="A60" s="244" t="s">
        <v>115</v>
      </c>
      <c r="B60" s="224"/>
      <c r="C60" s="224"/>
      <c r="D60" s="224"/>
    </row>
    <row r="61" spans="1:4" ht="15.75">
      <c r="A61" s="244" t="s">
        <v>116</v>
      </c>
      <c r="B61" s="224"/>
      <c r="C61" s="224"/>
      <c r="D61" s="224"/>
    </row>
    <row r="62" spans="1:4" ht="15.75">
      <c r="A62" s="244"/>
      <c r="B62" s="224"/>
      <c r="C62" s="224"/>
      <c r="D62" s="224"/>
    </row>
    <row r="63" spans="1:4" ht="15.75">
      <c r="A63" s="190" t="s">
        <v>74</v>
      </c>
      <c r="B63" s="229">
        <f>SUM(B58:B62)</f>
        <v>0</v>
      </c>
      <c r="C63" s="229">
        <f>SUM(C58:C62)</f>
        <v>0</v>
      </c>
      <c r="D63" s="229">
        <f>SUM(D58:D62)</f>
        <v>0</v>
      </c>
    </row>
    <row r="64" spans="1:4" ht="15.75">
      <c r="A64" s="43"/>
      <c r="B64" s="161"/>
      <c r="C64" s="161"/>
      <c r="D64" s="161"/>
    </row>
    <row r="65" spans="1:4" ht="16.5" thickBot="1">
      <c r="A65" s="190" t="s">
        <v>362</v>
      </c>
      <c r="B65" s="246">
        <f>B15+B22+B29+B35+B42+B49+B56+B63</f>
        <v>0</v>
      </c>
      <c r="C65" s="246">
        <f>C15+C22+C29+C35+C42+C49+C56+C63</f>
        <v>0</v>
      </c>
      <c r="D65" s="246">
        <f>D15+D22+D29+D35+D42+D49+D56+D63</f>
        <v>0</v>
      </c>
    </row>
    <row r="66" spans="1:4" ht="16.5" thickTop="1">
      <c r="A66" s="247"/>
      <c r="B66" s="161"/>
      <c r="C66" s="161"/>
      <c r="D66" s="161"/>
    </row>
    <row r="67" spans="1:4" ht="15.75">
      <c r="A67" s="364" t="s">
        <v>120</v>
      </c>
      <c r="B67" s="161" t="str">
        <f>CONCATENATE("",general!C62,"b")</f>
        <v>7b</v>
      </c>
      <c r="C67" s="161"/>
      <c r="D67" s="161"/>
    </row>
    <row r="68" spans="1:4" ht="15.75">
      <c r="A68" s="43"/>
      <c r="B68" s="161"/>
      <c r="C68" s="161"/>
      <c r="D68" s="161"/>
    </row>
    <row r="69" spans="1:4" ht="15.75">
      <c r="A69" s="161">
        <f>A1</f>
        <v>0</v>
      </c>
      <c r="B69" s="43"/>
      <c r="C69" s="137"/>
      <c r="D69" s="43">
        <f>D1</f>
        <v>0</v>
      </c>
    </row>
    <row r="70" spans="1:4" ht="15.75">
      <c r="A70" s="43"/>
      <c r="B70" s="43"/>
      <c r="C70" s="43"/>
      <c r="D70" s="137"/>
    </row>
    <row r="71" spans="1:6" ht="15.75">
      <c r="A71" s="213"/>
      <c r="B71" s="185"/>
      <c r="C71" s="185"/>
      <c r="D71" s="185"/>
      <c r="F71" s="668"/>
    </row>
    <row r="72" spans="1:6" ht="15.75">
      <c r="A72" s="666" t="s">
        <v>101</v>
      </c>
      <c r="B72" s="524" t="str">
        <f aca="true" t="shared" si="0" ref="B72:D73">B4</f>
        <v>Prior Year </v>
      </c>
      <c r="C72" s="667" t="str">
        <f t="shared" si="0"/>
        <v>Current Year </v>
      </c>
      <c r="D72" s="523" t="str">
        <f t="shared" si="0"/>
        <v>Proposed Budget </v>
      </c>
      <c r="F72" s="668"/>
    </row>
    <row r="73" spans="1:4" ht="15.75">
      <c r="A73" s="525" t="s">
        <v>367</v>
      </c>
      <c r="B73" s="215" t="str">
        <f t="shared" si="0"/>
        <v>Actual for -2</v>
      </c>
      <c r="C73" s="215" t="str">
        <f t="shared" si="0"/>
        <v>Estimate for -1</v>
      </c>
      <c r="D73" s="215" t="str">
        <f t="shared" si="0"/>
        <v>Year for 0</v>
      </c>
    </row>
    <row r="74" spans="1:4" ht="15.75">
      <c r="A74" s="190" t="s">
        <v>113</v>
      </c>
      <c r="B74" s="69"/>
      <c r="C74" s="69"/>
      <c r="D74" s="69"/>
    </row>
    <row r="75" spans="1:4" ht="15.75">
      <c r="A75" s="243"/>
      <c r="B75" s="69"/>
      <c r="C75" s="69"/>
      <c r="D75" s="69"/>
    </row>
    <row r="76" spans="1:4" ht="15.75">
      <c r="A76" s="244" t="s">
        <v>121</v>
      </c>
      <c r="B76" s="224"/>
      <c r="C76" s="224"/>
      <c r="D76" s="224"/>
    </row>
    <row r="77" spans="1:4" ht="15.75">
      <c r="A77" s="244" t="s">
        <v>114</v>
      </c>
      <c r="B77" s="224"/>
      <c r="C77" s="224"/>
      <c r="D77" s="224"/>
    </row>
    <row r="78" spans="1:4" ht="15.75">
      <c r="A78" s="244" t="s">
        <v>115</v>
      </c>
      <c r="B78" s="224"/>
      <c r="C78" s="224"/>
      <c r="D78" s="224"/>
    </row>
    <row r="79" spans="1:4" ht="15.75">
      <c r="A79" s="244" t="s">
        <v>116</v>
      </c>
      <c r="B79" s="224"/>
      <c r="C79" s="224"/>
      <c r="D79" s="224"/>
    </row>
    <row r="80" spans="1:4" ht="15.75">
      <c r="A80" s="56"/>
      <c r="B80" s="224"/>
      <c r="C80" s="224"/>
      <c r="D80" s="224"/>
    </row>
    <row r="81" spans="1:4" ht="15.75">
      <c r="A81" s="190" t="s">
        <v>74</v>
      </c>
      <c r="B81" s="229">
        <f>SUM(B76:B80)</f>
        <v>0</v>
      </c>
      <c r="C81" s="229">
        <f>SUM(C76:C80)</f>
        <v>0</v>
      </c>
      <c r="D81" s="229">
        <f>SUM(D76:D80)</f>
        <v>0</v>
      </c>
    </row>
    <row r="82" spans="1:4" ht="15.75">
      <c r="A82" s="245"/>
      <c r="B82" s="161"/>
      <c r="C82" s="161"/>
      <c r="D82" s="161"/>
    </row>
    <row r="83" spans="1:4" ht="15.75">
      <c r="A83" s="244" t="s">
        <v>121</v>
      </c>
      <c r="B83" s="224"/>
      <c r="C83" s="224"/>
      <c r="D83" s="224"/>
    </row>
    <row r="84" spans="1:4" ht="15.75">
      <c r="A84" s="244" t="s">
        <v>114</v>
      </c>
      <c r="B84" s="224"/>
      <c r="C84" s="224"/>
      <c r="D84" s="224"/>
    </row>
    <row r="85" spans="1:4" ht="15.75">
      <c r="A85" s="244" t="s">
        <v>115</v>
      </c>
      <c r="B85" s="224"/>
      <c r="C85" s="224"/>
      <c r="D85" s="224"/>
    </row>
    <row r="86" spans="1:4" ht="15.75">
      <c r="A86" s="244" t="s">
        <v>116</v>
      </c>
      <c r="B86" s="224"/>
      <c r="C86" s="224"/>
      <c r="D86" s="224"/>
    </row>
    <row r="87" spans="1:4" ht="15.75">
      <c r="A87" s="244"/>
      <c r="B87" s="224"/>
      <c r="C87" s="224"/>
      <c r="D87" s="224"/>
    </row>
    <row r="88" spans="1:4" ht="15.75">
      <c r="A88" s="190" t="s">
        <v>74</v>
      </c>
      <c r="B88" s="229">
        <f>SUM(B83:B87)</f>
        <v>0</v>
      </c>
      <c r="C88" s="229">
        <f>SUM(C83:C87)</f>
        <v>0</v>
      </c>
      <c r="D88" s="229">
        <f>SUM(D83:D87)</f>
        <v>0</v>
      </c>
    </row>
    <row r="89" spans="1:4" ht="15.75">
      <c r="A89" s="245"/>
      <c r="B89" s="161"/>
      <c r="C89" s="161"/>
      <c r="D89" s="161"/>
    </row>
    <row r="90" spans="1:4" ht="15.75">
      <c r="A90" s="244" t="s">
        <v>121</v>
      </c>
      <c r="B90" s="224"/>
      <c r="C90" s="224"/>
      <c r="D90" s="224"/>
    </row>
    <row r="91" spans="1:4" ht="15.75">
      <c r="A91" s="244" t="s">
        <v>114</v>
      </c>
      <c r="B91" s="224"/>
      <c r="C91" s="224"/>
      <c r="D91" s="224"/>
    </row>
    <row r="92" spans="1:4" ht="15.75">
      <c r="A92" s="244" t="s">
        <v>115</v>
      </c>
      <c r="B92" s="224"/>
      <c r="C92" s="224"/>
      <c r="D92" s="224"/>
    </row>
    <row r="93" spans="1:4" ht="15.75">
      <c r="A93" s="244" t="s">
        <v>116</v>
      </c>
      <c r="B93" s="224"/>
      <c r="C93" s="224"/>
      <c r="D93" s="224"/>
    </row>
    <row r="94" spans="1:4" ht="15.75">
      <c r="A94" s="244"/>
      <c r="B94" s="224"/>
      <c r="C94" s="224"/>
      <c r="D94" s="224"/>
    </row>
    <row r="95" spans="1:4" ht="15.75">
      <c r="A95" s="190" t="s">
        <v>74</v>
      </c>
      <c r="B95" s="229">
        <f>SUM(B90:B94)</f>
        <v>0</v>
      </c>
      <c r="C95" s="229">
        <f>SUM(C90:C94)</f>
        <v>0</v>
      </c>
      <c r="D95" s="229">
        <f>SUM(D90:D94)</f>
        <v>0</v>
      </c>
    </row>
    <row r="96" spans="1:4" ht="15.75">
      <c r="A96" s="245"/>
      <c r="B96" s="161"/>
      <c r="C96" s="161"/>
      <c r="D96" s="161"/>
    </row>
    <row r="97" spans="1:4" ht="15.75">
      <c r="A97" s="244" t="s">
        <v>121</v>
      </c>
      <c r="B97" s="224"/>
      <c r="C97" s="224"/>
      <c r="D97" s="224"/>
    </row>
    <row r="98" spans="1:4" ht="15.75">
      <c r="A98" s="244" t="s">
        <v>114</v>
      </c>
      <c r="B98" s="224"/>
      <c r="C98" s="224"/>
      <c r="D98" s="224"/>
    </row>
    <row r="99" spans="1:4" ht="15.75">
      <c r="A99" s="244" t="s">
        <v>115</v>
      </c>
      <c r="B99" s="224"/>
      <c r="C99" s="224"/>
      <c r="D99" s="224"/>
    </row>
    <row r="100" spans="1:4" ht="15.75">
      <c r="A100" s="244" t="s">
        <v>116</v>
      </c>
      <c r="B100" s="224"/>
      <c r="C100" s="224"/>
      <c r="D100" s="224"/>
    </row>
    <row r="101" spans="1:4" ht="15.75">
      <c r="A101" s="190" t="s">
        <v>74</v>
      </c>
      <c r="B101" s="229">
        <f>SUM(B97:B100)</f>
        <v>0</v>
      </c>
      <c r="C101" s="229">
        <f>SUM(C97:C100)</f>
        <v>0</v>
      </c>
      <c r="D101" s="229">
        <f>SUM(D97:D100)</f>
        <v>0</v>
      </c>
    </row>
    <row r="102" spans="1:4" ht="15.75">
      <c r="A102" s="245"/>
      <c r="B102" s="161"/>
      <c r="C102" s="161"/>
      <c r="D102" s="161"/>
    </row>
    <row r="103" spans="1:4" ht="15.75">
      <c r="A103" s="244" t="s">
        <v>121</v>
      </c>
      <c r="B103" s="224"/>
      <c r="C103" s="224"/>
      <c r="D103" s="224"/>
    </row>
    <row r="104" spans="1:4" ht="15.75">
      <c r="A104" s="244" t="s">
        <v>114</v>
      </c>
      <c r="B104" s="224"/>
      <c r="C104" s="224"/>
      <c r="D104" s="224"/>
    </row>
    <row r="105" spans="1:4" ht="15.75">
      <c r="A105" s="244" t="s">
        <v>115</v>
      </c>
      <c r="B105" s="224"/>
      <c r="C105" s="224"/>
      <c r="D105" s="224"/>
    </row>
    <row r="106" spans="1:4" ht="15.75">
      <c r="A106" s="244" t="s">
        <v>116</v>
      </c>
      <c r="B106" s="224"/>
      <c r="C106" s="224"/>
      <c r="D106" s="224"/>
    </row>
    <row r="107" spans="1:4" ht="15.75">
      <c r="A107" s="244"/>
      <c r="B107" s="224"/>
      <c r="C107" s="224"/>
      <c r="D107" s="224"/>
    </row>
    <row r="108" spans="1:4" ht="15.75">
      <c r="A108" s="190" t="s">
        <v>74</v>
      </c>
      <c r="B108" s="229">
        <f>SUM(B103:B107)</f>
        <v>0</v>
      </c>
      <c r="C108" s="229">
        <f>SUM(C103:C107)</f>
        <v>0</v>
      </c>
      <c r="D108" s="229">
        <f>SUM(D103:D107)</f>
        <v>0</v>
      </c>
    </row>
    <row r="109" spans="1:4" ht="15.75">
      <c r="A109" s="245"/>
      <c r="B109" s="161"/>
      <c r="C109" s="161"/>
      <c r="D109" s="161"/>
    </row>
    <row r="110" spans="1:4" ht="15.75">
      <c r="A110" s="244" t="s">
        <v>121</v>
      </c>
      <c r="B110" s="224"/>
      <c r="C110" s="224"/>
      <c r="D110" s="224"/>
    </row>
    <row r="111" spans="1:4" ht="15.75">
      <c r="A111" s="244" t="s">
        <v>114</v>
      </c>
      <c r="B111" s="224"/>
      <c r="C111" s="224"/>
      <c r="D111" s="224"/>
    </row>
    <row r="112" spans="1:4" ht="15.75">
      <c r="A112" s="244" t="s">
        <v>115</v>
      </c>
      <c r="B112" s="224"/>
      <c r="C112" s="224"/>
      <c r="D112" s="224"/>
    </row>
    <row r="113" spans="1:4" ht="15.75">
      <c r="A113" s="244" t="s">
        <v>116</v>
      </c>
      <c r="B113" s="224"/>
      <c r="C113" s="224"/>
      <c r="D113" s="224"/>
    </row>
    <row r="114" spans="1:4" ht="15.75">
      <c r="A114" s="244"/>
      <c r="B114" s="224"/>
      <c r="C114" s="224"/>
      <c r="D114" s="224"/>
    </row>
    <row r="115" spans="1:4" ht="15.75">
      <c r="A115" s="190" t="s">
        <v>74</v>
      </c>
      <c r="B115" s="229">
        <f>SUM(B110:B114)</f>
        <v>0</v>
      </c>
      <c r="C115" s="229">
        <f>SUM(C110:C114)</f>
        <v>0</v>
      </c>
      <c r="D115" s="229">
        <f>SUM(D110:D114)</f>
        <v>0</v>
      </c>
    </row>
    <row r="116" spans="1:4" ht="15.75">
      <c r="A116" s="245"/>
      <c r="B116" s="161"/>
      <c r="C116" s="161"/>
      <c r="D116" s="161"/>
    </row>
    <row r="117" spans="1:4" ht="15.75">
      <c r="A117" s="244" t="s">
        <v>121</v>
      </c>
      <c r="B117" s="224"/>
      <c r="C117" s="224"/>
      <c r="D117" s="224"/>
    </row>
    <row r="118" spans="1:4" ht="15.75">
      <c r="A118" s="244" t="s">
        <v>114</v>
      </c>
      <c r="B118" s="224"/>
      <c r="C118" s="224"/>
      <c r="D118" s="224"/>
    </row>
    <row r="119" spans="1:4" ht="15.75">
      <c r="A119" s="244" t="s">
        <v>115</v>
      </c>
      <c r="B119" s="224"/>
      <c r="C119" s="224"/>
      <c r="D119" s="224"/>
    </row>
    <row r="120" spans="1:4" ht="15.75">
      <c r="A120" s="244" t="s">
        <v>116</v>
      </c>
      <c r="B120" s="224"/>
      <c r="C120" s="224"/>
      <c r="D120" s="224"/>
    </row>
    <row r="121" spans="1:4" ht="15.75">
      <c r="A121" s="244"/>
      <c r="B121" s="224"/>
      <c r="C121" s="224"/>
      <c r="D121" s="224"/>
    </row>
    <row r="122" spans="1:4" ht="15.75">
      <c r="A122" s="190" t="s">
        <v>74</v>
      </c>
      <c r="B122" s="229">
        <f>SUM(B117:B121)</f>
        <v>0</v>
      </c>
      <c r="C122" s="229">
        <f>SUM(C117:C121)</f>
        <v>0</v>
      </c>
      <c r="D122" s="229">
        <f>SUM(D117:D121)</f>
        <v>0</v>
      </c>
    </row>
    <row r="123" spans="1:4" ht="15.75">
      <c r="A123" s="245"/>
      <c r="B123" s="161"/>
      <c r="C123" s="161"/>
      <c r="D123" s="161"/>
    </row>
    <row r="124" spans="1:4" ht="15.75">
      <c r="A124" s="244" t="s">
        <v>121</v>
      </c>
      <c r="B124" s="224"/>
      <c r="C124" s="224"/>
      <c r="D124" s="224"/>
    </row>
    <row r="125" spans="1:4" ht="15.75">
      <c r="A125" s="244" t="s">
        <v>114</v>
      </c>
      <c r="B125" s="224"/>
      <c r="C125" s="224"/>
      <c r="D125" s="224"/>
    </row>
    <row r="126" spans="1:4" ht="15.75">
      <c r="A126" s="244" t="s">
        <v>115</v>
      </c>
      <c r="B126" s="224"/>
      <c r="C126" s="224"/>
      <c r="D126" s="224"/>
    </row>
    <row r="127" spans="1:4" ht="15.75">
      <c r="A127" s="244" t="s">
        <v>116</v>
      </c>
      <c r="B127" s="224"/>
      <c r="C127" s="224"/>
      <c r="D127" s="224"/>
    </row>
    <row r="128" spans="1:4" ht="15.75">
      <c r="A128" s="244"/>
      <c r="B128" s="224"/>
      <c r="C128" s="224"/>
      <c r="D128" s="224"/>
    </row>
    <row r="129" spans="1:4" ht="15.75">
      <c r="A129" s="190" t="s">
        <v>74</v>
      </c>
      <c r="B129" s="229">
        <f>SUM(B124:B128)</f>
        <v>0</v>
      </c>
      <c r="C129" s="229">
        <f>SUM(C124:C128)</f>
        <v>0</v>
      </c>
      <c r="D129" s="311">
        <f>SUM(D124:D128)</f>
        <v>0</v>
      </c>
    </row>
    <row r="130" spans="1:4" ht="15.75">
      <c r="A130" s="190"/>
      <c r="B130" s="161"/>
      <c r="C130" s="161"/>
      <c r="D130" s="161"/>
    </row>
    <row r="131" spans="1:4" ht="15.75">
      <c r="A131" s="53" t="s">
        <v>364</v>
      </c>
      <c r="B131" s="312">
        <f>B81+B88+B95+B101+B108+B115+B122+B129</f>
        <v>0</v>
      </c>
      <c r="C131" s="312">
        <f>C81+C88+C95+C101+C108+C115+C122+C129</f>
        <v>0</v>
      </c>
      <c r="D131" s="312">
        <f>D81+D88+D95+D101+D108+D115+D122+D129</f>
        <v>0</v>
      </c>
    </row>
    <row r="132" spans="1:4" ht="15.75">
      <c r="A132" s="190" t="s">
        <v>363</v>
      </c>
      <c r="B132" s="229">
        <f>B65</f>
        <v>0</v>
      </c>
      <c r="C132" s="229">
        <f>C65</f>
        <v>0</v>
      </c>
      <c r="D132" s="229">
        <f>D65</f>
        <v>0</v>
      </c>
    </row>
    <row r="133" spans="1:4" ht="16.5" thickBot="1">
      <c r="A133" s="190" t="s">
        <v>365</v>
      </c>
      <c r="B133" s="246">
        <f>SUM(B131:B132)</f>
        <v>0</v>
      </c>
      <c r="C133" s="246">
        <f>SUM(C131:C132)</f>
        <v>0</v>
      </c>
      <c r="D133" s="246">
        <f>SUM(D131:D132)</f>
        <v>0</v>
      </c>
    </row>
    <row r="134" spans="1:4" ht="16.5" thickTop="1">
      <c r="A134" s="247" t="s">
        <v>45</v>
      </c>
      <c r="B134" s="161"/>
      <c r="C134" s="161"/>
      <c r="D134" s="161"/>
    </row>
    <row r="135" spans="1:4" ht="15.75">
      <c r="A135" s="364" t="s">
        <v>120</v>
      </c>
      <c r="B135" s="161" t="str">
        <f>CONCATENATE("",general!C62,"c")</f>
        <v>7c</v>
      </c>
      <c r="C135" s="161"/>
      <c r="D135" s="161"/>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G84" sqref="G84:J84"/>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7.0976562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362">
        <f>inputPrYr!D3</f>
        <v>0</v>
      </c>
      <c r="C1" s="362"/>
      <c r="D1" s="348"/>
      <c r="E1" s="356">
        <f>inputPrYr!C6</f>
        <v>0</v>
      </c>
    </row>
    <row r="2" spans="2:5" ht="15.75">
      <c r="B2" s="348"/>
      <c r="C2" s="348"/>
      <c r="D2" s="348"/>
      <c r="E2" s="364"/>
    </row>
    <row r="3" spans="2:5" ht="15.75">
      <c r="B3" s="351" t="s">
        <v>168</v>
      </c>
      <c r="C3" s="351"/>
      <c r="D3" s="365"/>
      <c r="E3" s="357"/>
    </row>
    <row r="4" spans="2:5" ht="15.75">
      <c r="B4" s="350" t="s">
        <v>101</v>
      </c>
      <c r="C4" s="663" t="s">
        <v>892</v>
      </c>
      <c r="D4" s="664" t="s">
        <v>893</v>
      </c>
      <c r="E4" s="111" t="s">
        <v>894</v>
      </c>
    </row>
    <row r="5" spans="2:5" ht="15.75">
      <c r="B5" s="390" t="s">
        <v>44</v>
      </c>
      <c r="C5" s="189" t="str">
        <f>CONCATENATE("Actual for ",E1-2,"")</f>
        <v>Actual for -2</v>
      </c>
      <c r="D5" s="189" t="str">
        <f>CONCATENATE("Estimate for ",E1-1,"")</f>
        <v>Estimate for -1</v>
      </c>
      <c r="E5" s="172" t="str">
        <f>CONCATENATE("Year for ",E1,"")</f>
        <v>Year for 0</v>
      </c>
    </row>
    <row r="6" spans="2:5" ht="15.75">
      <c r="B6" s="358" t="s">
        <v>210</v>
      </c>
      <c r="C6" s="386"/>
      <c r="D6" s="385">
        <f>C36</f>
        <v>0</v>
      </c>
      <c r="E6" s="359">
        <f>D36</f>
        <v>0</v>
      </c>
    </row>
    <row r="7" spans="2:5" ht="15.75">
      <c r="B7" s="358" t="s">
        <v>212</v>
      </c>
      <c r="C7" s="360"/>
      <c r="D7" s="385"/>
      <c r="E7" s="359"/>
    </row>
    <row r="8" spans="2:5" ht="15.75">
      <c r="B8" s="358" t="s">
        <v>102</v>
      </c>
      <c r="C8" s="383"/>
      <c r="D8" s="385">
        <f>IF(inputPrYr!H17,inputPrYr!G19,inputPrYr!E19)</f>
        <v>0</v>
      </c>
      <c r="E8" s="373" t="s">
        <v>91</v>
      </c>
    </row>
    <row r="9" spans="2:5" ht="15.75">
      <c r="B9" s="358" t="s">
        <v>103</v>
      </c>
      <c r="C9" s="383"/>
      <c r="D9" s="387"/>
      <c r="E9" s="352"/>
    </row>
    <row r="10" spans="2:5" ht="15.75">
      <c r="B10" s="358" t="s">
        <v>104</v>
      </c>
      <c r="C10" s="383"/>
      <c r="D10" s="387"/>
      <c r="E10" s="359" t="str">
        <f>mvalloc!D8</f>
        <v>  </v>
      </c>
    </row>
    <row r="11" spans="2:5" ht="15.75">
      <c r="B11" s="358" t="s">
        <v>105</v>
      </c>
      <c r="C11" s="383"/>
      <c r="D11" s="387"/>
      <c r="E11" s="359" t="str">
        <f>mvalloc!E8</f>
        <v> </v>
      </c>
    </row>
    <row r="12" spans="2:5" ht="15.75">
      <c r="B12" s="361" t="s">
        <v>199</v>
      </c>
      <c r="C12" s="383"/>
      <c r="D12" s="387"/>
      <c r="E12" s="359" t="str">
        <f>mvalloc!F8</f>
        <v> </v>
      </c>
    </row>
    <row r="13" spans="2:5" ht="15.75">
      <c r="B13" s="793" t="s">
        <v>1020</v>
      </c>
      <c r="C13" s="383"/>
      <c r="D13" s="387"/>
      <c r="E13" s="359" t="str">
        <f>mvalloc!G8</f>
        <v> </v>
      </c>
    </row>
    <row r="14" spans="2:5" ht="15.75">
      <c r="B14" s="793" t="s">
        <v>1021</v>
      </c>
      <c r="C14" s="383"/>
      <c r="D14" s="387"/>
      <c r="E14" s="359" t="str">
        <f>mvalloc!H8</f>
        <v> </v>
      </c>
    </row>
    <row r="15" spans="2:5" ht="15.75">
      <c r="B15" s="374"/>
      <c r="C15" s="383"/>
      <c r="D15" s="387"/>
      <c r="E15" s="352"/>
    </row>
    <row r="16" spans="2:5" ht="15.75">
      <c r="B16" s="374"/>
      <c r="C16" s="383"/>
      <c r="D16" s="387"/>
      <c r="E16" s="352"/>
    </row>
    <row r="17" spans="2:5" ht="15.75">
      <c r="B17" s="374"/>
      <c r="C17" s="383"/>
      <c r="D17" s="387"/>
      <c r="E17" s="352"/>
    </row>
    <row r="18" spans="2:5" ht="15.75">
      <c r="B18" s="374"/>
      <c r="C18" s="383"/>
      <c r="D18" s="387"/>
      <c r="E18" s="352"/>
    </row>
    <row r="19" spans="2:10" ht="15.75">
      <c r="B19" s="370" t="s">
        <v>109</v>
      </c>
      <c r="C19" s="383"/>
      <c r="D19" s="387"/>
      <c r="E19" s="352"/>
      <c r="F19" s="347"/>
      <c r="G19" s="906" t="str">
        <f>CONCATENATE("Desired Carryover Into ",E1+1,"")</f>
        <v>Desired Carryover Into 1</v>
      </c>
      <c r="H19" s="898"/>
      <c r="I19" s="898"/>
      <c r="J19" s="899"/>
    </row>
    <row r="20" spans="2:10" ht="15.75">
      <c r="B20" s="372" t="s">
        <v>12</v>
      </c>
      <c r="C20" s="383"/>
      <c r="D20" s="387"/>
      <c r="E20" s="694">
        <f>nhood!E7*-1</f>
        <v>0</v>
      </c>
      <c r="F20" s="347"/>
      <c r="G20" s="600"/>
      <c r="H20" s="601"/>
      <c r="I20" s="602"/>
      <c r="J20" s="603"/>
    </row>
    <row r="21" spans="2:10" ht="15.75">
      <c r="B21" s="358" t="s">
        <v>13</v>
      </c>
      <c r="C21" s="221"/>
      <c r="D21" s="221"/>
      <c r="E21" s="54"/>
      <c r="F21" s="347"/>
      <c r="G21" s="604" t="s">
        <v>722</v>
      </c>
      <c r="H21" s="602"/>
      <c r="I21" s="602"/>
      <c r="J21" s="605">
        <v>0</v>
      </c>
    </row>
    <row r="22" spans="2:10" ht="15.75">
      <c r="B22" s="358" t="s">
        <v>734</v>
      </c>
      <c r="C22" s="226">
        <f>IF(C23*0.1&lt;C21,"Exceed 10% Rule","")</f>
      </c>
      <c r="D22" s="226">
        <f>IF(D23*0.1&lt;D21,"Exceed 10% Rule","")</f>
      </c>
      <c r="E22" s="262">
        <f>IF(E23*0.1+E42&lt;E21,"Exceed 10% Rule","")</f>
      </c>
      <c r="F22" s="347"/>
      <c r="G22" s="600" t="s">
        <v>723</v>
      </c>
      <c r="H22" s="601"/>
      <c r="I22" s="601"/>
      <c r="J22" s="606">
        <f>IF(J21=0,"",ROUND((J21+E42-G33)/inputOth!E7*1000,3)-G38)</f>
      </c>
    </row>
    <row r="23" spans="2:10" ht="15.75">
      <c r="B23" s="367" t="s">
        <v>110</v>
      </c>
      <c r="C23" s="388">
        <f>SUM(C8:C21)</f>
        <v>0</v>
      </c>
      <c r="D23" s="388">
        <f>SUM(D8:D21)</f>
        <v>0</v>
      </c>
      <c r="E23" s="375">
        <f>SUM(E9:E21)</f>
        <v>0</v>
      </c>
      <c r="F23" s="347"/>
      <c r="G23" s="607" t="str">
        <f>CONCATENATE("",E1," Tot Exp/Non-Appr Must Be:")</f>
        <v>0 Tot Exp/Non-Appr Must Be:</v>
      </c>
      <c r="H23" s="608"/>
      <c r="I23" s="609"/>
      <c r="J23" s="610">
        <f>IF(J21&gt;0,IF(E39&lt;E24,IF(J21=G33,E39,((J21-G33)*(1-D41))+E24),E39+(J21-G33)),0)</f>
        <v>0</v>
      </c>
    </row>
    <row r="24" spans="2:10" ht="15.75">
      <c r="B24" s="367" t="s">
        <v>111</v>
      </c>
      <c r="C24" s="388">
        <f>SUM(C6+C23)</f>
        <v>0</v>
      </c>
      <c r="D24" s="388">
        <f>SUM(D6+D23)</f>
        <v>0</v>
      </c>
      <c r="E24" s="375">
        <f>SUM(E6+E23)</f>
        <v>0</v>
      </c>
      <c r="F24" s="347"/>
      <c r="G24" s="611" t="s">
        <v>835</v>
      </c>
      <c r="H24" s="612"/>
      <c r="I24" s="612"/>
      <c r="J24" s="613">
        <f>IF(J21&gt;0,J23-E39,0)</f>
        <v>0</v>
      </c>
    </row>
    <row r="25" spans="2:9" ht="15.75">
      <c r="B25" s="358" t="s">
        <v>113</v>
      </c>
      <c r="C25" s="358"/>
      <c r="D25" s="385"/>
      <c r="E25" s="359"/>
      <c r="F25" s="347"/>
      <c r="G25" s="347"/>
      <c r="H25" s="347"/>
      <c r="I25" s="347"/>
    </row>
    <row r="26" spans="2:10" ht="15.75">
      <c r="B26" s="374"/>
      <c r="C26" s="448"/>
      <c r="D26" s="387"/>
      <c r="E26" s="352"/>
      <c r="F26" s="347"/>
      <c r="G26" s="905" t="str">
        <f>CONCATENATE("Projected Carryover Into ",E1+1,"")</f>
        <v>Projected Carryover Into 1</v>
      </c>
      <c r="H26" s="898"/>
      <c r="I26" s="898"/>
      <c r="J26" s="899"/>
    </row>
    <row r="27" spans="2:10" ht="15.75">
      <c r="B27" s="374"/>
      <c r="C27" s="448"/>
      <c r="D27" s="387"/>
      <c r="E27" s="352"/>
      <c r="F27" s="347"/>
      <c r="G27" s="376"/>
      <c r="H27" s="492"/>
      <c r="I27" s="492"/>
      <c r="J27" s="596"/>
    </row>
    <row r="28" spans="2:10" ht="15.75">
      <c r="B28" s="374"/>
      <c r="C28" s="448"/>
      <c r="D28" s="387"/>
      <c r="E28" s="352"/>
      <c r="F28" s="347"/>
      <c r="G28" s="380">
        <f>D36</f>
        <v>0</v>
      </c>
      <c r="H28" s="382" t="str">
        <f>CONCATENATE("",E1-1," Ending Cash Balance (est.)")</f>
        <v>-1 Ending Cash Balance (est.)</v>
      </c>
      <c r="I28" s="377"/>
      <c r="J28" s="596"/>
    </row>
    <row r="29" spans="2:10" ht="15.75">
      <c r="B29" s="374"/>
      <c r="C29" s="448"/>
      <c r="D29" s="387"/>
      <c r="E29" s="352"/>
      <c r="F29" s="347"/>
      <c r="G29" s="380">
        <f>E23</f>
        <v>0</v>
      </c>
      <c r="H29" s="381" t="str">
        <f>CONCATENATE("",E1," Non-AV Receipts (est.)")</f>
        <v>0 Non-AV Receipts (est.)</v>
      </c>
      <c r="I29" s="492"/>
      <c r="J29" s="596"/>
    </row>
    <row r="30" spans="2:11" ht="15.75">
      <c r="B30" s="374"/>
      <c r="C30" s="448"/>
      <c r="D30" s="387"/>
      <c r="E30" s="352"/>
      <c r="F30" s="347"/>
      <c r="G30" s="379">
        <f>IF(E41&gt;0,E40,E42)</f>
        <v>0</v>
      </c>
      <c r="H30" s="381" t="str">
        <f>CONCATENATE("",E1," Ad Valorem Tax (est.)")</f>
        <v>0 Ad Valorem Tax (est.)</v>
      </c>
      <c r="I30" s="492"/>
      <c r="J30" s="596"/>
      <c r="K30" s="41">
        <f>IF(G30=E42,"","Note: Does not include Delinquent Taxes")</f>
      </c>
    </row>
    <row r="31" spans="2:10" ht="15.75">
      <c r="B31" s="374"/>
      <c r="C31" s="448"/>
      <c r="D31" s="387"/>
      <c r="E31" s="352"/>
      <c r="F31" s="347"/>
      <c r="G31" s="380">
        <f>SUM(G28:G30)</f>
        <v>0</v>
      </c>
      <c r="H31" s="381" t="str">
        <f>CONCATENATE("Total ",E1," Resources Available")</f>
        <v>Total 0 Resources Available</v>
      </c>
      <c r="I31" s="377"/>
      <c r="J31" s="596"/>
    </row>
    <row r="32" spans="2:10" ht="15.75">
      <c r="B32" s="372" t="str">
        <f>CONCATENATE("Cash Basis Reserve (",E1," column)")</f>
        <v>Cash Basis Reserve (0 column)</v>
      </c>
      <c r="C32" s="448"/>
      <c r="D32" s="387"/>
      <c r="E32" s="352"/>
      <c r="F32" s="347"/>
      <c r="G32" s="378"/>
      <c r="H32" s="381"/>
      <c r="I32" s="492"/>
      <c r="J32" s="596"/>
    </row>
    <row r="33" spans="2:10" ht="15.75">
      <c r="B33" s="372" t="s">
        <v>13</v>
      </c>
      <c r="C33" s="448"/>
      <c r="D33" s="387"/>
      <c r="E33" s="352"/>
      <c r="F33" s="347"/>
      <c r="G33" s="593" t="e">
        <f>SUM(G31-#REF!)</f>
        <v>#REF!</v>
      </c>
      <c r="H33" s="594" t="str">
        <f>CONCATENATE("Projected ",E1+1," carryover (est.)")</f>
        <v>Projected 1 carryover (est.)</v>
      </c>
      <c r="I33" s="595"/>
      <c r="J33" s="581"/>
    </row>
    <row r="34" spans="2:6" ht="15.75">
      <c r="B34" s="372" t="s">
        <v>736</v>
      </c>
      <c r="C34" s="226">
        <f>IF(C35*0.1&lt;C33,"Exceed 10% Rule","")</f>
      </c>
      <c r="D34" s="226">
        <f>IF(D35*0.1&lt;D33,"Exceed 10% Rule","")</f>
      </c>
      <c r="E34" s="262">
        <f>IF(E35*0.1&lt;E33,"Exceed 10% Rule","")</f>
      </c>
      <c r="F34" s="347"/>
    </row>
    <row r="35" spans="2:10" ht="15.75">
      <c r="B35" s="367" t="s">
        <v>117</v>
      </c>
      <c r="C35" s="384">
        <f>SUM(C26:C33)</f>
        <v>0</v>
      </c>
      <c r="D35" s="384">
        <f>SUM(D26:D33)</f>
        <v>0</v>
      </c>
      <c r="E35" s="371">
        <f>SUM(E26:E33)</f>
        <v>0</v>
      </c>
      <c r="F35" s="347"/>
      <c r="G35" s="900" t="s">
        <v>834</v>
      </c>
      <c r="H35" s="901"/>
      <c r="I35" s="901"/>
      <c r="J35" s="902"/>
    </row>
    <row r="36" spans="2:10" ht="15.75">
      <c r="B36" s="358" t="s">
        <v>211</v>
      </c>
      <c r="C36" s="389">
        <f>SUM(C24-C35)</f>
        <v>0</v>
      </c>
      <c r="D36" s="389">
        <f>SUM(D24-D35)</f>
        <v>0</v>
      </c>
      <c r="E36" s="373" t="s">
        <v>91</v>
      </c>
      <c r="F36" s="368"/>
      <c r="G36" s="582"/>
      <c r="H36" s="583"/>
      <c r="I36" s="584"/>
      <c r="J36" s="585"/>
    </row>
    <row r="37" spans="2:10" ht="15.75">
      <c r="B37" s="695" t="str">
        <f>CONCATENATE("",E1-2,"/",E1-1,"/",E1," Budget Authority Amount:")</f>
        <v>-2/-1/0 Budget Authority Amount:</v>
      </c>
      <c r="C37" s="694">
        <f>inputOth!B63</f>
        <v>0</v>
      </c>
      <c r="D37" s="693">
        <f>inputPrYr!D19</f>
        <v>0</v>
      </c>
      <c r="E37" s="359">
        <f>E35</f>
        <v>0</v>
      </c>
      <c r="F37" s="395">
        <f>IF(E35/0.95-E35&lt;E38,"Exceeds 5%","")</f>
      </c>
      <c r="G37" s="586" t="str">
        <f>summ!H16</f>
        <v>  </v>
      </c>
      <c r="H37" s="583" t="str">
        <f>CONCATENATE("",E1," Fund Mill Rate")</f>
        <v>0 Fund Mill Rate</v>
      </c>
      <c r="I37" s="584"/>
      <c r="J37" s="585"/>
    </row>
    <row r="38" spans="2:10" ht="15.75">
      <c r="B38" s="363"/>
      <c r="C38" s="892" t="s">
        <v>623</v>
      </c>
      <c r="D38" s="893"/>
      <c r="E38" s="54"/>
      <c r="F38" s="347"/>
      <c r="G38" s="587" t="str">
        <f>summ!E16</f>
        <v>  </v>
      </c>
      <c r="H38" s="583" t="str">
        <f>CONCATENATE("",E1-1," Fund Mill Rate")</f>
        <v>-1 Fund Mill Rate</v>
      </c>
      <c r="I38" s="584"/>
      <c r="J38" s="585"/>
    </row>
    <row r="39" spans="2:10" ht="15.75">
      <c r="B39" s="485" t="str">
        <f>CONCATENATE(C97,"     ",D97)</f>
        <v>     </v>
      </c>
      <c r="C39" s="894" t="s">
        <v>624</v>
      </c>
      <c r="D39" s="895"/>
      <c r="E39" s="359">
        <f>SUM(E35+E38)</f>
        <v>0</v>
      </c>
      <c r="F39" s="347"/>
      <c r="G39" s="588">
        <f>summ!H52</f>
        <v>0</v>
      </c>
      <c r="H39" s="583" t="str">
        <f>CONCATENATE("Total ",E1," Mill Rate")</f>
        <v>Total 0 Mill Rate</v>
      </c>
      <c r="I39" s="584"/>
      <c r="J39" s="585"/>
    </row>
    <row r="40" spans="2:10" ht="15.75">
      <c r="B40" s="485" t="str">
        <f>CONCATENATE(C98,"     ",D98)</f>
        <v>     </v>
      </c>
      <c r="C40" s="369"/>
      <c r="D40" s="364" t="s">
        <v>118</v>
      </c>
      <c r="E40" s="353">
        <f>IF(E39-E24&gt;0,E39-E24,0)</f>
        <v>0</v>
      </c>
      <c r="F40" s="347"/>
      <c r="G40" s="587">
        <f>summ!E52</f>
        <v>0</v>
      </c>
      <c r="H40" s="589" t="str">
        <f>CONCATENATE("Total ",E1-1," Mill Rate")</f>
        <v>Total -1 Mill Rate</v>
      </c>
      <c r="I40" s="590"/>
      <c r="J40" s="591"/>
    </row>
    <row r="41" spans="2:9" ht="15.75">
      <c r="B41" s="364"/>
      <c r="C41" s="346" t="s">
        <v>622</v>
      </c>
      <c r="D41" s="677">
        <f>inputOth!$E$49</f>
        <v>0</v>
      </c>
      <c r="E41" s="359">
        <f>ROUND(IF(D41&gt;0,(E40*D41),0),0)</f>
        <v>0</v>
      </c>
      <c r="F41" s="347"/>
      <c r="G41" s="347"/>
      <c r="H41" s="347"/>
      <c r="I41" s="347"/>
    </row>
    <row r="42" spans="2:10" ht="16.5" thickBot="1">
      <c r="B42" s="348"/>
      <c r="C42" s="903" t="str">
        <f>CONCATENATE("Amount of  ",E1-1," Ad Valorem Tax")</f>
        <v>Amount of  -1 Ad Valorem Tax</v>
      </c>
      <c r="D42" s="904"/>
      <c r="E42" s="597">
        <f>SUM(E40:E41)</f>
        <v>0</v>
      </c>
      <c r="F42" s="347"/>
      <c r="G42" s="808"/>
      <c r="H42" s="827"/>
      <c r="I42" s="807"/>
      <c r="J42" s="826"/>
    </row>
    <row r="43" spans="2:10" ht="16.5" thickTop="1">
      <c r="B43" s="348"/>
      <c r="C43" s="561"/>
      <c r="D43" s="354"/>
      <c r="E43" s="354"/>
      <c r="F43" s="347"/>
      <c r="G43" s="801" t="str">
        <f>CONCATENATE("Computed ",E1," tax levy limit amount")</f>
        <v>Computed 0 tax levy limit amount</v>
      </c>
      <c r="H43" s="800"/>
      <c r="I43" s="800"/>
      <c r="J43" s="803">
        <f>computation!J47</f>
        <v>0</v>
      </c>
    </row>
    <row r="44" spans="2:10" ht="15.75">
      <c r="B44" s="350"/>
      <c r="C44" s="350"/>
      <c r="D44" s="365"/>
      <c r="E44" s="365"/>
      <c r="F44" s="347"/>
      <c r="G44" s="799" t="str">
        <f>CONCATENATE("Total ",E1," tax levy amount")</f>
        <v>Total 0 tax levy amount</v>
      </c>
      <c r="H44" s="798"/>
      <c r="I44" s="798"/>
      <c r="J44" s="802">
        <f>summ!G52</f>
        <v>0</v>
      </c>
    </row>
    <row r="45" spans="2:6" ht="15.75">
      <c r="B45" s="350" t="s">
        <v>101</v>
      </c>
      <c r="C45" s="663" t="s">
        <v>892</v>
      </c>
      <c r="D45" s="664" t="s">
        <v>893</v>
      </c>
      <c r="E45" s="111" t="s">
        <v>894</v>
      </c>
      <c r="F45" s="347"/>
    </row>
    <row r="46" spans="2:6" ht="15.75">
      <c r="B46" s="391" t="str">
        <f>inputPrYr!B20</f>
        <v>Library</v>
      </c>
      <c r="C46" s="189" t="str">
        <f>CONCATENATE("Actual for ",E1-2,"")</f>
        <v>Actual for -2</v>
      </c>
      <c r="D46" s="189" t="str">
        <f>CONCATENATE("Estimate for ",E1-1,"")</f>
        <v>Estimate for -1</v>
      </c>
      <c r="E46" s="172" t="str">
        <f>CONCATENATE("Year for ",E1,"")</f>
        <v>Year for 0</v>
      </c>
      <c r="F46" s="347"/>
    </row>
    <row r="47" spans="2:6" ht="15.75">
      <c r="B47" s="358" t="s">
        <v>210</v>
      </c>
      <c r="C47" s="383"/>
      <c r="D47" s="385">
        <f>C78</f>
        <v>0</v>
      </c>
      <c r="E47" s="359">
        <f>D78</f>
        <v>0</v>
      </c>
      <c r="F47" s="347"/>
    </row>
    <row r="48" spans="2:6" ht="15.75">
      <c r="B48" s="366" t="s">
        <v>212</v>
      </c>
      <c r="C48" s="358"/>
      <c r="D48" s="385"/>
      <c r="E48" s="359"/>
      <c r="F48" s="347"/>
    </row>
    <row r="49" spans="2:6" ht="15.75">
      <c r="B49" s="358" t="s">
        <v>102</v>
      </c>
      <c r="C49" s="383"/>
      <c r="D49" s="385">
        <f>IF(inputPrYr!H17&gt;0,inputPrYr!G20,inputPrYr!E20)</f>
        <v>0</v>
      </c>
      <c r="E49" s="373" t="s">
        <v>91</v>
      </c>
      <c r="F49" s="347"/>
    </row>
    <row r="50" spans="2:6" ht="15.75">
      <c r="B50" s="358" t="s">
        <v>103</v>
      </c>
      <c r="C50" s="383"/>
      <c r="D50" s="387"/>
      <c r="E50" s="352"/>
      <c r="F50" s="347"/>
    </row>
    <row r="51" spans="2:6" ht="15.75">
      <c r="B51" s="358" t="s">
        <v>104</v>
      </c>
      <c r="C51" s="383"/>
      <c r="D51" s="387"/>
      <c r="E51" s="359" t="str">
        <f>mvalloc!D9</f>
        <v>  </v>
      </c>
      <c r="F51" s="347"/>
    </row>
    <row r="52" spans="2:5" ht="15.75">
      <c r="B52" s="358" t="s">
        <v>105</v>
      </c>
      <c r="C52" s="383"/>
      <c r="D52" s="387"/>
      <c r="E52" s="359" t="str">
        <f>mvalloc!E9</f>
        <v> </v>
      </c>
    </row>
    <row r="53" spans="2:5" ht="15.75">
      <c r="B53" s="361" t="s">
        <v>199</v>
      </c>
      <c r="C53" s="383"/>
      <c r="D53" s="387"/>
      <c r="E53" s="359" t="str">
        <f>mvalloc!F9</f>
        <v> </v>
      </c>
    </row>
    <row r="54" spans="2:5" ht="15.75">
      <c r="B54" s="793" t="s">
        <v>1020</v>
      </c>
      <c r="C54" s="383"/>
      <c r="D54" s="387"/>
      <c r="E54" s="359" t="str">
        <f>mvalloc!G9</f>
        <v> </v>
      </c>
    </row>
    <row r="55" spans="2:5" ht="15.75">
      <c r="B55" s="793" t="s">
        <v>1021</v>
      </c>
      <c r="C55" s="383"/>
      <c r="D55" s="387"/>
      <c r="E55" s="359" t="str">
        <f>mvalloc!H9</f>
        <v> </v>
      </c>
    </row>
    <row r="56" spans="2:5" ht="15.75">
      <c r="B56" s="352"/>
      <c r="C56" s="383"/>
      <c r="D56" s="387"/>
      <c r="E56" s="352"/>
    </row>
    <row r="57" spans="2:5" ht="15.75">
      <c r="B57" s="352"/>
      <c r="C57" s="383"/>
      <c r="D57" s="387"/>
      <c r="E57" s="352"/>
    </row>
    <row r="58" spans="2:5" ht="15.75">
      <c r="B58" s="352"/>
      <c r="C58" s="383"/>
      <c r="D58" s="387"/>
      <c r="E58" s="352"/>
    </row>
    <row r="59" spans="2:5" ht="15.75">
      <c r="B59" s="374"/>
      <c r="C59" s="383"/>
      <c r="D59" s="387"/>
      <c r="E59" s="352"/>
    </row>
    <row r="60" spans="2:10" ht="15.75">
      <c r="B60" s="374"/>
      <c r="C60" s="383"/>
      <c r="D60" s="387"/>
      <c r="E60" s="352"/>
      <c r="G60" s="906" t="str">
        <f>CONCATENATE("Desired Carryover Into ",E1+1,"")</f>
        <v>Desired Carryover Into 1</v>
      </c>
      <c r="H60" s="898"/>
      <c r="I60" s="898"/>
      <c r="J60" s="899"/>
    </row>
    <row r="61" spans="2:10" ht="15.75">
      <c r="B61" s="370" t="s">
        <v>109</v>
      </c>
      <c r="C61" s="383"/>
      <c r="D61" s="387"/>
      <c r="E61" s="352"/>
      <c r="G61" s="600"/>
      <c r="H61" s="601"/>
      <c r="I61" s="602"/>
      <c r="J61" s="603"/>
    </row>
    <row r="62" spans="2:10" ht="15.75">
      <c r="B62" s="361" t="s">
        <v>12</v>
      </c>
      <c r="C62" s="383"/>
      <c r="D62" s="387"/>
      <c r="E62" s="694">
        <f>nhood!E8*-1</f>
        <v>0</v>
      </c>
      <c r="G62" s="604" t="s">
        <v>722</v>
      </c>
      <c r="H62" s="602"/>
      <c r="I62" s="602"/>
      <c r="J62" s="605">
        <v>0</v>
      </c>
    </row>
    <row r="63" spans="2:10" ht="15.75">
      <c r="B63" s="358" t="s">
        <v>13</v>
      </c>
      <c r="C63" s="383"/>
      <c r="D63" s="221"/>
      <c r="E63" s="54"/>
      <c r="G63" s="600" t="s">
        <v>723</v>
      </c>
      <c r="H63" s="601"/>
      <c r="I63" s="601"/>
      <c r="J63" s="606">
        <f>IF(J62=0,"",ROUND((J62+E84-G75)/inputOth!E7*1000,3)-G80)</f>
      </c>
    </row>
    <row r="64" spans="2:10" ht="15.75">
      <c r="B64" s="358" t="s">
        <v>734</v>
      </c>
      <c r="C64" s="226">
        <f>IF(C65*0.1&lt;C63,"Exceed 10% Rule","")</f>
      </c>
      <c r="D64" s="226">
        <f>IF(D65*0.1&lt;D63,"Exceed 10% Rule","")</f>
      </c>
      <c r="E64" s="262">
        <f>IF(E65*0.1+E84&lt;E63,"Exceed 10% Rule","")</f>
      </c>
      <c r="G64" s="607" t="str">
        <f>CONCATENATE("",E1," Tot Exp/Non-Appr Must Be:")</f>
        <v>0 Tot Exp/Non-Appr Must Be:</v>
      </c>
      <c r="H64" s="608"/>
      <c r="I64" s="609"/>
      <c r="J64" s="610">
        <f>IF(J62&gt;0,IF(E81&lt;E66,IF(J62=G75,E81,((J62-G75)*(1-D83))+E66),E81+(J62-G75)),0)</f>
        <v>0</v>
      </c>
    </row>
    <row r="65" spans="2:10" ht="15.75">
      <c r="B65" s="367" t="s">
        <v>110</v>
      </c>
      <c r="C65" s="384">
        <f>SUM(C49:C63)</f>
        <v>0</v>
      </c>
      <c r="D65" s="384">
        <f>SUM(D49:D63)</f>
        <v>0</v>
      </c>
      <c r="E65" s="371">
        <f>SUM(E50:E63)</f>
        <v>0</v>
      </c>
      <c r="G65" s="611" t="s">
        <v>835</v>
      </c>
      <c r="H65" s="612"/>
      <c r="I65" s="612"/>
      <c r="J65" s="613">
        <f>IF(J62&gt;0,J64-E81,0)</f>
        <v>0</v>
      </c>
    </row>
    <row r="66" spans="2:10" ht="15.75">
      <c r="B66" s="367" t="s">
        <v>111</v>
      </c>
      <c r="C66" s="384">
        <f>SUM(C47+C65)</f>
        <v>0</v>
      </c>
      <c r="D66" s="384">
        <f>SUM(D47+D65)</f>
        <v>0</v>
      </c>
      <c r="E66" s="371">
        <f>SUM(E47+E65)</f>
        <v>0</v>
      </c>
      <c r="G66" s="2"/>
      <c r="H66" s="2"/>
      <c r="I66" s="2"/>
      <c r="J66" s="2"/>
    </row>
    <row r="67" spans="2:10" ht="15.75">
      <c r="B67" s="358" t="s">
        <v>113</v>
      </c>
      <c r="C67" s="358"/>
      <c r="D67" s="385"/>
      <c r="E67" s="359"/>
      <c r="F67" s="2"/>
      <c r="G67" s="906" t="str">
        <f>CONCATENATE("Projected Carryover Into ",E1+1,"")</f>
        <v>Projected Carryover Into 1</v>
      </c>
      <c r="H67" s="907"/>
      <c r="I67" s="907"/>
      <c r="J67" s="908"/>
    </row>
    <row r="68" spans="2:10" ht="15.75">
      <c r="B68" s="374"/>
      <c r="C68" s="383"/>
      <c r="D68" s="387"/>
      <c r="E68" s="352"/>
      <c r="F68" s="2"/>
      <c r="G68" s="614"/>
      <c r="H68" s="601"/>
      <c r="I68" s="601"/>
      <c r="J68" s="615"/>
    </row>
    <row r="69" spans="2:10" ht="15.75">
      <c r="B69" s="374"/>
      <c r="C69" s="383"/>
      <c r="D69" s="387"/>
      <c r="E69" s="352"/>
      <c r="F69" s="2"/>
      <c r="G69" s="616">
        <f>D78</f>
        <v>0</v>
      </c>
      <c r="H69" s="583" t="str">
        <f>CONCATENATE("",E1-1," Ending Cash Balance (est.)")</f>
        <v>-1 Ending Cash Balance (est.)</v>
      </c>
      <c r="I69" s="617"/>
      <c r="J69" s="615"/>
    </row>
    <row r="70" spans="2:10" ht="15.75">
      <c r="B70" s="374"/>
      <c r="C70" s="383"/>
      <c r="D70" s="387"/>
      <c r="E70" s="352"/>
      <c r="F70" s="2"/>
      <c r="G70" s="616">
        <f>E65</f>
        <v>0</v>
      </c>
      <c r="H70" s="602" t="str">
        <f>CONCATENATE("",E1," Non-AV Receipts (est.)")</f>
        <v>0 Non-AV Receipts (est.)</v>
      </c>
      <c r="I70" s="617"/>
      <c r="J70" s="615"/>
    </row>
    <row r="71" spans="2:11" ht="15.75">
      <c r="B71" s="374"/>
      <c r="C71" s="383"/>
      <c r="D71" s="387"/>
      <c r="E71" s="352"/>
      <c r="F71" s="2"/>
      <c r="G71" s="618">
        <f>IF(E83&gt;0,E82,E84)</f>
        <v>0</v>
      </c>
      <c r="H71" s="602" t="str">
        <f>CONCATENATE("",E1," Ad Valorem Tax (est.)")</f>
        <v>0 Ad Valorem Tax (est.)</v>
      </c>
      <c r="I71" s="617"/>
      <c r="J71" s="615"/>
      <c r="K71" s="592">
        <f>IF(G71=E84,"","Note: Does not include Delinquent Taxes")</f>
      </c>
    </row>
    <row r="72" spans="2:10" ht="15.75">
      <c r="B72" s="374"/>
      <c r="C72" s="383"/>
      <c r="D72" s="387"/>
      <c r="E72" s="352"/>
      <c r="F72" s="2"/>
      <c r="G72" s="620">
        <f>SUM(G69:G71)</f>
        <v>0</v>
      </c>
      <c r="H72" s="602" t="str">
        <f>CONCATENATE("Total ",E1," Resources Available")</f>
        <v>Total 0 Resources Available</v>
      </c>
      <c r="I72" s="621"/>
      <c r="J72" s="615"/>
    </row>
    <row r="73" spans="2:10" ht="15.75">
      <c r="B73" s="374"/>
      <c r="C73" s="383"/>
      <c r="D73" s="387"/>
      <c r="E73" s="352"/>
      <c r="F73"/>
      <c r="G73" s="622"/>
      <c r="H73" s="623"/>
      <c r="I73" s="601"/>
      <c r="J73" s="615"/>
    </row>
    <row r="74" spans="2:10" ht="15.75">
      <c r="B74" s="374"/>
      <c r="C74" s="383"/>
      <c r="D74" s="387"/>
      <c r="E74" s="352"/>
      <c r="F74"/>
      <c r="G74" s="624">
        <f>ROUND(C77*0.05+C77,0)</f>
        <v>0</v>
      </c>
      <c r="H74" s="623" t="str">
        <f>CONCATENATE("Less ",E1-2," Expenditures + 5%")</f>
        <v>Less -2 Expenditures + 5%</v>
      </c>
      <c r="I74" s="621"/>
      <c r="J74" s="615"/>
    </row>
    <row r="75" spans="2:10" ht="15.75">
      <c r="B75" s="361" t="s">
        <v>13</v>
      </c>
      <c r="C75" s="448"/>
      <c r="D75" s="387"/>
      <c r="E75" s="352"/>
      <c r="F75"/>
      <c r="G75" s="625">
        <f>G72-G74</f>
        <v>0</v>
      </c>
      <c r="H75" s="626" t="str">
        <f>CONCATENATE("Projected ",E1+1," carryover (est.)")</f>
        <v>Projected 1 carryover (est.)</v>
      </c>
      <c r="I75" s="627"/>
      <c r="J75" s="628"/>
    </row>
    <row r="76" spans="2:10" ht="15.75">
      <c r="B76" s="361" t="s">
        <v>735</v>
      </c>
      <c r="C76" s="226">
        <f>IF(C77*0.1&lt;C75,"Exceed 10% Rule","")</f>
      </c>
      <c r="D76" s="226">
        <f>IF(D77*0.1&lt;D75,"Exceed 10% Rule","")</f>
      </c>
      <c r="E76" s="262">
        <f>IF(E77*0.1&lt;E75,"Exceed 10% Rule","")</f>
      </c>
      <c r="F76"/>
      <c r="G76" s="2"/>
      <c r="H76" s="2"/>
      <c r="I76" s="2"/>
      <c r="J76" s="2"/>
    </row>
    <row r="77" spans="2:10" ht="15.75">
      <c r="B77" s="367" t="s">
        <v>117</v>
      </c>
      <c r="C77" s="384">
        <f>SUM(C68:C75)</f>
        <v>0</v>
      </c>
      <c r="D77" s="384">
        <f>SUM(D68:D75)</f>
        <v>0</v>
      </c>
      <c r="E77" s="371">
        <f>SUM(E68:E75)</f>
        <v>0</v>
      </c>
      <c r="F77"/>
      <c r="G77" s="900" t="s">
        <v>834</v>
      </c>
      <c r="H77" s="901"/>
      <c r="I77" s="901"/>
      <c r="J77" s="902"/>
    </row>
    <row r="78" spans="2:10" ht="15.75">
      <c r="B78" s="358" t="s">
        <v>211</v>
      </c>
      <c r="C78" s="389">
        <f>SUM(C66-C77)</f>
        <v>0</v>
      </c>
      <c r="D78" s="389">
        <f>SUM(D66-D77)</f>
        <v>0</v>
      </c>
      <c r="E78" s="373" t="s">
        <v>91</v>
      </c>
      <c r="F78" s="239"/>
      <c r="G78" s="582"/>
      <c r="H78" s="583"/>
      <c r="I78" s="584"/>
      <c r="J78" s="585"/>
    </row>
    <row r="79" spans="2:10" ht="15.75">
      <c r="B79" s="695" t="str">
        <f>CONCATENATE("",E1-2,"/",E1-1,"/",E1," Budget Authority Amount:")</f>
        <v>-2/-1/0 Budget Authority Amount:</v>
      </c>
      <c r="C79" s="694">
        <f>inputOth!B64</f>
        <v>0</v>
      </c>
      <c r="D79" s="694">
        <f>inputPrYr!D20</f>
        <v>0</v>
      </c>
      <c r="E79" s="359">
        <f>E77</f>
        <v>0</v>
      </c>
      <c r="F79" s="619">
        <f>IF(E77/0.95-E77&lt;E80,"Exceeds 5%","")</f>
      </c>
      <c r="G79" s="586" t="str">
        <f>summ!H17</f>
        <v>  </v>
      </c>
      <c r="H79" s="583" t="str">
        <f>CONCATENATE("",E1," Fund Mill Rate")</f>
        <v>0 Fund Mill Rate</v>
      </c>
      <c r="I79" s="584"/>
      <c r="J79" s="585"/>
    </row>
    <row r="80" spans="2:10" ht="15.75">
      <c r="B80" s="363"/>
      <c r="C80" s="892" t="s">
        <v>623</v>
      </c>
      <c r="D80" s="893"/>
      <c r="E80" s="54"/>
      <c r="F80"/>
      <c r="G80" s="587" t="str">
        <f>summ!E17</f>
        <v>  </v>
      </c>
      <c r="H80" s="583" t="str">
        <f>CONCATENATE("",E1-1," Fund Mill Rate")</f>
        <v>-1 Fund Mill Rate</v>
      </c>
      <c r="I80" s="584"/>
      <c r="J80" s="585"/>
    </row>
    <row r="81" spans="2:10" ht="15.75">
      <c r="B81" s="485" t="str">
        <f>CONCATENATE(C99,"     ",D99)</f>
        <v>     </v>
      </c>
      <c r="C81" s="894" t="s">
        <v>624</v>
      </c>
      <c r="D81" s="895"/>
      <c r="E81" s="359">
        <f>SUM(E77+E80)</f>
        <v>0</v>
      </c>
      <c r="F81"/>
      <c r="G81" s="588">
        <f>summ!H52</f>
        <v>0</v>
      </c>
      <c r="H81" s="583" t="str">
        <f>CONCATENATE("Total ",E1," Mill Rate")</f>
        <v>Total 0 Mill Rate</v>
      </c>
      <c r="I81" s="584"/>
      <c r="J81" s="585"/>
    </row>
    <row r="82" spans="2:10" ht="15.75">
      <c r="B82" s="485" t="str">
        <f>CONCATENATE(C100,"     ",D100)</f>
        <v>     </v>
      </c>
      <c r="C82" s="369"/>
      <c r="D82" s="364" t="s">
        <v>118</v>
      </c>
      <c r="E82" s="353">
        <f>IF(E81-E66&gt;0,E81-E66,0)</f>
        <v>0</v>
      </c>
      <c r="F82"/>
      <c r="G82" s="587">
        <f>summ!E52</f>
        <v>0</v>
      </c>
      <c r="H82" s="589" t="str">
        <f>CONCATENATE("Total ",E1-1," Mill Rate")</f>
        <v>Total -1 Mill Rate</v>
      </c>
      <c r="I82" s="590"/>
      <c r="J82" s="591"/>
    </row>
    <row r="83" spans="2:6" ht="15.75">
      <c r="B83" s="364"/>
      <c r="C83" s="346" t="s">
        <v>622</v>
      </c>
      <c r="D83" s="677">
        <f>inputOth!$E$49</f>
        <v>0</v>
      </c>
      <c r="E83" s="359">
        <f>ROUND(IF(D83&gt;0,(E82*D83),0),0)</f>
        <v>0</v>
      </c>
      <c r="F83" s="629" t="str">
        <f>IF('Library Grant'!F33="","",IF('Library Grant'!F33="Qualify","Qualifies for State Library Grant","See 'Library Grant' tab"))</f>
        <v>Qualifies for State Library Grant</v>
      </c>
    </row>
    <row r="84" spans="2:10" ht="16.5" thickBot="1">
      <c r="B84" s="348"/>
      <c r="C84" s="903" t="str">
        <f>CONCATENATE("Amount of  ",E1-1," Ad Valorem Tax")</f>
        <v>Amount of  -1 Ad Valorem Tax</v>
      </c>
      <c r="D84" s="904"/>
      <c r="E84" s="597">
        <f>SUM(E82:E83)</f>
        <v>0</v>
      </c>
      <c r="F84"/>
      <c r="G84" s="808"/>
      <c r="H84" s="827"/>
      <c r="I84" s="807"/>
      <c r="J84" s="826"/>
    </row>
    <row r="85" spans="2:10" ht="16.5" thickTop="1">
      <c r="B85" s="364" t="s">
        <v>120</v>
      </c>
      <c r="C85" s="742"/>
      <c r="D85" s="354"/>
      <c r="E85" s="348"/>
      <c r="F85" s="2"/>
      <c r="G85" s="806" t="str">
        <f>CONCATENATE("Computed ",E1," tax levy limit amount")</f>
        <v>Computed 0 tax levy limit amount</v>
      </c>
      <c r="H85" s="797"/>
      <c r="I85" s="797"/>
      <c r="J85" s="803">
        <f>computation!J47</f>
        <v>0</v>
      </c>
    </row>
    <row r="86" spans="6:10" ht="15.75">
      <c r="F86"/>
      <c r="G86" s="804" t="str">
        <f>CONCATENATE("Total ",E1," tax levy amount")</f>
        <v>Total 0 tax levy amount</v>
      </c>
      <c r="H86" s="579"/>
      <c r="I86" s="579"/>
      <c r="J86" s="802">
        <f>summ!G52</f>
        <v>0</v>
      </c>
    </row>
    <row r="87" spans="2:6" ht="15.75">
      <c r="B87" s="355"/>
      <c r="C87" s="355"/>
      <c r="D87" s="347"/>
      <c r="E87" s="347"/>
      <c r="F87" s="2"/>
    </row>
    <row r="88" ht="15.75">
      <c r="F88" s="2"/>
    </row>
    <row r="89" ht="15.75">
      <c r="F89" s="2"/>
    </row>
    <row r="92" spans="3:4" ht="15.75">
      <c r="C92" s="349" t="s">
        <v>626</v>
      </c>
      <c r="D92" s="349" t="s">
        <v>626</v>
      </c>
    </row>
    <row r="93" spans="3:4" ht="15.75">
      <c r="C93" s="349" t="s">
        <v>626</v>
      </c>
      <c r="D93" s="349" t="s">
        <v>626</v>
      </c>
    </row>
    <row r="95" spans="3:4" ht="1.5" customHeight="1">
      <c r="C95" s="349" t="s">
        <v>626</v>
      </c>
      <c r="D95" s="349" t="s">
        <v>626</v>
      </c>
    </row>
    <row r="96" spans="3:4" ht="15" customHeight="1" hidden="1">
      <c r="C96" s="349" t="s">
        <v>626</v>
      </c>
      <c r="D96" s="349" t="s">
        <v>626</v>
      </c>
    </row>
    <row r="97" spans="3:4" ht="15.75" customHeight="1" hidden="1">
      <c r="C97" s="484">
        <f>IF(C35&gt;C37,"See Tab A","")</f>
      </c>
      <c r="D97" s="484">
        <f>IF(D35&gt;D37,"See Tab C","")</f>
      </c>
    </row>
    <row r="98" spans="3:4" ht="1.5" customHeight="1" hidden="1">
      <c r="C98" s="484">
        <f>IF(C36&lt;0,"See Tab B","")</f>
      </c>
      <c r="D98" s="484">
        <f>IF(D36&lt;0,"See Tab D","")</f>
      </c>
    </row>
    <row r="99" spans="3:4" ht="43.5" customHeight="1" hidden="1">
      <c r="C99" s="484">
        <f>IF(C77&gt;C79,"See Tab A","")</f>
      </c>
      <c r="D99" s="484">
        <f>IF(D77&gt;D79,"See Tab C","")</f>
      </c>
    </row>
    <row r="100" spans="3:4" ht="24.75" customHeight="1">
      <c r="C100" s="484">
        <f>IF(C78&lt;0,"See Tab B","")</f>
      </c>
      <c r="D100" s="484">
        <f>IF(D78&lt;0,"See Tab D","")</f>
      </c>
    </row>
  </sheetData>
  <sheetProtection sheet="1"/>
  <mergeCells count="12">
    <mergeCell ref="G26:J26"/>
    <mergeCell ref="G19:J19"/>
    <mergeCell ref="G35:J35"/>
    <mergeCell ref="G60:J60"/>
    <mergeCell ref="G67:J67"/>
    <mergeCell ref="G77:J77"/>
    <mergeCell ref="C84:D84"/>
    <mergeCell ref="C80:D80"/>
    <mergeCell ref="C81:D81"/>
    <mergeCell ref="C38:D38"/>
    <mergeCell ref="C39:D39"/>
    <mergeCell ref="C42:D42"/>
  </mergeCells>
  <conditionalFormatting sqref="C63">
    <cfRule type="cellIs" priority="22" dxfId="1" operator="greaterThan" stopIfTrue="1">
      <formula>$C$65*0.1</formula>
    </cfRule>
  </conditionalFormatting>
  <conditionalFormatting sqref="D63 D21">
    <cfRule type="cellIs" priority="21" dxfId="0" operator="greaterThan" stopIfTrue="1">
      <formula>$D$23*0.1</formula>
    </cfRule>
  </conditionalFormatting>
  <conditionalFormatting sqref="E63">
    <cfRule type="cellIs" priority="20" dxfId="338" operator="greaterThan" stopIfTrue="1">
      <formula>$E$23*0.1+E84</formula>
    </cfRule>
  </conditionalFormatting>
  <conditionalFormatting sqref="C75">
    <cfRule type="cellIs" priority="19" dxfId="1" operator="greaterThan" stopIfTrue="1">
      <formula>$C$77*0.1</formula>
    </cfRule>
  </conditionalFormatting>
  <conditionalFormatting sqref="D75">
    <cfRule type="cellIs" priority="18" dxfId="1" operator="greaterThan" stopIfTrue="1">
      <formula>$D$77*0.1</formula>
    </cfRule>
  </conditionalFormatting>
  <conditionalFormatting sqref="E75">
    <cfRule type="cellIs" priority="17" dxfId="1" operator="greaterThan" stopIfTrue="1">
      <formula>$E$77*0.1</formula>
    </cfRule>
  </conditionalFormatting>
  <conditionalFormatting sqref="C33">
    <cfRule type="cellIs" priority="16" dxfId="1" operator="greaterThan" stopIfTrue="1">
      <formula>$C$35*0.1</formula>
    </cfRule>
  </conditionalFormatting>
  <conditionalFormatting sqref="D33">
    <cfRule type="cellIs" priority="15" dxfId="1" operator="greaterThan" stopIfTrue="1">
      <formula>$D$35*0.1</formula>
    </cfRule>
  </conditionalFormatting>
  <conditionalFormatting sqref="E33">
    <cfRule type="cellIs" priority="14" dxfId="1" operator="greaterThan" stopIfTrue="1">
      <formula>$E$35*0.1</formula>
    </cfRule>
  </conditionalFormatting>
  <conditionalFormatting sqref="C21">
    <cfRule type="cellIs" priority="12" dxfId="0" operator="greaterThan" stopIfTrue="1">
      <formula>$C$23*0.1</formula>
    </cfRule>
  </conditionalFormatting>
  <conditionalFormatting sqref="E21">
    <cfRule type="cellIs" priority="11" dxfId="338" operator="greaterThan" stopIfTrue="1">
      <formula>$E$23*0.1+E42</formula>
    </cfRule>
  </conditionalFormatting>
  <conditionalFormatting sqref="E38">
    <cfRule type="cellIs" priority="10" dxfId="338" operator="greaterThan" stopIfTrue="1">
      <formula>$E$35/0.95-$E$35</formula>
    </cfRule>
  </conditionalFormatting>
  <conditionalFormatting sqref="E80">
    <cfRule type="cellIs" priority="9" dxfId="338" operator="greaterThan" stopIfTrue="1">
      <formula>$E$77/0.95-$E$77</formula>
    </cfRule>
  </conditionalFormatting>
  <conditionalFormatting sqref="C35">
    <cfRule type="cellIs" priority="8" dxfId="1" operator="greaterThan" stopIfTrue="1">
      <formula>$C$37</formula>
    </cfRule>
  </conditionalFormatting>
  <conditionalFormatting sqref="D78">
    <cfRule type="cellIs" priority="7" dxfId="1" operator="lessThan" stopIfTrue="1">
      <formula>0</formula>
    </cfRule>
  </conditionalFormatting>
  <conditionalFormatting sqref="D35">
    <cfRule type="cellIs" priority="6" dxfId="1" operator="greaterThan" stopIfTrue="1">
      <formula>$D$37</formula>
    </cfRule>
  </conditionalFormatting>
  <conditionalFormatting sqref="C77">
    <cfRule type="cellIs" priority="4" dxfId="1" operator="greaterThan" stopIfTrue="1">
      <formula>$C$79</formula>
    </cfRule>
  </conditionalFormatting>
  <conditionalFormatting sqref="D77">
    <cfRule type="cellIs" priority="2" dxfId="1" operator="greaterThan" stopIfTrue="1">
      <formula>$D$79</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J91" sqref="J91"/>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61">
        <f>(inputPrYr!D3)</f>
        <v>0</v>
      </c>
      <c r="C1" s="43"/>
      <c r="D1" s="43"/>
      <c r="E1" s="212">
        <f>inputPrYr!C6</f>
        <v>0</v>
      </c>
    </row>
    <row r="2" spans="2:5" ht="15.75">
      <c r="B2" s="43"/>
      <c r="C2" s="43"/>
      <c r="D2" s="43"/>
      <c r="E2" s="135"/>
    </row>
    <row r="3" spans="2:5" ht="15.75">
      <c r="B3" s="213" t="s">
        <v>168</v>
      </c>
      <c r="C3" s="165"/>
      <c r="D3" s="165"/>
      <c r="E3" s="251"/>
    </row>
    <row r="4" spans="2:5" ht="15.75">
      <c r="B4" s="44" t="s">
        <v>101</v>
      </c>
      <c r="C4" s="663" t="s">
        <v>892</v>
      </c>
      <c r="D4" s="664" t="s">
        <v>893</v>
      </c>
      <c r="E4" s="111" t="s">
        <v>894</v>
      </c>
    </row>
    <row r="5" spans="2:5" ht="15.75">
      <c r="B5" s="489">
        <f>inputPrYr!B22</f>
        <v>0</v>
      </c>
      <c r="C5" s="189" t="str">
        <f>CONCATENATE("Actual for ",E1-2,"")</f>
        <v>Actual for -2</v>
      </c>
      <c r="D5" s="189" t="str">
        <f>CONCATENATE("Estimate for ",E1-1,"")</f>
        <v>Estimate for -1</v>
      </c>
      <c r="E5" s="172" t="str">
        <f>CONCATENATE("Year for ",E1,"")</f>
        <v>Year for 0</v>
      </c>
    </row>
    <row r="6" spans="2:5" ht="15.75">
      <c r="B6" s="216" t="s">
        <v>210</v>
      </c>
      <c r="C6" s="221"/>
      <c r="D6" s="219">
        <f>C36</f>
        <v>0</v>
      </c>
      <c r="E6" s="192">
        <f>D36</f>
        <v>0</v>
      </c>
    </row>
    <row r="7" spans="2:5" ht="15.75">
      <c r="B7" s="220" t="s">
        <v>212</v>
      </c>
      <c r="C7" s="126"/>
      <c r="D7" s="126"/>
      <c r="E7" s="69"/>
    </row>
    <row r="8" spans="2:5" ht="15.75">
      <c r="B8" s="117" t="s">
        <v>102</v>
      </c>
      <c r="C8" s="221"/>
      <c r="D8" s="219">
        <f>IF(inputPrYr!H17&gt;0,inputPrYr!G22,inputPrYr!E22)</f>
        <v>0</v>
      </c>
      <c r="E8" s="249" t="s">
        <v>91</v>
      </c>
    </row>
    <row r="9" spans="2:5" ht="15.75">
      <c r="B9" s="117" t="s">
        <v>103</v>
      </c>
      <c r="C9" s="221"/>
      <c r="D9" s="221"/>
      <c r="E9" s="54"/>
    </row>
    <row r="10" spans="2:5" ht="15.75">
      <c r="B10" s="117" t="s">
        <v>104</v>
      </c>
      <c r="C10" s="221"/>
      <c r="D10" s="221"/>
      <c r="E10" s="192" t="str">
        <f>mvalloc!D10</f>
        <v>  </v>
      </c>
    </row>
    <row r="11" spans="2:5" ht="15.75">
      <c r="B11" s="117" t="s">
        <v>105</v>
      </c>
      <c r="C11" s="221"/>
      <c r="D11" s="221"/>
      <c r="E11" s="192" t="str">
        <f>mvalloc!E10</f>
        <v> </v>
      </c>
    </row>
    <row r="12" spans="2:5" ht="15.75">
      <c r="B12" s="126" t="s">
        <v>199</v>
      </c>
      <c r="C12" s="221"/>
      <c r="D12" s="221"/>
      <c r="E12" s="192" t="str">
        <f>mvalloc!F10</f>
        <v> </v>
      </c>
    </row>
    <row r="13" spans="2:5" ht="15.75">
      <c r="B13" s="793" t="s">
        <v>1020</v>
      </c>
      <c r="C13" s="221"/>
      <c r="D13" s="221"/>
      <c r="E13" s="192" t="str">
        <f>mvalloc!G10</f>
        <v> </v>
      </c>
    </row>
    <row r="14" spans="2:5" ht="15.75">
      <c r="B14" s="793" t="s">
        <v>1021</v>
      </c>
      <c r="C14" s="221"/>
      <c r="D14" s="221"/>
      <c r="E14" s="192" t="str">
        <f>mvalloc!H10</f>
        <v> </v>
      </c>
    </row>
    <row r="15" spans="2:5" ht="15.75">
      <c r="B15" s="54"/>
      <c r="C15" s="221"/>
      <c r="D15" s="221"/>
      <c r="E15" s="54"/>
    </row>
    <row r="16" spans="2:5" ht="15.75">
      <c r="B16" s="54"/>
      <c r="C16" s="221"/>
      <c r="D16" s="221"/>
      <c r="E16" s="54"/>
    </row>
    <row r="17" spans="2:10" ht="15.75">
      <c r="B17" s="237"/>
      <c r="C17" s="221"/>
      <c r="D17" s="221"/>
      <c r="E17" s="54"/>
      <c r="G17" s="906" t="str">
        <f>CONCATENATE("Desired Carryover Into ",E1+1,"")</f>
        <v>Desired Carryover Into 1</v>
      </c>
      <c r="H17" s="898"/>
      <c r="I17" s="898"/>
      <c r="J17" s="899"/>
    </row>
    <row r="18" spans="2:10" ht="15.75">
      <c r="B18" s="237"/>
      <c r="C18" s="221"/>
      <c r="D18" s="221"/>
      <c r="E18" s="54"/>
      <c r="G18" s="600"/>
      <c r="H18" s="601"/>
      <c r="I18" s="602"/>
      <c r="J18" s="603"/>
    </row>
    <row r="19" spans="2:10" ht="15.75">
      <c r="B19" s="225" t="s">
        <v>109</v>
      </c>
      <c r="C19" s="221"/>
      <c r="D19" s="221"/>
      <c r="E19" s="54"/>
      <c r="G19" s="604" t="s">
        <v>722</v>
      </c>
      <c r="H19" s="602"/>
      <c r="I19" s="602"/>
      <c r="J19" s="605">
        <v>0</v>
      </c>
    </row>
    <row r="20" spans="2:10" ht="15.75">
      <c r="B20" s="238" t="s">
        <v>12</v>
      </c>
      <c r="C20" s="221"/>
      <c r="D20" s="221"/>
      <c r="E20" s="839">
        <f>nhood!E9*-1</f>
        <v>0</v>
      </c>
      <c r="G20" s="600" t="s">
        <v>723</v>
      </c>
      <c r="H20" s="601"/>
      <c r="I20" s="601"/>
      <c r="J20" s="606">
        <f>IF(J19=0,"",ROUND((J19+E42-G32)/inputOth!E7*1000,3)-G37)</f>
      </c>
    </row>
    <row r="21" spans="2:10" ht="15.75">
      <c r="B21" s="126" t="s">
        <v>13</v>
      </c>
      <c r="C21" s="221"/>
      <c r="D21" s="221"/>
      <c r="E21" s="54"/>
      <c r="G21" s="607" t="str">
        <f>CONCATENATE("",E1," Tot Exp/Non-Appr Must Be:")</f>
        <v>0 Tot Exp/Non-Appr Must Be:</v>
      </c>
      <c r="H21" s="608"/>
      <c r="I21" s="609"/>
      <c r="J21" s="610">
        <f>IF(J19&gt;0,IF(E39&lt;E24,IF(J19=G32,E39,((J19-G32)*(1-D41))+E24),E39+(J19-G32)),0)</f>
        <v>0</v>
      </c>
    </row>
    <row r="22" spans="2:10" ht="15.75">
      <c r="B22" s="216" t="s">
        <v>734</v>
      </c>
      <c r="C22" s="226">
        <f>IF(C23*0.1&lt;C21,"Exceed 10% Rule","")</f>
      </c>
      <c r="D22" s="226">
        <f>IF(D23*0.1&lt;D21,"Exceed 10% Rule","")</f>
      </c>
      <c r="E22" s="262">
        <f>IF(E23*0.1+E42&lt;E21,"Exceed 10% Rule","")</f>
      </c>
      <c r="G22" s="611" t="s">
        <v>835</v>
      </c>
      <c r="H22" s="612"/>
      <c r="I22" s="612"/>
      <c r="J22" s="613">
        <f>IF(J19&gt;0,J21-E39,0)</f>
        <v>0</v>
      </c>
    </row>
    <row r="23" spans="2:10" ht="15.75">
      <c r="B23" s="228" t="s">
        <v>110</v>
      </c>
      <c r="C23" s="230">
        <f>SUM(C8:C21)</f>
        <v>0</v>
      </c>
      <c r="D23" s="230">
        <f>SUM(D8:D21)</f>
        <v>0</v>
      </c>
      <c r="E23" s="231">
        <f>SUM(E8:E21)</f>
        <v>0</v>
      </c>
      <c r="J23" s="2"/>
    </row>
    <row r="24" spans="2:10" ht="15.75">
      <c r="B24" s="228" t="s">
        <v>111</v>
      </c>
      <c r="C24" s="234">
        <f>C6+C23</f>
        <v>0</v>
      </c>
      <c r="D24" s="234">
        <f>D6+D23</f>
        <v>0</v>
      </c>
      <c r="E24" s="67">
        <f>E6+E23</f>
        <v>0</v>
      </c>
      <c r="G24" s="906" t="str">
        <f>CONCATENATE("Projected Carryover Into ",E1+1,"")</f>
        <v>Projected Carryover Into 1</v>
      </c>
      <c r="H24" s="910"/>
      <c r="I24" s="910"/>
      <c r="J24" s="908"/>
    </row>
    <row r="25" spans="2:10" ht="15.75">
      <c r="B25" s="117" t="s">
        <v>113</v>
      </c>
      <c r="C25" s="238"/>
      <c r="D25" s="238"/>
      <c r="E25" s="53"/>
      <c r="G25" s="600"/>
      <c r="H25" s="602"/>
      <c r="I25" s="602"/>
      <c r="J25" s="615"/>
    </row>
    <row r="26" spans="2:10" ht="15.75">
      <c r="B26" s="237"/>
      <c r="C26" s="221"/>
      <c r="D26" s="221"/>
      <c r="E26" s="54"/>
      <c r="G26" s="616">
        <f>D36</f>
        <v>0</v>
      </c>
      <c r="H26" s="583" t="str">
        <f>CONCATENATE("",E1-1," Ending Cash Balance (est.)")</f>
        <v>-1 Ending Cash Balance (est.)</v>
      </c>
      <c r="I26" s="617"/>
      <c r="J26" s="615"/>
    </row>
    <row r="27" spans="2:10" ht="15.75">
      <c r="B27" s="237"/>
      <c r="C27" s="221"/>
      <c r="D27" s="221"/>
      <c r="E27" s="54"/>
      <c r="G27" s="616">
        <f>E23</f>
        <v>0</v>
      </c>
      <c r="H27" s="602" t="str">
        <f>CONCATENATE("",E1," Non-AV Receipts (est.)")</f>
        <v>0 Non-AV Receipts (est.)</v>
      </c>
      <c r="I27" s="617"/>
      <c r="J27" s="615"/>
    </row>
    <row r="28" spans="2:11" ht="15.75">
      <c r="B28" s="237"/>
      <c r="C28" s="221"/>
      <c r="D28" s="221"/>
      <c r="E28" s="54"/>
      <c r="G28" s="618">
        <f>IF(E41&gt;0,E40,E42)</f>
        <v>0</v>
      </c>
      <c r="H28" s="602" t="str">
        <f>CONCATENATE("",E1," Ad Valorem Tax (est.)")</f>
        <v>0 Ad Valorem Tax (est.)</v>
      </c>
      <c r="I28" s="617"/>
      <c r="J28" s="596"/>
      <c r="K28" s="592">
        <f>IF(G28=E42,"","Note: Does not include Delinquent Taxes")</f>
      </c>
    </row>
    <row r="29" spans="2:10" ht="15.75">
      <c r="B29" s="237"/>
      <c r="C29" s="221"/>
      <c r="D29" s="221"/>
      <c r="E29" s="54"/>
      <c r="G29" s="616">
        <f>SUM(G26:G28)</f>
        <v>0</v>
      </c>
      <c r="H29" s="602" t="str">
        <f>CONCATENATE("Total ",E1," Resources Available")</f>
        <v>Total 0 Resources Available</v>
      </c>
      <c r="I29" s="617"/>
      <c r="J29" s="615"/>
    </row>
    <row r="30" spans="2:10" ht="15.75">
      <c r="B30" s="237"/>
      <c r="C30" s="221"/>
      <c r="D30" s="221"/>
      <c r="E30" s="54"/>
      <c r="G30" s="653"/>
      <c r="H30" s="602"/>
      <c r="I30" s="602"/>
      <c r="J30" s="615"/>
    </row>
    <row r="31" spans="2:10" ht="15.75">
      <c r="B31" s="237"/>
      <c r="C31" s="221"/>
      <c r="D31" s="221"/>
      <c r="E31" s="54"/>
      <c r="G31" s="618">
        <f>ROUND(C35*0.05+C35,0)</f>
        <v>0</v>
      </c>
      <c r="H31" s="602" t="str">
        <f>CONCATENATE("Less ",E1-2," Expenditures + 5%")</f>
        <v>Less -2 Expenditures + 5%</v>
      </c>
      <c r="I31" s="617"/>
      <c r="J31" s="615"/>
    </row>
    <row r="32" spans="2:10" ht="15.75">
      <c r="B32" s="238" t="str">
        <f>CONCATENATE("Cash Forward (",E1," column)")</f>
        <v>Cash Forward (0 column)</v>
      </c>
      <c r="C32" s="221"/>
      <c r="D32" s="221"/>
      <c r="E32" s="54"/>
      <c r="G32" s="654">
        <f>G29-G31</f>
        <v>0</v>
      </c>
      <c r="H32" s="655" t="str">
        <f>CONCATENATE("Projected ",E1+1," carryover (est.)")</f>
        <v>Projected 1 carryover (est.)</v>
      </c>
      <c r="I32" s="656"/>
      <c r="J32" s="628"/>
    </row>
    <row r="33" spans="2:10" ht="15.75">
      <c r="B33" s="238" t="s">
        <v>13</v>
      </c>
      <c r="C33" s="221"/>
      <c r="D33" s="221"/>
      <c r="E33" s="54"/>
      <c r="G33" s="2"/>
      <c r="H33" s="2"/>
      <c r="I33" s="2"/>
      <c r="J33" s="2"/>
    </row>
    <row r="34" spans="2:10" ht="15.75">
      <c r="B34" s="238" t="s">
        <v>735</v>
      </c>
      <c r="C34" s="226">
        <f>IF(C35*0.1&lt;C33,"Exceed 10% Rule","")</f>
      </c>
      <c r="D34" s="226">
        <f>IF(D35*0.1&lt;D33,"Exceed 10% Rule","")</f>
      </c>
      <c r="E34" s="262">
        <f>IF(E35*0.1&lt;E33,"Exceed 10% Rule","")</f>
      </c>
      <c r="G34" s="900" t="s">
        <v>834</v>
      </c>
      <c r="H34" s="901"/>
      <c r="I34" s="901"/>
      <c r="J34" s="902"/>
    </row>
    <row r="35" spans="2:10" ht="15.75">
      <c r="B35" s="228" t="s">
        <v>117</v>
      </c>
      <c r="C35" s="230">
        <f>SUM(C26:C33)</f>
        <v>0</v>
      </c>
      <c r="D35" s="230">
        <f>SUM(D26:D33)</f>
        <v>0</v>
      </c>
      <c r="E35" s="231">
        <f>SUM(E26:E33)</f>
        <v>0</v>
      </c>
      <c r="G35" s="582"/>
      <c r="H35" s="583"/>
      <c r="I35" s="584"/>
      <c r="J35" s="585"/>
    </row>
    <row r="36" spans="2:10" ht="15.75">
      <c r="B36" s="117" t="s">
        <v>211</v>
      </c>
      <c r="C36" s="234">
        <f>C24-C35</f>
        <v>0</v>
      </c>
      <c r="D36" s="234">
        <f>D24-D35</f>
        <v>0</v>
      </c>
      <c r="E36" s="249" t="s">
        <v>91</v>
      </c>
      <c r="G36" s="586" t="str">
        <f>summ!H18</f>
        <v>  </v>
      </c>
      <c r="H36" s="583" t="str">
        <f>CONCATENATE("",E1," Fund Mill Rate")</f>
        <v>0 Fund Mill Rate</v>
      </c>
      <c r="I36" s="584"/>
      <c r="J36" s="585"/>
    </row>
    <row r="37" spans="2:10" ht="15.75">
      <c r="B37" s="137" t="str">
        <f>CONCATENATE("",E1-2,"/",E1-1,"/",E1," Budget Authority Amount:")</f>
        <v>-2/-1/0 Budget Authority Amount:</v>
      </c>
      <c r="C37" s="669">
        <f>inputOth!B65</f>
        <v>0</v>
      </c>
      <c r="D37" s="669">
        <f>inputPrYr!D22</f>
        <v>0</v>
      </c>
      <c r="E37" s="192">
        <f>E35</f>
        <v>0</v>
      </c>
      <c r="F37" s="239"/>
      <c r="G37" s="587" t="str">
        <f>summ!E18</f>
        <v>  </v>
      </c>
      <c r="H37" s="583" t="str">
        <f>CONCATENATE("",E1-1," Fund Mill Rate")</f>
        <v>-1 Fund Mill Rate</v>
      </c>
      <c r="I37" s="584"/>
      <c r="J37" s="585"/>
    </row>
    <row r="38" spans="2:10" ht="15.75">
      <c r="B38" s="103"/>
      <c r="C38" s="892" t="s">
        <v>623</v>
      </c>
      <c r="D38" s="893"/>
      <c r="E38" s="54"/>
      <c r="F38" s="687">
        <f>IF(E35/0.95-E35&lt;E38,"Exceeds 5%","")</f>
      </c>
      <c r="G38" s="588">
        <f>summ!H52</f>
        <v>0</v>
      </c>
      <c r="H38" s="583" t="str">
        <f>CONCATENATE("Total ",E1," Mill Rate")</f>
        <v>Total 0 Mill Rate</v>
      </c>
      <c r="I38" s="584"/>
      <c r="J38" s="585"/>
    </row>
    <row r="39" spans="2:10" ht="15.75">
      <c r="B39" s="485" t="str">
        <f>CONCATENATE(C98,"     ",D98)</f>
        <v>     </v>
      </c>
      <c r="C39" s="894" t="s">
        <v>624</v>
      </c>
      <c r="D39" s="895"/>
      <c r="E39" s="192">
        <f>E35+E38</f>
        <v>0</v>
      </c>
      <c r="G39" s="587">
        <f>summ!E52</f>
        <v>0</v>
      </c>
      <c r="H39" s="589" t="str">
        <f>CONCATENATE("Total ",E1-1," Mill Rate")</f>
        <v>Total -1 Mill Rate</v>
      </c>
      <c r="I39" s="590"/>
      <c r="J39" s="591"/>
    </row>
    <row r="40" spans="2:5" ht="15.75">
      <c r="B40" s="485" t="str">
        <f>CONCATENATE(C99,"     ",D99)</f>
        <v>     </v>
      </c>
      <c r="C40" s="240"/>
      <c r="D40" s="135" t="s">
        <v>118</v>
      </c>
      <c r="E40" s="67">
        <f>IF(E39-E24&gt;0,E39-E24,0)</f>
        <v>0</v>
      </c>
    </row>
    <row r="41" spans="2:10" ht="15.75">
      <c r="B41" s="135"/>
      <c r="C41" s="346" t="s">
        <v>622</v>
      </c>
      <c r="D41" s="677">
        <f>inputOth!$E$49</f>
        <v>0</v>
      </c>
      <c r="E41" s="192">
        <f>ROUND(IF(D41&gt;0,(E40*D41),0),0)</f>
        <v>0</v>
      </c>
      <c r="G41" s="808"/>
      <c r="H41" s="827"/>
      <c r="I41" s="807"/>
      <c r="J41" s="826"/>
    </row>
    <row r="42" spans="2:10" ht="16.5" thickBot="1">
      <c r="B42" s="135"/>
      <c r="C42" s="896" t="str">
        <f>CONCATENATE("Amount of  ",$E$1-1," Ad Valorem Tax")</f>
        <v>Amount of  -1 Ad Valorem Tax</v>
      </c>
      <c r="D42" s="897"/>
      <c r="E42" s="599">
        <f>E40+E41</f>
        <v>0</v>
      </c>
      <c r="G42" s="806" t="str">
        <f>CONCATENATE("Computed ",E1," tax levy limit amount")</f>
        <v>Computed 0 tax levy limit amount</v>
      </c>
      <c r="H42" s="805"/>
      <c r="I42" s="805"/>
      <c r="J42" s="803">
        <f>computation!J47</f>
        <v>0</v>
      </c>
    </row>
    <row r="43" spans="2:10" ht="16.5" thickTop="1">
      <c r="B43" s="43"/>
      <c r="C43" s="896"/>
      <c r="D43" s="909"/>
      <c r="E43" s="63"/>
      <c r="G43" s="804" t="str">
        <f>CONCATENATE("Total ",E1," tax levy amount")</f>
        <v>Total 0 tax levy amount</v>
      </c>
      <c r="H43" s="580"/>
      <c r="I43" s="580"/>
      <c r="J43" s="802">
        <f>summ!G52</f>
        <v>0</v>
      </c>
    </row>
    <row r="44" spans="2:5" ht="15.75">
      <c r="B44" s="44"/>
      <c r="C44" s="252"/>
      <c r="D44" s="252"/>
      <c r="E44" s="252"/>
    </row>
    <row r="45" spans="2:5" ht="15.75">
      <c r="B45" s="44" t="s">
        <v>101</v>
      </c>
      <c r="C45" s="663" t="s">
        <v>892</v>
      </c>
      <c r="D45" s="664" t="s">
        <v>893</v>
      </c>
      <c r="E45" s="111" t="s">
        <v>894</v>
      </c>
    </row>
    <row r="46" spans="2:5" ht="15.75">
      <c r="B46" s="489">
        <f>(inputPrYr!B23)</f>
        <v>0</v>
      </c>
      <c r="C46" s="189" t="str">
        <f>CONCATENATE("Actual for ",E1-2,"")</f>
        <v>Actual for -2</v>
      </c>
      <c r="D46" s="189" t="str">
        <f>CONCATENATE("Estimate for ",E1-1,"")</f>
        <v>Estimate for -1</v>
      </c>
      <c r="E46" s="172" t="str">
        <f>CONCATENATE("Year for ",E1,"")</f>
        <v>Year for 0</v>
      </c>
    </row>
    <row r="47" spans="2:5" ht="15.75">
      <c r="B47" s="216" t="s">
        <v>210</v>
      </c>
      <c r="C47" s="221"/>
      <c r="D47" s="219">
        <f>C78</f>
        <v>0</v>
      </c>
      <c r="E47" s="192">
        <f>D78</f>
        <v>0</v>
      </c>
    </row>
    <row r="48" spans="2:5" ht="15.75">
      <c r="B48" s="220" t="s">
        <v>212</v>
      </c>
      <c r="C48" s="126"/>
      <c r="D48" s="126"/>
      <c r="E48" s="69"/>
    </row>
    <row r="49" spans="2:5" ht="15.75">
      <c r="B49" s="117" t="s">
        <v>102</v>
      </c>
      <c r="C49" s="221"/>
      <c r="D49" s="219">
        <f>IF(inputPrYr!H17&gt;0,inputPrYr!G23,inputPrYr!E23)</f>
        <v>0</v>
      </c>
      <c r="E49" s="249" t="s">
        <v>91</v>
      </c>
    </row>
    <row r="50" spans="2:5" ht="15.75">
      <c r="B50" s="117" t="s">
        <v>103</v>
      </c>
      <c r="C50" s="221"/>
      <c r="D50" s="221"/>
      <c r="E50" s="54"/>
    </row>
    <row r="51" spans="2:5" ht="15.75">
      <c r="B51" s="117" t="s">
        <v>104</v>
      </c>
      <c r="C51" s="221"/>
      <c r="D51" s="221"/>
      <c r="E51" s="192" t="str">
        <f>mvalloc!D11</f>
        <v>  </v>
      </c>
    </row>
    <row r="52" spans="2:5" ht="15.75">
      <c r="B52" s="117" t="s">
        <v>105</v>
      </c>
      <c r="C52" s="221"/>
      <c r="D52" s="221"/>
      <c r="E52" s="192" t="str">
        <f>mvalloc!E11</f>
        <v> </v>
      </c>
    </row>
    <row r="53" spans="2:5" ht="15.75">
      <c r="B53" s="126" t="s">
        <v>199</v>
      </c>
      <c r="C53" s="221"/>
      <c r="D53" s="221"/>
      <c r="E53" s="192" t="str">
        <f>mvalloc!F11</f>
        <v> </v>
      </c>
    </row>
    <row r="54" spans="2:5" ht="15.75">
      <c r="B54" s="793" t="s">
        <v>1020</v>
      </c>
      <c r="C54" s="221"/>
      <c r="D54" s="221"/>
      <c r="E54" s="192" t="str">
        <f>mvalloc!G11</f>
        <v> </v>
      </c>
    </row>
    <row r="55" spans="2:5" ht="15.75">
      <c r="B55" s="793" t="s">
        <v>1021</v>
      </c>
      <c r="C55" s="221"/>
      <c r="D55" s="221"/>
      <c r="E55" s="192" t="str">
        <f>mvalloc!H11</f>
        <v> </v>
      </c>
    </row>
    <row r="56" spans="2:5" ht="15.75">
      <c r="B56" s="237"/>
      <c r="C56" s="221"/>
      <c r="D56" s="221"/>
      <c r="E56" s="54"/>
    </row>
    <row r="57" spans="2:5" ht="15.75">
      <c r="B57" s="237"/>
      <c r="C57" s="221"/>
      <c r="D57" s="221"/>
      <c r="E57" s="54"/>
    </row>
    <row r="58" spans="2:5" ht="15.75">
      <c r="B58" s="237"/>
      <c r="C58" s="221"/>
      <c r="D58" s="221"/>
      <c r="E58" s="54"/>
    </row>
    <row r="59" spans="2:10" ht="15.75">
      <c r="B59" s="237"/>
      <c r="C59" s="221"/>
      <c r="D59" s="221"/>
      <c r="E59" s="54"/>
      <c r="G59" s="906" t="str">
        <f>CONCATENATE("Desired Carryover Into ",E1+1,"")</f>
        <v>Desired Carryover Into 1</v>
      </c>
      <c r="H59" s="898"/>
      <c r="I59" s="898"/>
      <c r="J59" s="899"/>
    </row>
    <row r="60" spans="2:10" ht="15.75">
      <c r="B60" s="237"/>
      <c r="C60" s="221"/>
      <c r="D60" s="221"/>
      <c r="E60" s="54"/>
      <c r="G60" s="600"/>
      <c r="H60" s="601"/>
      <c r="I60" s="602"/>
      <c r="J60" s="603"/>
    </row>
    <row r="61" spans="2:10" ht="15.75">
      <c r="B61" s="225" t="s">
        <v>109</v>
      </c>
      <c r="C61" s="221"/>
      <c r="D61" s="221"/>
      <c r="E61" s="54"/>
      <c r="G61" s="604" t="s">
        <v>722</v>
      </c>
      <c r="H61" s="602"/>
      <c r="I61" s="602"/>
      <c r="J61" s="605">
        <v>0</v>
      </c>
    </row>
    <row r="62" spans="2:10" ht="15.75">
      <c r="B62" s="238" t="s">
        <v>12</v>
      </c>
      <c r="C62" s="221"/>
      <c r="D62" s="221"/>
      <c r="E62" s="839">
        <f>nhood!E10*-1</f>
        <v>0</v>
      </c>
      <c r="G62" s="600" t="s">
        <v>723</v>
      </c>
      <c r="H62" s="601"/>
      <c r="I62" s="601"/>
      <c r="J62" s="606">
        <f>IF(J61=0,"",ROUND((J61+E84-G74)/inputOth!E7*1000,3)-G79)</f>
      </c>
    </row>
    <row r="63" spans="2:10" ht="15.75">
      <c r="B63" s="126" t="s">
        <v>13</v>
      </c>
      <c r="C63" s="221"/>
      <c r="D63" s="221"/>
      <c r="E63" s="54"/>
      <c r="G63" s="607" t="str">
        <f>CONCATENATE("",E1," Tot Exp/Non-Appr Must Be:")</f>
        <v>0 Tot Exp/Non-Appr Must Be:</v>
      </c>
      <c r="H63" s="608"/>
      <c r="I63" s="609"/>
      <c r="J63" s="610">
        <f>IF(J61&gt;0,IF(E81&lt;E66,IF(J61=G74,E81,((J61-G74)*(1-D83))+E66),E81+(J61-G74)),0)</f>
        <v>0</v>
      </c>
    </row>
    <row r="64" spans="2:10" ht="15.75">
      <c r="B64" s="216" t="s">
        <v>734</v>
      </c>
      <c r="C64" s="226">
        <f>IF(C65*0.1&lt;C63,"Exceed 10% Rule","")</f>
      </c>
      <c r="D64" s="226">
        <f>IF(D65*0.1&lt;D63,"Exceed 10% Rule","")</f>
      </c>
      <c r="E64" s="262">
        <f>IF(E65*0.1+E84&lt;E63,"Exceed 10% Rule","")</f>
      </c>
      <c r="G64" s="611" t="s">
        <v>835</v>
      </c>
      <c r="H64" s="612"/>
      <c r="I64" s="612"/>
      <c r="J64" s="613">
        <f>IF(J61&gt;0,J63-E81,0)</f>
        <v>0</v>
      </c>
    </row>
    <row r="65" spans="2:10" ht="15.75">
      <c r="B65" s="228" t="s">
        <v>110</v>
      </c>
      <c r="C65" s="230">
        <f>SUM(C49:C63)</f>
        <v>0</v>
      </c>
      <c r="D65" s="230">
        <f>SUM(D49:D63)</f>
        <v>0</v>
      </c>
      <c r="E65" s="231">
        <f>SUM(E49:E63)</f>
        <v>0</v>
      </c>
      <c r="J65" s="2"/>
    </row>
    <row r="66" spans="2:10" ht="15.75">
      <c r="B66" s="228" t="s">
        <v>111</v>
      </c>
      <c r="C66" s="230">
        <f>C47+C65</f>
        <v>0</v>
      </c>
      <c r="D66" s="230">
        <f>D47+D65</f>
        <v>0</v>
      </c>
      <c r="E66" s="231">
        <f>E47+E65</f>
        <v>0</v>
      </c>
      <c r="G66" s="906" t="str">
        <f>CONCATENATE("Projected Carryover Into ",E1+1,"")</f>
        <v>Projected Carryover Into 1</v>
      </c>
      <c r="H66" s="907"/>
      <c r="I66" s="907"/>
      <c r="J66" s="908"/>
    </row>
    <row r="67" spans="2:10" ht="15.75">
      <c r="B67" s="117" t="s">
        <v>113</v>
      </c>
      <c r="C67" s="238"/>
      <c r="D67" s="238"/>
      <c r="E67" s="53"/>
      <c r="G67" s="614"/>
      <c r="H67" s="601"/>
      <c r="I67" s="601"/>
      <c r="J67" s="621"/>
    </row>
    <row r="68" spans="2:10" ht="15.75">
      <c r="B68" s="237"/>
      <c r="C68" s="221"/>
      <c r="D68" s="221"/>
      <c r="E68" s="54"/>
      <c r="G68" s="616">
        <f>D78</f>
        <v>0</v>
      </c>
      <c r="H68" s="583" t="str">
        <f>CONCATENATE("",E1-1," Ending Cash Balance (est.)")</f>
        <v>-1 Ending Cash Balance (est.)</v>
      </c>
      <c r="I68" s="617"/>
      <c r="J68" s="621"/>
    </row>
    <row r="69" spans="2:10" ht="15.75">
      <c r="B69" s="237"/>
      <c r="C69" s="221"/>
      <c r="D69" s="221"/>
      <c r="E69" s="54"/>
      <c r="G69" s="616">
        <f>E65</f>
        <v>0</v>
      </c>
      <c r="H69" s="602" t="str">
        <f>CONCATENATE("",E1," Non-AV Receipts (est.)")</f>
        <v>0 Non-AV Receipts (est.)</v>
      </c>
      <c r="I69" s="617"/>
      <c r="J69" s="621"/>
    </row>
    <row r="70" spans="2:11" ht="15.75">
      <c r="B70" s="237"/>
      <c r="C70" s="221"/>
      <c r="D70" s="221"/>
      <c r="E70" s="54"/>
      <c r="G70" s="618">
        <f>IF(D83&gt;0,E82,E84)</f>
        <v>0</v>
      </c>
      <c r="H70" s="602" t="str">
        <f>CONCATENATE("",E1," Ad Valorem Tax (est.)")</f>
        <v>0 Ad Valorem Tax (est.)</v>
      </c>
      <c r="I70" s="617"/>
      <c r="J70" s="621"/>
      <c r="K70" s="592">
        <f>IF(G70=E84,"","Note: Does not include Delinquent Taxes")</f>
      </c>
    </row>
    <row r="71" spans="2:10" ht="15.75">
      <c r="B71" s="237"/>
      <c r="C71" s="221"/>
      <c r="D71" s="221"/>
      <c r="E71" s="54"/>
      <c r="G71" s="620">
        <f>SUM(G68:G70)</f>
        <v>0</v>
      </c>
      <c r="H71" s="602" t="str">
        <f>CONCATENATE("Total ",E1," Resources Available")</f>
        <v>Total 0 Resources Available</v>
      </c>
      <c r="I71" s="621"/>
      <c r="J71" s="621"/>
    </row>
    <row r="72" spans="2:10" ht="15.75">
      <c r="B72" s="237"/>
      <c r="C72" s="221"/>
      <c r="D72" s="221"/>
      <c r="E72" s="54"/>
      <c r="G72" s="622"/>
      <c r="H72" s="623"/>
      <c r="I72" s="601"/>
      <c r="J72" s="621"/>
    </row>
    <row r="73" spans="2:10" ht="15.75">
      <c r="B73" s="237"/>
      <c r="C73" s="221"/>
      <c r="D73" s="221"/>
      <c r="E73" s="54"/>
      <c r="G73" s="624">
        <f>ROUND(C77*0.05+C77,0)</f>
        <v>0</v>
      </c>
      <c r="H73" s="623" t="str">
        <f>CONCATENATE("Less ",E1-2," Expenditures + 5%")</f>
        <v>Less -2 Expenditures + 5%</v>
      </c>
      <c r="I73" s="621"/>
      <c r="J73" s="621"/>
    </row>
    <row r="74" spans="2:10" ht="15.75">
      <c r="B74" s="238" t="str">
        <f>CONCATENATE("Cash Forward (",E1," column)")</f>
        <v>Cash Forward (0 column)</v>
      </c>
      <c r="C74" s="221"/>
      <c r="D74" s="221"/>
      <c r="E74" s="54"/>
      <c r="G74" s="625">
        <f>G71-G73</f>
        <v>0</v>
      </c>
      <c r="H74" s="626" t="str">
        <f>CONCATENATE("Projected ",E1+1," carryover (est.)")</f>
        <v>Projected 1 carryover (est.)</v>
      </c>
      <c r="I74" s="627"/>
      <c r="J74" s="628"/>
    </row>
    <row r="75" spans="2:9" ht="15.75">
      <c r="B75" s="238" t="s">
        <v>13</v>
      </c>
      <c r="C75" s="221"/>
      <c r="D75" s="221"/>
      <c r="E75" s="54"/>
      <c r="G75" s="2"/>
      <c r="H75" s="2"/>
      <c r="I75" s="2"/>
    </row>
    <row r="76" spans="2:10" ht="15.75">
      <c r="B76" s="238" t="s">
        <v>735</v>
      </c>
      <c r="C76" s="226">
        <f>IF(C77*0.1&lt;C75,"Exceed 10% Rule","")</f>
      </c>
      <c r="D76" s="226">
        <f>IF(D77*0.1&lt;D75,"Exceed 10% Rule","")</f>
      </c>
      <c r="E76" s="262">
        <f>IF(E77*0.1&lt;E75,"Exceed 10% Rule","")</f>
      </c>
      <c r="G76" s="900" t="s">
        <v>834</v>
      </c>
      <c r="H76" s="901"/>
      <c r="I76" s="901"/>
      <c r="J76" s="902"/>
    </row>
    <row r="77" spans="2:10" ht="15.75">
      <c r="B77" s="228" t="s">
        <v>117</v>
      </c>
      <c r="C77" s="230">
        <f>SUM(C68:C75)</f>
        <v>0</v>
      </c>
      <c r="D77" s="230">
        <f>SUM(D68:D75)</f>
        <v>0</v>
      </c>
      <c r="E77" s="231">
        <f>SUM(E68:E75)</f>
        <v>0</v>
      </c>
      <c r="G77" s="582"/>
      <c r="H77" s="583"/>
      <c r="I77" s="584"/>
      <c r="J77" s="585"/>
    </row>
    <row r="78" spans="2:10" ht="15.75">
      <c r="B78" s="117" t="s">
        <v>211</v>
      </c>
      <c r="C78" s="234">
        <f>C66-C77</f>
        <v>0</v>
      </c>
      <c r="D78" s="234">
        <f>D66-D77</f>
        <v>0</v>
      </c>
      <c r="E78" s="249" t="s">
        <v>91</v>
      </c>
      <c r="G78" s="586" t="str">
        <f>summ!H19</f>
        <v>  </v>
      </c>
      <c r="H78" s="583" t="str">
        <f>CONCATENATE("",E1," Fund Mill Rate")</f>
        <v>0 Fund Mill Rate</v>
      </c>
      <c r="I78" s="584"/>
      <c r="J78" s="585"/>
    </row>
    <row r="79" spans="2:10" ht="15.75">
      <c r="B79" s="137" t="str">
        <f>CONCATENATE("",E1-2,"/",E1-1,"/",E1," Budget Authority Amount:")</f>
        <v>-2/-1/0 Budget Authority Amount:</v>
      </c>
      <c r="C79" s="669">
        <f>inputOth!B66</f>
        <v>0</v>
      </c>
      <c r="D79" s="669">
        <f>inputPrYr!D23</f>
        <v>0</v>
      </c>
      <c r="E79" s="192">
        <f>E77</f>
        <v>0</v>
      </c>
      <c r="F79" s="239"/>
      <c r="G79" s="587" t="str">
        <f>summ!E19</f>
        <v>  </v>
      </c>
      <c r="H79" s="583" t="str">
        <f>CONCATENATE("",E1-1," Fund Mill Rate")</f>
        <v>-1 Fund Mill Rate</v>
      </c>
      <c r="I79" s="584"/>
      <c r="J79" s="585"/>
    </row>
    <row r="80" spans="2:10" ht="15.75">
      <c r="B80" s="103"/>
      <c r="C80" s="892" t="s">
        <v>623</v>
      </c>
      <c r="D80" s="893"/>
      <c r="E80" s="54"/>
      <c r="F80" s="687">
        <f>IF(E77/0.95-E77&lt;E80,"Exceeds 5%","")</f>
      </c>
      <c r="G80" s="588">
        <f>summ!H52</f>
        <v>0</v>
      </c>
      <c r="H80" s="583" t="str">
        <f>CONCATENATE("Total ",E1," Mill Rate")</f>
        <v>Total 0 Mill Rate</v>
      </c>
      <c r="I80" s="584"/>
      <c r="J80" s="585"/>
    </row>
    <row r="81" spans="2:10" ht="15.75">
      <c r="B81" s="485" t="str">
        <f>CONCATENATE(C100,"     ",D100)</f>
        <v>     </v>
      </c>
      <c r="C81" s="894" t="s">
        <v>624</v>
      </c>
      <c r="D81" s="895"/>
      <c r="E81" s="192">
        <f>E77+E80</f>
        <v>0</v>
      </c>
      <c r="G81" s="587">
        <f>summ!E52</f>
        <v>0</v>
      </c>
      <c r="H81" s="589" t="str">
        <f>CONCATENATE("Total ",E1-1," Mill Rate")</f>
        <v>Total -1 Mill Rate</v>
      </c>
      <c r="I81" s="590"/>
      <c r="J81" s="591"/>
    </row>
    <row r="82" spans="2:5" ht="15.75">
      <c r="B82" s="485" t="str">
        <f>CONCATENATE(C101,"     ",D101)</f>
        <v>     </v>
      </c>
      <c r="C82" s="240"/>
      <c r="D82" s="135" t="s">
        <v>118</v>
      </c>
      <c r="E82" s="67">
        <f>IF(E81-E66&gt;0,E81-E66,0)</f>
        <v>0</v>
      </c>
    </row>
    <row r="83" spans="2:10" ht="15.75">
      <c r="B83" s="135"/>
      <c r="C83" s="346" t="s">
        <v>622</v>
      </c>
      <c r="D83" s="677">
        <f>inputOth!$E$49</f>
        <v>0</v>
      </c>
      <c r="E83" s="192">
        <f>ROUND(IF(D83&gt;0,(E82*D83),0),0)</f>
        <v>0</v>
      </c>
      <c r="G83" s="808"/>
      <c r="H83" s="827"/>
      <c r="I83" s="807"/>
      <c r="J83" s="826"/>
    </row>
    <row r="84" spans="2:10" ht="16.5" thickBot="1">
      <c r="B84" s="43"/>
      <c r="C84" s="896" t="str">
        <f>CONCATENATE("Amount of  ",$E$1-1," Ad Valorem Tax")</f>
        <v>Amount of  -1 Ad Valorem Tax</v>
      </c>
      <c r="D84" s="897"/>
      <c r="E84" s="599">
        <f>E82+E83</f>
        <v>0</v>
      </c>
      <c r="G84" s="806" t="str">
        <f>CONCATENATE("Computed ",E1," tax levy limit amount")</f>
        <v>Computed 0 tax levy limit amount</v>
      </c>
      <c r="H84" s="797"/>
      <c r="I84" s="797"/>
      <c r="J84" s="803">
        <f>computation!J47</f>
        <v>0</v>
      </c>
    </row>
    <row r="85" spans="2:10" ht="16.5" thickTop="1">
      <c r="B85" s="364" t="s">
        <v>120</v>
      </c>
      <c r="C85" s="743"/>
      <c r="D85" s="43"/>
      <c r="E85" s="43"/>
      <c r="G85" s="804" t="str">
        <f>CONCATENATE("Total ",E1," tax levy amount")</f>
        <v>Total 0 tax levy amount</v>
      </c>
      <c r="H85" s="579"/>
      <c r="I85" s="579"/>
      <c r="J85" s="802">
        <f>summ!G52</f>
        <v>0</v>
      </c>
    </row>
    <row r="86" ht="15.75">
      <c r="B86" s="29"/>
    </row>
    <row r="98" spans="3:4" ht="15.75" hidden="1">
      <c r="C98" s="484">
        <f>IF(C35&gt;C37,"See Tab A","")</f>
      </c>
      <c r="D98" s="484">
        <f>IF(D33&gt;D37,"See Tab C","")</f>
      </c>
    </row>
    <row r="99" spans="3:4" ht="15.75" hidden="1">
      <c r="C99" s="484">
        <f>IF(C36&lt;0,"See Tab B","")</f>
      </c>
      <c r="D99" s="484">
        <f>IF(D36&lt;0,"See Tab D","")</f>
      </c>
    </row>
    <row r="100" spans="3:4" ht="15.75" hidden="1">
      <c r="C100" s="484">
        <f>IF(C75&gt;C79,"See Tab A","")</f>
      </c>
      <c r="D100" s="484">
        <f>IF(D75&gt;D79,"See Tab C","")</f>
      </c>
    </row>
    <row r="101" spans="3:4" ht="15.75" hidden="1">
      <c r="C101" s="484">
        <f>IF(C78&lt;0,"See Tab B","")</f>
      </c>
      <c r="D101" s="484">
        <f>IF(D78&lt;0,"See Tab D","")</f>
      </c>
    </row>
  </sheetData>
  <sheetProtection sheet="1"/>
  <mergeCells count="13">
    <mergeCell ref="G17:J17"/>
    <mergeCell ref="G24:J24"/>
    <mergeCell ref="G34:J34"/>
    <mergeCell ref="G59:J59"/>
    <mergeCell ref="G66:J66"/>
    <mergeCell ref="G76:J76"/>
    <mergeCell ref="C80:D80"/>
    <mergeCell ref="C81:D81"/>
    <mergeCell ref="C38:D38"/>
    <mergeCell ref="C39:D39"/>
    <mergeCell ref="C43:D43"/>
    <mergeCell ref="C84:D84"/>
    <mergeCell ref="C42:D42"/>
  </mergeCells>
  <conditionalFormatting sqref="E75">
    <cfRule type="cellIs" priority="3" dxfId="338" operator="greaterThan" stopIfTrue="1">
      <formula>$E$77*0.1</formula>
    </cfRule>
  </conditionalFormatting>
  <conditionalFormatting sqref="E80">
    <cfRule type="cellIs" priority="4" dxfId="338" operator="greaterThan" stopIfTrue="1">
      <formula>$E$77/0.95-$E$77</formula>
    </cfRule>
  </conditionalFormatting>
  <conditionalFormatting sqref="E33">
    <cfRule type="cellIs" priority="5" dxfId="338" operator="greaterThan" stopIfTrue="1">
      <formula>$E$35*0.1</formula>
    </cfRule>
  </conditionalFormatting>
  <conditionalFormatting sqref="E38">
    <cfRule type="cellIs" priority="6" dxfId="338" operator="greaterThan" stopIfTrue="1">
      <formula>$E$35/0.95-$E$35</formula>
    </cfRule>
  </conditionalFormatting>
  <conditionalFormatting sqref="C33">
    <cfRule type="cellIs" priority="7" dxfId="0" operator="greaterThan" stopIfTrue="1">
      <formula>$C$35*0.1</formula>
    </cfRule>
  </conditionalFormatting>
  <conditionalFormatting sqref="D33">
    <cfRule type="cellIs" priority="8" dxfId="0" operator="greaterThan" stopIfTrue="1">
      <formula>$D$35*0.1</formula>
    </cfRule>
  </conditionalFormatting>
  <conditionalFormatting sqref="D35">
    <cfRule type="cellIs" priority="9" dxfId="0" operator="greaterThan" stopIfTrue="1">
      <formula>$D$37</formula>
    </cfRule>
  </conditionalFormatting>
  <conditionalFormatting sqref="C35">
    <cfRule type="cellIs" priority="10" dxfId="0" operator="greaterThan" stopIfTrue="1">
      <formula>$C$37</formula>
    </cfRule>
  </conditionalFormatting>
  <conditionalFormatting sqref="C36 C78">
    <cfRule type="cellIs" priority="11" dxfId="0" operator="lessThan" stopIfTrue="1">
      <formula>0</formula>
    </cfRule>
  </conditionalFormatting>
  <conditionalFormatting sqref="C75">
    <cfRule type="cellIs" priority="12" dxfId="0" operator="greaterThan" stopIfTrue="1">
      <formula>$C$77*0.1</formula>
    </cfRule>
  </conditionalFormatting>
  <conditionalFormatting sqref="D75">
    <cfRule type="cellIs" priority="13" dxfId="0" operator="greaterThan" stopIfTrue="1">
      <formula>$D$77*0.1</formula>
    </cfRule>
  </conditionalFormatting>
  <conditionalFormatting sqref="D77">
    <cfRule type="cellIs" priority="14" dxfId="0" operator="greaterThan" stopIfTrue="1">
      <formula>$D$79</formula>
    </cfRule>
  </conditionalFormatting>
  <conditionalFormatting sqref="C77">
    <cfRule type="cellIs" priority="15" dxfId="0" operator="greaterThan" stopIfTrue="1">
      <formula>$C$79</formula>
    </cfRule>
  </conditionalFormatting>
  <conditionalFormatting sqref="D21">
    <cfRule type="cellIs" priority="16" dxfId="0" operator="greaterThan" stopIfTrue="1">
      <formula>$D$23*0.1</formula>
    </cfRule>
  </conditionalFormatting>
  <conditionalFormatting sqref="C21">
    <cfRule type="cellIs" priority="17" dxfId="0" operator="greaterThan" stopIfTrue="1">
      <formula>$C$23*0.1</formula>
    </cfRule>
  </conditionalFormatting>
  <conditionalFormatting sqref="D63">
    <cfRule type="cellIs" priority="18" dxfId="0" operator="greaterThan" stopIfTrue="1">
      <formula>$D$65*0.1</formula>
    </cfRule>
  </conditionalFormatting>
  <conditionalFormatting sqref="C63">
    <cfRule type="cellIs" priority="19" dxfId="0" operator="greaterThan" stopIfTrue="1">
      <formula>$C$65*0.1</formula>
    </cfRule>
  </conditionalFormatting>
  <conditionalFormatting sqref="E21">
    <cfRule type="cellIs" priority="20" dxfId="338" operator="greaterThan" stopIfTrue="1">
      <formula>$E$23*0.1+E42</formula>
    </cfRule>
  </conditionalFormatting>
  <conditionalFormatting sqref="E63">
    <cfRule type="cellIs" priority="21" dxfId="338" operator="greaterThan" stopIfTrue="1">
      <formula>$E$65*0.1+E84</formula>
    </cfRule>
  </conditionalFormatting>
  <conditionalFormatting sqref="D78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G84" sqref="G84:J84"/>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61">
        <f>(inputPrYr!D3)</f>
        <v>0</v>
      </c>
      <c r="C1" s="43"/>
      <c r="D1" s="43"/>
      <c r="E1" s="212">
        <f>inputPrYr!C6</f>
        <v>0</v>
      </c>
    </row>
    <row r="2" spans="2:5" ht="15.75">
      <c r="B2" s="43"/>
      <c r="C2" s="43"/>
      <c r="D2" s="43"/>
      <c r="E2" s="135"/>
    </row>
    <row r="3" spans="2:5" ht="15.75">
      <c r="B3" s="213" t="s">
        <v>168</v>
      </c>
      <c r="C3" s="165"/>
      <c r="D3" s="165"/>
      <c r="E3" s="251"/>
    </row>
    <row r="4" spans="2:5" ht="15.75">
      <c r="B4" s="44" t="s">
        <v>101</v>
      </c>
      <c r="C4" s="663" t="s">
        <v>892</v>
      </c>
      <c r="D4" s="664" t="s">
        <v>893</v>
      </c>
      <c r="E4" s="111" t="s">
        <v>894</v>
      </c>
    </row>
    <row r="5" spans="2:5" ht="15.75">
      <c r="B5" s="489">
        <f>inputPrYr!B24</f>
        <v>0</v>
      </c>
      <c r="C5" s="189" t="str">
        <f>CONCATENATE("Actual for ",E1-2,"")</f>
        <v>Actual for -2</v>
      </c>
      <c r="D5" s="189" t="str">
        <f>CONCATENATE("Estimate for ",E1-1,"")</f>
        <v>Estimate for -1</v>
      </c>
      <c r="E5" s="172" t="str">
        <f>CONCATENATE("Year for ",E1,"")</f>
        <v>Year for 0</v>
      </c>
    </row>
    <row r="6" spans="2:5" ht="15.75">
      <c r="B6" s="216" t="s">
        <v>210</v>
      </c>
      <c r="C6" s="221"/>
      <c r="D6" s="219">
        <f>C36</f>
        <v>0</v>
      </c>
      <c r="E6" s="192">
        <f>D36</f>
        <v>0</v>
      </c>
    </row>
    <row r="7" spans="2:5" ht="15.75">
      <c r="B7" s="220" t="s">
        <v>212</v>
      </c>
      <c r="C7" s="219"/>
      <c r="D7" s="219"/>
      <c r="E7" s="192"/>
    </row>
    <row r="8" spans="2:5" ht="15.75">
      <c r="B8" s="117" t="s">
        <v>102</v>
      </c>
      <c r="C8" s="221"/>
      <c r="D8" s="219">
        <f>IF(inputPrYr!H17&gt;0,inputPrYr!G24,inputPrYr!E24)</f>
        <v>0</v>
      </c>
      <c r="E8" s="249" t="s">
        <v>91</v>
      </c>
    </row>
    <row r="9" spans="2:5" ht="15.75">
      <c r="B9" s="117" t="s">
        <v>103</v>
      </c>
      <c r="C9" s="221"/>
      <c r="D9" s="221"/>
      <c r="E9" s="54"/>
    </row>
    <row r="10" spans="2:5" ht="15.75">
      <c r="B10" s="117" t="s">
        <v>104</v>
      </c>
      <c r="C10" s="221"/>
      <c r="D10" s="221"/>
      <c r="E10" s="192" t="str">
        <f>mvalloc!D12</f>
        <v>  </v>
      </c>
    </row>
    <row r="11" spans="2:5" ht="15.75">
      <c r="B11" s="117" t="s">
        <v>105</v>
      </c>
      <c r="C11" s="221"/>
      <c r="D11" s="221"/>
      <c r="E11" s="192" t="str">
        <f>mvalloc!E12</f>
        <v> </v>
      </c>
    </row>
    <row r="12" spans="2:5" ht="15.75">
      <c r="B12" s="126" t="s">
        <v>199</v>
      </c>
      <c r="C12" s="221"/>
      <c r="D12" s="221"/>
      <c r="E12" s="192" t="str">
        <f>mvalloc!F12</f>
        <v> </v>
      </c>
    </row>
    <row r="13" spans="2:5" ht="15.75">
      <c r="B13" s="793" t="s">
        <v>1020</v>
      </c>
      <c r="C13" s="221"/>
      <c r="D13" s="221"/>
      <c r="E13" s="192" t="str">
        <f>mvalloc!G12</f>
        <v> </v>
      </c>
    </row>
    <row r="14" spans="2:5" ht="15.75">
      <c r="B14" s="793" t="s">
        <v>1021</v>
      </c>
      <c r="C14" s="221"/>
      <c r="D14" s="221"/>
      <c r="E14" s="192" t="str">
        <f>mvalloc!H12</f>
        <v> </v>
      </c>
    </row>
    <row r="15" spans="2:5" ht="15.75">
      <c r="B15" s="237"/>
      <c r="C15" s="221"/>
      <c r="D15" s="221"/>
      <c r="E15" s="54"/>
    </row>
    <row r="16" spans="2:5" ht="15.75">
      <c r="B16" s="237"/>
      <c r="C16" s="221"/>
      <c r="D16" s="221"/>
      <c r="E16" s="54"/>
    </row>
    <row r="17" spans="2:5" ht="15.75">
      <c r="B17" s="237"/>
      <c r="C17" s="221"/>
      <c r="D17" s="221"/>
      <c r="E17" s="54"/>
    </row>
    <row r="18" spans="2:10" ht="15.75">
      <c r="B18" s="237"/>
      <c r="C18" s="221"/>
      <c r="D18" s="221"/>
      <c r="E18" s="54"/>
      <c r="G18" s="906" t="str">
        <f>CONCATENATE("Desired Carryover Into ",E1+1,"")</f>
        <v>Desired Carryover Into 1</v>
      </c>
      <c r="H18" s="898"/>
      <c r="I18" s="898"/>
      <c r="J18" s="899"/>
    </row>
    <row r="19" spans="2:10" ht="15.75">
      <c r="B19" s="225" t="s">
        <v>109</v>
      </c>
      <c r="C19" s="221"/>
      <c r="D19" s="221"/>
      <c r="E19" s="54"/>
      <c r="G19" s="600"/>
      <c r="H19" s="601"/>
      <c r="I19" s="602"/>
      <c r="J19" s="603"/>
    </row>
    <row r="20" spans="2:10" ht="15.75">
      <c r="B20" s="238" t="s">
        <v>12</v>
      </c>
      <c r="C20" s="221"/>
      <c r="D20" s="221"/>
      <c r="E20" s="839">
        <f>nhood!E11*-1</f>
        <v>0</v>
      </c>
      <c r="G20" s="604" t="s">
        <v>722</v>
      </c>
      <c r="H20" s="602"/>
      <c r="I20" s="602"/>
      <c r="J20" s="605">
        <v>0</v>
      </c>
    </row>
    <row r="21" spans="2:10" ht="15.75">
      <c r="B21" s="126" t="s">
        <v>13</v>
      </c>
      <c r="C21" s="221"/>
      <c r="D21" s="221"/>
      <c r="E21" s="54"/>
      <c r="G21" s="600" t="s">
        <v>723</v>
      </c>
      <c r="H21" s="601"/>
      <c r="I21" s="601"/>
      <c r="J21" s="606">
        <f>IF(J20=0,"",ROUND((J20+E42-G33)/inputOth!E7*1000,3)-G38)</f>
      </c>
    </row>
    <row r="22" spans="2:10" ht="15.75">
      <c r="B22" s="216" t="s">
        <v>734</v>
      </c>
      <c r="C22" s="226">
        <f>IF(C23*0.1&lt;C21,"Exceed 10% Rule","")</f>
      </c>
      <c r="D22" s="226">
        <f>IF(D23*0.1&lt;D21,"Exceed 10% Rule","")</f>
      </c>
      <c r="E22" s="262">
        <f>IF(E23*0.1+E42&lt;E21,"Exceed 10% Rule","")</f>
      </c>
      <c r="G22" s="607" t="str">
        <f>CONCATENATE("",E1," Tot Exp/Non-Appr Must Be:")</f>
        <v>0 Tot Exp/Non-Appr Must Be:</v>
      </c>
      <c r="H22" s="608"/>
      <c r="I22" s="609"/>
      <c r="J22" s="610">
        <f>IF(J20&gt;0,IF(E39&lt;E24,IF(J20=G33,E39,((J20-G33)*(1-D41))+E24),E39+(J20-G33)),0)</f>
        <v>0</v>
      </c>
    </row>
    <row r="23" spans="2:10" ht="15.75">
      <c r="B23" s="228" t="s">
        <v>110</v>
      </c>
      <c r="C23" s="230">
        <f>SUM(C8:C21)</f>
        <v>0</v>
      </c>
      <c r="D23" s="230">
        <f>SUM(D8:D21)</f>
        <v>0</v>
      </c>
      <c r="E23" s="231">
        <f>SUM(E8:E21)</f>
        <v>0</v>
      </c>
      <c r="G23" s="611" t="s">
        <v>835</v>
      </c>
      <c r="H23" s="612"/>
      <c r="I23" s="612"/>
      <c r="J23" s="613">
        <f>IF(J20&gt;0,J22-E39,0)</f>
        <v>0</v>
      </c>
    </row>
    <row r="24" spans="2:10" ht="15.75">
      <c r="B24" s="228" t="s">
        <v>111</v>
      </c>
      <c r="C24" s="230">
        <f>C6+C23</f>
        <v>0</v>
      </c>
      <c r="D24" s="230">
        <f>D6+D23</f>
        <v>0</v>
      </c>
      <c r="E24" s="231">
        <f>E6+E23</f>
        <v>0</v>
      </c>
      <c r="F24" s="253"/>
      <c r="J24" s="2"/>
    </row>
    <row r="25" spans="2:10" ht="15.75">
      <c r="B25" s="117" t="s">
        <v>113</v>
      </c>
      <c r="C25" s="238"/>
      <c r="D25" s="238"/>
      <c r="E25" s="53"/>
      <c r="G25" s="906" t="str">
        <f>CONCATENATE("Projected Carryover Into ",E1+1,"")</f>
        <v>Projected Carryover Into 1</v>
      </c>
      <c r="H25" s="910"/>
      <c r="I25" s="910"/>
      <c r="J25" s="908"/>
    </row>
    <row r="26" spans="2:10" ht="15.75">
      <c r="B26" s="254"/>
      <c r="C26" s="221"/>
      <c r="D26" s="221"/>
      <c r="E26" s="78"/>
      <c r="G26" s="600"/>
      <c r="H26" s="602"/>
      <c r="I26" s="602"/>
      <c r="J26" s="615"/>
    </row>
    <row r="27" spans="2:10" ht="15.75">
      <c r="B27" s="254"/>
      <c r="C27" s="221"/>
      <c r="D27" s="221"/>
      <c r="E27" s="78"/>
      <c r="G27" s="616">
        <f>D36</f>
        <v>0</v>
      </c>
      <c r="H27" s="583" t="str">
        <f>CONCATENATE("",E1-1," Ending Cash Balance (est.)")</f>
        <v>-1 Ending Cash Balance (est.)</v>
      </c>
      <c r="I27" s="617"/>
      <c r="J27" s="615"/>
    </row>
    <row r="28" spans="2:10" ht="15.75">
      <c r="B28" s="254"/>
      <c r="C28" s="221"/>
      <c r="D28" s="221"/>
      <c r="E28" s="78"/>
      <c r="G28" s="616">
        <f>E23</f>
        <v>0</v>
      </c>
      <c r="H28" s="602" t="str">
        <f>CONCATENATE("",E1," Non-AV Receipts (est.)")</f>
        <v>0 Non-AV Receipts (est.)</v>
      </c>
      <c r="I28" s="617"/>
      <c r="J28" s="615"/>
    </row>
    <row r="29" spans="2:11" ht="15.75">
      <c r="B29" s="237"/>
      <c r="C29" s="221"/>
      <c r="D29" s="221"/>
      <c r="E29" s="54"/>
      <c r="G29" s="618">
        <f>IF(E41&gt;0,E40,E42)</f>
        <v>0</v>
      </c>
      <c r="H29" s="602" t="str">
        <f>CONCATENATE("",E1," Ad Valorem Tax (est.)")</f>
        <v>0 Ad Valorem Tax (est.)</v>
      </c>
      <c r="I29" s="617"/>
      <c r="J29" s="596"/>
      <c r="K29" s="592">
        <f>IF(G29=E42,"","Note: Does not include Delinquent Taxes")</f>
      </c>
    </row>
    <row r="30" spans="2:10" ht="15.75">
      <c r="B30" s="237"/>
      <c r="C30" s="221"/>
      <c r="D30" s="221"/>
      <c r="E30" s="54"/>
      <c r="G30" s="616">
        <f>SUM(G27:G29)</f>
        <v>0</v>
      </c>
      <c r="H30" s="602" t="str">
        <f>CONCATENATE("Total ",E1," Resources Available")</f>
        <v>Total 0 Resources Available</v>
      </c>
      <c r="I30" s="617"/>
      <c r="J30" s="615"/>
    </row>
    <row r="31" spans="2:10" ht="15.75">
      <c r="B31" s="237"/>
      <c r="C31" s="221"/>
      <c r="D31" s="221"/>
      <c r="E31" s="54"/>
      <c r="G31" s="653"/>
      <c r="H31" s="602"/>
      <c r="I31" s="602"/>
      <c r="J31" s="615"/>
    </row>
    <row r="32" spans="2:10" ht="15.75">
      <c r="B32" s="238" t="str">
        <f>CONCATENATE("Cash Forward (",E1," column)")</f>
        <v>Cash Forward (0 column)</v>
      </c>
      <c r="C32" s="221"/>
      <c r="D32" s="221"/>
      <c r="E32" s="54"/>
      <c r="G32" s="618">
        <f>ROUND(C35*0.05+C35,0)</f>
        <v>0</v>
      </c>
      <c r="H32" s="602" t="str">
        <f>CONCATENATE("Less ",E1-2," Expenditures + 5%")</f>
        <v>Less -2 Expenditures + 5%</v>
      </c>
      <c r="I32" s="617"/>
      <c r="J32" s="615"/>
    </row>
    <row r="33" spans="2:10" ht="15.75">
      <c r="B33" s="238" t="s">
        <v>13</v>
      </c>
      <c r="C33" s="221"/>
      <c r="D33" s="221"/>
      <c r="E33" s="54"/>
      <c r="G33" s="654">
        <f>G30-G32</f>
        <v>0</v>
      </c>
      <c r="H33" s="655" t="str">
        <f>CONCATENATE("Projected ",E1+1," carryover (est.)")</f>
        <v>Projected 1 carryover (est.)</v>
      </c>
      <c r="I33" s="656"/>
      <c r="J33" s="628"/>
    </row>
    <row r="34" spans="2:10" ht="15.75">
      <c r="B34" s="238" t="s">
        <v>735</v>
      </c>
      <c r="C34" s="226">
        <f>IF(C35*0.1&lt;C33,"Exceed 10% Rule","")</f>
      </c>
      <c r="D34" s="226">
        <f>IF(D35*0.1&lt;D33,"Exceed 10% Rule","")</f>
      </c>
      <c r="E34" s="262">
        <f>IF(E35*0.1&lt;E33,"Exceed 10% Rule","")</f>
      </c>
      <c r="G34" s="2"/>
      <c r="H34" s="2"/>
      <c r="I34" s="2"/>
      <c r="J34" s="2"/>
    </row>
    <row r="35" spans="2:10" ht="15.75">
      <c r="B35" s="228" t="s">
        <v>117</v>
      </c>
      <c r="C35" s="230">
        <f>SUM(C26:C33)</f>
        <v>0</v>
      </c>
      <c r="D35" s="230">
        <f>SUM(D26:D33)</f>
        <v>0</v>
      </c>
      <c r="E35" s="231">
        <f>SUM(E26:E33)</f>
        <v>0</v>
      </c>
      <c r="G35" s="900" t="s">
        <v>834</v>
      </c>
      <c r="H35" s="901"/>
      <c r="I35" s="901"/>
      <c r="J35" s="902"/>
    </row>
    <row r="36" spans="2:10" ht="15.75">
      <c r="B36" s="117" t="s">
        <v>211</v>
      </c>
      <c r="C36" s="234">
        <f>C24-C35</f>
        <v>0</v>
      </c>
      <c r="D36" s="234">
        <f>D24-D35</f>
        <v>0</v>
      </c>
      <c r="E36" s="249" t="s">
        <v>91</v>
      </c>
      <c r="G36" s="582"/>
      <c r="H36" s="583"/>
      <c r="I36" s="584"/>
      <c r="J36" s="585"/>
    </row>
    <row r="37" spans="2:10" ht="15.75">
      <c r="B37" s="137" t="str">
        <f>CONCATENATE("",E1-2,"/",E1-1,"/",E1," Budget Authority Amount:")</f>
        <v>-2/-1/0 Budget Authority Amount:</v>
      </c>
      <c r="C37" s="669">
        <f>inputOth!B67</f>
        <v>0</v>
      </c>
      <c r="D37" s="669">
        <f>inputPrYr!D24</f>
        <v>0</v>
      </c>
      <c r="E37" s="192">
        <f>E35</f>
        <v>0</v>
      </c>
      <c r="F37" s="239"/>
      <c r="G37" s="586" t="str">
        <f>summ!H20</f>
        <v>  </v>
      </c>
      <c r="H37" s="583" t="str">
        <f>CONCATENATE("",E1," Fund Mill Rate")</f>
        <v>0 Fund Mill Rate</v>
      </c>
      <c r="I37" s="584"/>
      <c r="J37" s="585"/>
    </row>
    <row r="38" spans="2:10" ht="15.75">
      <c r="B38" s="103"/>
      <c r="C38" s="892" t="s">
        <v>623</v>
      </c>
      <c r="D38" s="893"/>
      <c r="E38" s="54"/>
      <c r="F38" s="687">
        <f>IF(E35/0.95-E35&lt;E38,"Exceeds 5%","")</f>
      </c>
      <c r="G38" s="587" t="str">
        <f>summ!E20</f>
        <v>  </v>
      </c>
      <c r="H38" s="583" t="str">
        <f>CONCATENATE("",E1-1," Fund Mill Rate")</f>
        <v>-1 Fund Mill Rate</v>
      </c>
      <c r="I38" s="584"/>
      <c r="J38" s="585"/>
    </row>
    <row r="39" spans="2:10" ht="15.75">
      <c r="B39" s="485" t="str">
        <f>CONCATENATE(C98,"     ",D98)</f>
        <v>     </v>
      </c>
      <c r="C39" s="894" t="s">
        <v>624</v>
      </c>
      <c r="D39" s="895"/>
      <c r="E39" s="192">
        <f>E35+E38</f>
        <v>0</v>
      </c>
      <c r="G39" s="588">
        <f>summ!H52</f>
        <v>0</v>
      </c>
      <c r="H39" s="583" t="str">
        <f>CONCATENATE("Total ",E1," Mill Rate")</f>
        <v>Total 0 Mill Rate</v>
      </c>
      <c r="I39" s="584"/>
      <c r="J39" s="585"/>
    </row>
    <row r="40" spans="2:10" ht="15.75">
      <c r="B40" s="485" t="str">
        <f>CONCATENATE(C99,"     ",D99)</f>
        <v>     </v>
      </c>
      <c r="C40" s="240"/>
      <c r="D40" s="135" t="s">
        <v>118</v>
      </c>
      <c r="E40" s="67">
        <f>IF(E39-E24&gt;0,E39-E24,0)</f>
        <v>0</v>
      </c>
      <c r="G40" s="587">
        <f>summ!E52</f>
        <v>0</v>
      </c>
      <c r="H40" s="589" t="str">
        <f>CONCATENATE("Total ",E1-1," Mill Rate")</f>
        <v>Total -1 Mill Rate</v>
      </c>
      <c r="I40" s="590"/>
      <c r="J40" s="591"/>
    </row>
    <row r="41" spans="2:5" ht="15.75">
      <c r="B41" s="135"/>
      <c r="C41" s="346" t="s">
        <v>622</v>
      </c>
      <c r="D41" s="677">
        <f>inputOth!$E$49</f>
        <v>0</v>
      </c>
      <c r="E41" s="192">
        <f>ROUND(IF(D41&gt;0,(E40*D41),0),0)</f>
        <v>0</v>
      </c>
    </row>
    <row r="42" spans="2:10" ht="16.5" thickBot="1">
      <c r="B42" s="135"/>
      <c r="C42" s="896" t="str">
        <f>CONCATENATE("Amount of  ",$E$1-1," Ad Valorem Tax")</f>
        <v>Amount of  -1 Ad Valorem Tax</v>
      </c>
      <c r="D42" s="897"/>
      <c r="E42" s="599">
        <f>E40+E41</f>
        <v>0</v>
      </c>
      <c r="G42" s="808"/>
      <c r="H42" s="827"/>
      <c r="I42" s="807"/>
      <c r="J42" s="826"/>
    </row>
    <row r="43" spans="2:10" ht="16.5" thickTop="1">
      <c r="B43" s="43"/>
      <c r="C43" s="896"/>
      <c r="D43" s="909"/>
      <c r="E43" s="63"/>
      <c r="G43" s="806" t="str">
        <f>CONCATENATE("Computed ",E1," tax levy limit amount")</f>
        <v>Computed 0 tax levy limit amount</v>
      </c>
      <c r="H43" s="797"/>
      <c r="I43" s="797"/>
      <c r="J43" s="803">
        <f>computation!J47</f>
        <v>0</v>
      </c>
    </row>
    <row r="44" spans="2:10" ht="15.75">
      <c r="B44" s="44"/>
      <c r="C44" s="252"/>
      <c r="D44" s="252"/>
      <c r="E44" s="252"/>
      <c r="G44" s="804" t="str">
        <f>CONCATENATE("Total ",E1," tax levy amount")</f>
        <v>Total 0 tax levy amount</v>
      </c>
      <c r="H44" s="579"/>
      <c r="I44" s="579"/>
      <c r="J44" s="802">
        <f>summ!G52</f>
        <v>0</v>
      </c>
    </row>
    <row r="45" spans="2:5" ht="15.75">
      <c r="B45" s="44" t="s">
        <v>101</v>
      </c>
      <c r="C45" s="663" t="s">
        <v>892</v>
      </c>
      <c r="D45" s="664" t="s">
        <v>893</v>
      </c>
      <c r="E45" s="111" t="s">
        <v>894</v>
      </c>
    </row>
    <row r="46" spans="2:5" ht="15.75">
      <c r="B46" s="489">
        <f>inputPrYr!B25</f>
        <v>0</v>
      </c>
      <c r="C46" s="189" t="str">
        <f>CONCATENATE("Actual for ",E1-2,"")</f>
        <v>Actual for -2</v>
      </c>
      <c r="D46" s="189" t="str">
        <f>CONCATENATE("Estimate for ",E1-1,"")</f>
        <v>Estimate for -1</v>
      </c>
      <c r="E46" s="172" t="str">
        <f>CONCATENATE("Year for ",E1,"")</f>
        <v>Year for 0</v>
      </c>
    </row>
    <row r="47" spans="2:5" ht="15.75">
      <c r="B47" s="216" t="s">
        <v>210</v>
      </c>
      <c r="C47" s="221"/>
      <c r="D47" s="219">
        <f>C78</f>
        <v>0</v>
      </c>
      <c r="E47" s="192">
        <f>D78</f>
        <v>0</v>
      </c>
    </row>
    <row r="48" spans="2:5" ht="15.75">
      <c r="B48" s="220" t="s">
        <v>212</v>
      </c>
      <c r="C48" s="126"/>
      <c r="D48" s="126"/>
      <c r="E48" s="69"/>
    </row>
    <row r="49" spans="2:5" ht="15.75">
      <c r="B49" s="117" t="s">
        <v>102</v>
      </c>
      <c r="C49" s="221"/>
      <c r="D49" s="219">
        <f>IF(inputPrYr!H17&gt;0,inputPrYr!G25,inputPrYr!E25)</f>
        <v>0</v>
      </c>
      <c r="E49" s="249" t="s">
        <v>91</v>
      </c>
    </row>
    <row r="50" spans="2:5" ht="15.75">
      <c r="B50" s="117" t="s">
        <v>103</v>
      </c>
      <c r="C50" s="221"/>
      <c r="D50" s="221"/>
      <c r="E50" s="54"/>
    </row>
    <row r="51" spans="2:5" ht="15.75">
      <c r="B51" s="117" t="s">
        <v>104</v>
      </c>
      <c r="C51" s="221"/>
      <c r="D51" s="221"/>
      <c r="E51" s="192" t="str">
        <f>mvalloc!D13</f>
        <v>  </v>
      </c>
    </row>
    <row r="52" spans="2:5" ht="15.75">
      <c r="B52" s="117" t="s">
        <v>105</v>
      </c>
      <c r="C52" s="221"/>
      <c r="D52" s="221"/>
      <c r="E52" s="192" t="str">
        <f>mvalloc!E13</f>
        <v> </v>
      </c>
    </row>
    <row r="53" spans="2:5" ht="15.75">
      <c r="B53" s="126" t="s">
        <v>199</v>
      </c>
      <c r="C53" s="221"/>
      <c r="D53" s="221"/>
      <c r="E53" s="192" t="str">
        <f>mvalloc!F13</f>
        <v> </v>
      </c>
    </row>
    <row r="54" spans="2:5" ht="15.75">
      <c r="B54" s="793" t="s">
        <v>1020</v>
      </c>
      <c r="C54" s="221"/>
      <c r="D54" s="221"/>
      <c r="E54" s="192" t="str">
        <f>mvalloc!G13</f>
        <v> </v>
      </c>
    </row>
    <row r="55" spans="2:5" ht="15.75">
      <c r="B55" s="793" t="s">
        <v>1021</v>
      </c>
      <c r="C55" s="221"/>
      <c r="D55" s="221"/>
      <c r="E55" s="192" t="str">
        <f>mvalloc!H13</f>
        <v> </v>
      </c>
    </row>
    <row r="56" spans="2:5" ht="15.75">
      <c r="B56" s="54"/>
      <c r="C56" s="221"/>
      <c r="D56" s="221"/>
      <c r="E56" s="54"/>
    </row>
    <row r="57" spans="2:5" ht="15.75">
      <c r="B57" s="54"/>
      <c r="C57" s="221"/>
      <c r="D57" s="221"/>
      <c r="E57" s="54"/>
    </row>
    <row r="58" spans="2:5" ht="15.75">
      <c r="B58" s="54"/>
      <c r="C58" s="221"/>
      <c r="D58" s="221"/>
      <c r="E58" s="54"/>
    </row>
    <row r="59" spans="2:5" ht="15.75">
      <c r="B59" s="237"/>
      <c r="C59" s="221"/>
      <c r="D59" s="221"/>
      <c r="E59" s="54"/>
    </row>
    <row r="60" spans="2:10" ht="15.75">
      <c r="B60" s="237"/>
      <c r="C60" s="221"/>
      <c r="D60" s="221"/>
      <c r="E60" s="54"/>
      <c r="G60" s="906" t="str">
        <f>CONCATENATE("Desired Carryover Into ",E1+1,"")</f>
        <v>Desired Carryover Into 1</v>
      </c>
      <c r="H60" s="898"/>
      <c r="I60" s="898"/>
      <c r="J60" s="899"/>
    </row>
    <row r="61" spans="2:10" ht="15.75">
      <c r="B61" s="225" t="s">
        <v>109</v>
      </c>
      <c r="C61" s="221"/>
      <c r="D61" s="221"/>
      <c r="E61" s="54"/>
      <c r="G61" s="600"/>
      <c r="H61" s="601"/>
      <c r="I61" s="602"/>
      <c r="J61" s="603"/>
    </row>
    <row r="62" spans="2:10" ht="15.75">
      <c r="B62" s="238" t="s">
        <v>12</v>
      </c>
      <c r="C62" s="221"/>
      <c r="D62" s="221"/>
      <c r="E62" s="839">
        <f>nhood!E12*-1</f>
        <v>0</v>
      </c>
      <c r="G62" s="604" t="s">
        <v>722</v>
      </c>
      <c r="H62" s="602"/>
      <c r="I62" s="602"/>
      <c r="J62" s="605">
        <v>0</v>
      </c>
    </row>
    <row r="63" spans="2:10" ht="15.75">
      <c r="B63" s="126" t="s">
        <v>13</v>
      </c>
      <c r="C63" s="221"/>
      <c r="D63" s="221"/>
      <c r="E63" s="54"/>
      <c r="G63" s="600" t="s">
        <v>723</v>
      </c>
      <c r="H63" s="601"/>
      <c r="I63" s="601"/>
      <c r="J63" s="606">
        <f>IF(J62=0,"",ROUND((J62+E84-G75)/inputOth!E7*1000,3)-G80)</f>
      </c>
    </row>
    <row r="64" spans="2:10" ht="15.75">
      <c r="B64" s="216" t="s">
        <v>734</v>
      </c>
      <c r="C64" s="226">
        <f>IF(C65*0.1&lt;C63,"Exceed 10% Rule","")</f>
      </c>
      <c r="D64" s="226">
        <f>IF(D65*0.1&lt;D63,"Exceed 10% Rule","")</f>
      </c>
      <c r="E64" s="262">
        <f>IF(E65*0.1+E84&lt;E63,"Exceed 10% Rule","")</f>
      </c>
      <c r="G64" s="607" t="str">
        <f>CONCATENATE("",E1," Tot Exp/Non-Appr Must Be:")</f>
        <v>0 Tot Exp/Non-Appr Must Be:</v>
      </c>
      <c r="H64" s="608"/>
      <c r="I64" s="609"/>
      <c r="J64" s="610">
        <f>IF(J62&gt;0,IF(E81&lt;E66,IF(J62=G75,E81,((J62-G75)*(1-D83))+E66),E81+(J62-G75)),0)</f>
        <v>0</v>
      </c>
    </row>
    <row r="65" spans="2:10" ht="15.75">
      <c r="B65" s="228" t="s">
        <v>110</v>
      </c>
      <c r="C65" s="230">
        <f>SUM(C49:C63)</f>
        <v>0</v>
      </c>
      <c r="D65" s="230">
        <f>SUM(D49:D63)</f>
        <v>0</v>
      </c>
      <c r="E65" s="231">
        <f>SUM(E50:E63)</f>
        <v>0</v>
      </c>
      <c r="G65" s="611" t="s">
        <v>835</v>
      </c>
      <c r="H65" s="612"/>
      <c r="I65" s="612"/>
      <c r="J65" s="613">
        <f>IF(J62&gt;0,J64-E81,0)</f>
        <v>0</v>
      </c>
    </row>
    <row r="66" spans="2:10" ht="15.75">
      <c r="B66" s="228" t="s">
        <v>111</v>
      </c>
      <c r="C66" s="230">
        <f>C47+C65</f>
        <v>0</v>
      </c>
      <c r="D66" s="230">
        <f>D47+D65</f>
        <v>0</v>
      </c>
      <c r="E66" s="231">
        <f>E47+E65</f>
        <v>0</v>
      </c>
      <c r="J66" s="2"/>
    </row>
    <row r="67" spans="2:10" ht="15.75">
      <c r="B67" s="117" t="s">
        <v>113</v>
      </c>
      <c r="C67" s="238"/>
      <c r="D67" s="238"/>
      <c r="E67" s="53"/>
      <c r="G67" s="906" t="str">
        <f>CONCATENATE("Projected Carryover Into ",E1+1,"")</f>
        <v>Projected Carryover Into 1</v>
      </c>
      <c r="H67" s="907"/>
      <c r="I67" s="907"/>
      <c r="J67" s="908"/>
    </row>
    <row r="68" spans="2:10" ht="15.75">
      <c r="B68" s="237"/>
      <c r="C68" s="221"/>
      <c r="D68" s="221"/>
      <c r="E68" s="54"/>
      <c r="G68" s="614"/>
      <c r="H68" s="601"/>
      <c r="I68" s="601"/>
      <c r="J68" s="621"/>
    </row>
    <row r="69" spans="2:10" ht="15.75">
      <c r="B69" s="237"/>
      <c r="C69" s="221"/>
      <c r="D69" s="221"/>
      <c r="E69" s="54"/>
      <c r="G69" s="616">
        <f>D78</f>
        <v>0</v>
      </c>
      <c r="H69" s="583" t="str">
        <f>CONCATENATE("",E1-1," Ending Cash Balance (est.)")</f>
        <v>-1 Ending Cash Balance (est.)</v>
      </c>
      <c r="I69" s="617"/>
      <c r="J69" s="621"/>
    </row>
    <row r="70" spans="2:10" ht="15.75">
      <c r="B70" s="237"/>
      <c r="C70" s="221"/>
      <c r="D70" s="221"/>
      <c r="E70" s="54"/>
      <c r="G70" s="616">
        <f>E65</f>
        <v>0</v>
      </c>
      <c r="H70" s="602" t="str">
        <f>CONCATENATE("",E1," Non-AV Receipts (est.)")</f>
        <v>0 Non-AV Receipts (est.)</v>
      </c>
      <c r="I70" s="617"/>
      <c r="J70" s="621"/>
    </row>
    <row r="71" spans="2:11" ht="15.75">
      <c r="B71" s="237"/>
      <c r="C71" s="221"/>
      <c r="D71" s="221"/>
      <c r="E71" s="54"/>
      <c r="G71" s="618">
        <f>IF(D83&gt;0,E82,E84)</f>
        <v>0</v>
      </c>
      <c r="H71" s="602" t="str">
        <f>CONCATENATE("",E1," Ad Valorem Tax (est.)")</f>
        <v>0 Ad Valorem Tax (est.)</v>
      </c>
      <c r="I71" s="617"/>
      <c r="J71" s="621"/>
      <c r="K71" s="592">
        <f>IF(G71=E84,"","Note: Does not include Delinquent Taxes")</f>
      </c>
    </row>
    <row r="72" spans="2:10" ht="15.75">
      <c r="B72" s="237"/>
      <c r="C72" s="221"/>
      <c r="D72" s="221"/>
      <c r="E72" s="54"/>
      <c r="G72" s="620">
        <f>SUM(G69:G71)</f>
        <v>0</v>
      </c>
      <c r="H72" s="602" t="str">
        <f>CONCATENATE("Total ",E1," Resources Available")</f>
        <v>Total 0 Resources Available</v>
      </c>
      <c r="I72" s="621"/>
      <c r="J72" s="621"/>
    </row>
    <row r="73" spans="2:10" ht="15.75">
      <c r="B73" s="237"/>
      <c r="C73" s="221"/>
      <c r="D73" s="221"/>
      <c r="E73" s="54"/>
      <c r="G73" s="622"/>
      <c r="H73" s="623"/>
      <c r="I73" s="601"/>
      <c r="J73" s="621"/>
    </row>
    <row r="74" spans="2:10" ht="15.75">
      <c r="B74" s="238" t="str">
        <f>CONCATENATE("Cash Forward (",E1," column)")</f>
        <v>Cash Forward (0 column)</v>
      </c>
      <c r="C74" s="221"/>
      <c r="D74" s="221"/>
      <c r="E74" s="54"/>
      <c r="G74" s="624">
        <f>ROUND(C77*0.05+C77,0)</f>
        <v>0</v>
      </c>
      <c r="H74" s="623" t="str">
        <f>CONCATENATE("Less ",E1-2," Expenditures + 5%")</f>
        <v>Less -2 Expenditures + 5%</v>
      </c>
      <c r="I74" s="621"/>
      <c r="J74" s="621"/>
    </row>
    <row r="75" spans="2:10" ht="15.75">
      <c r="B75" s="238" t="s">
        <v>13</v>
      </c>
      <c r="C75" s="221"/>
      <c r="D75" s="221"/>
      <c r="E75" s="54"/>
      <c r="G75" s="625">
        <f>G72-G74</f>
        <v>0</v>
      </c>
      <c r="H75" s="626" t="str">
        <f>CONCATENATE("Projected ",E1+1," carryover (est.)")</f>
        <v>Projected 1 carryover (est.)</v>
      </c>
      <c r="I75" s="627"/>
      <c r="J75" s="628"/>
    </row>
    <row r="76" spans="2:9" ht="15.75">
      <c r="B76" s="238" t="s">
        <v>735</v>
      </c>
      <c r="C76" s="226">
        <f>IF(C77*0.1&lt;C75,"Exceed 10% Rule","")</f>
      </c>
      <c r="D76" s="226">
        <f>IF(D77*0.1&lt;D75,"Exceed 10% Rule","")</f>
      </c>
      <c r="E76" s="262">
        <f>IF(E77*0.1&lt;E75,"Exceed 10% Rule","")</f>
      </c>
      <c r="G76" s="2"/>
      <c r="H76" s="2"/>
      <c r="I76" s="2"/>
    </row>
    <row r="77" spans="2:10" ht="15.75">
      <c r="B77" s="228" t="s">
        <v>117</v>
      </c>
      <c r="C77" s="230">
        <f>SUM(C68:C75)</f>
        <v>0</v>
      </c>
      <c r="D77" s="230">
        <f>SUM(D68:D75)</f>
        <v>0</v>
      </c>
      <c r="E77" s="231">
        <f>SUM(E68:E75)</f>
        <v>0</v>
      </c>
      <c r="G77" s="900" t="s">
        <v>834</v>
      </c>
      <c r="H77" s="901"/>
      <c r="I77" s="901"/>
      <c r="J77" s="902"/>
    </row>
    <row r="78" spans="2:10" ht="15.75">
      <c r="B78" s="117" t="s">
        <v>211</v>
      </c>
      <c r="C78" s="234">
        <f>C66-C77</f>
        <v>0</v>
      </c>
      <c r="D78" s="234">
        <f>D66-D77</f>
        <v>0</v>
      </c>
      <c r="E78" s="249" t="s">
        <v>91</v>
      </c>
      <c r="G78" s="582"/>
      <c r="H78" s="583"/>
      <c r="I78" s="584"/>
      <c r="J78" s="585"/>
    </row>
    <row r="79" spans="2:10" ht="15.75">
      <c r="B79" s="137" t="str">
        <f>CONCATENATE("",E1-2,"/",E1-1,"/",E1," Budget Authority Amount:")</f>
        <v>-2/-1/0 Budget Authority Amount:</v>
      </c>
      <c r="C79" s="669">
        <f>inputOth!B68</f>
        <v>0</v>
      </c>
      <c r="D79" s="669">
        <f>inputPrYr!D25</f>
        <v>0</v>
      </c>
      <c r="E79" s="192">
        <f>E77</f>
        <v>0</v>
      </c>
      <c r="F79" s="239"/>
      <c r="G79" s="586" t="str">
        <f>summ!H21</f>
        <v>  </v>
      </c>
      <c r="H79" s="583" t="str">
        <f>CONCATENATE("",E1," Fund Mill Rate")</f>
        <v>0 Fund Mill Rate</v>
      </c>
      <c r="I79" s="584"/>
      <c r="J79" s="585"/>
    </row>
    <row r="80" spans="2:10" ht="15.75">
      <c r="B80" s="103"/>
      <c r="C80" s="892" t="s">
        <v>623</v>
      </c>
      <c r="D80" s="893"/>
      <c r="E80" s="54"/>
      <c r="F80" s="687">
        <f>IF(E77/0.95-E77&lt;E80,"Exceeds 5%","")</f>
      </c>
      <c r="G80" s="587" t="str">
        <f>summ!E21</f>
        <v>  </v>
      </c>
      <c r="H80" s="583" t="str">
        <f>CONCATENATE("",E1-1," Fund Mill Rate")</f>
        <v>-1 Fund Mill Rate</v>
      </c>
      <c r="I80" s="584"/>
      <c r="J80" s="585"/>
    </row>
    <row r="81" spans="2:10" ht="15.75">
      <c r="B81" s="485" t="str">
        <f>CONCATENATE(C100,"     ",D100)</f>
        <v>     </v>
      </c>
      <c r="C81" s="894" t="s">
        <v>624</v>
      </c>
      <c r="D81" s="895"/>
      <c r="E81" s="192">
        <f>E77+E80</f>
        <v>0</v>
      </c>
      <c r="G81" s="588">
        <f>summ!H52</f>
        <v>0</v>
      </c>
      <c r="H81" s="583" t="str">
        <f>CONCATENATE("Total ",E1," Mill Rate")</f>
        <v>Total 0 Mill Rate</v>
      </c>
      <c r="I81" s="584"/>
      <c r="J81" s="585"/>
    </row>
    <row r="82" spans="2:10" ht="15.75">
      <c r="B82" s="485" t="str">
        <f>CONCATENATE(C101,"     ",D101)</f>
        <v>     </v>
      </c>
      <c r="C82" s="240"/>
      <c r="D82" s="135" t="s">
        <v>118</v>
      </c>
      <c r="E82" s="67">
        <f>IF(E81-E66&gt;0,E81-E66,0)</f>
        <v>0</v>
      </c>
      <c r="G82" s="587">
        <f>summ!E52</f>
        <v>0</v>
      </c>
      <c r="H82" s="589" t="str">
        <f>CONCATENATE("Total ",E1-1," Mill Rate")</f>
        <v>Total -1 Mill Rate</v>
      </c>
      <c r="I82" s="590"/>
      <c r="J82" s="591"/>
    </row>
    <row r="83" spans="2:5" ht="15.75">
      <c r="B83" s="135"/>
      <c r="C83" s="346" t="s">
        <v>622</v>
      </c>
      <c r="D83" s="677">
        <f>inputOth!$E$49</f>
        <v>0</v>
      </c>
      <c r="E83" s="192">
        <f>ROUND(IF(D83&gt;0,(E82*D83),0),0)</f>
        <v>0</v>
      </c>
    </row>
    <row r="84" spans="2:10" ht="16.5" thickBot="1">
      <c r="B84" s="43"/>
      <c r="C84" s="896" t="str">
        <f>CONCATENATE("Amount of  ",$E$1-1," Ad Valorem Tax")</f>
        <v>Amount of  -1 Ad Valorem Tax</v>
      </c>
      <c r="D84" s="897"/>
      <c r="E84" s="599">
        <f>E82+E83</f>
        <v>0</v>
      </c>
      <c r="G84" s="808"/>
      <c r="H84" s="827"/>
      <c r="I84" s="807"/>
      <c r="J84" s="826"/>
    </row>
    <row r="85" spans="2:10" ht="16.5" thickTop="1">
      <c r="B85" s="43"/>
      <c r="C85" s="43"/>
      <c r="D85" s="43"/>
      <c r="E85" s="43"/>
      <c r="G85" s="806" t="str">
        <f>CONCATENATE("Computed ",E1," tax levy limit amount")</f>
        <v>Computed 0 tax levy limit amount</v>
      </c>
      <c r="H85" s="797"/>
      <c r="I85" s="797"/>
      <c r="J85" s="803">
        <f>computation!J47</f>
        <v>0</v>
      </c>
    </row>
    <row r="86" spans="2:10" ht="15.75">
      <c r="B86" s="364" t="s">
        <v>120</v>
      </c>
      <c r="C86" s="743"/>
      <c r="D86" s="43"/>
      <c r="E86" s="43"/>
      <c r="G86" s="804" t="str">
        <f>CONCATENATE("Total ",E1," tax levy amount")</f>
        <v>Total 0 tax levy amount</v>
      </c>
      <c r="H86" s="579"/>
      <c r="I86" s="579"/>
      <c r="J86" s="802">
        <f>summ!G52</f>
        <v>0</v>
      </c>
    </row>
    <row r="98" spans="3:4" ht="15.75" hidden="1">
      <c r="C98" s="484">
        <f>IF(C35&gt;C37,"See Tab A","")</f>
      </c>
      <c r="D98" s="484">
        <f>IF(D33&gt;D37,"See Tab C","")</f>
      </c>
    </row>
    <row r="99" spans="3:4" ht="15.75" hidden="1">
      <c r="C99" s="484">
        <f>IF(C36&lt;0,"See Tab B","")</f>
      </c>
      <c r="D99" s="484">
        <f>IF(D36&lt;0,"See Tab D","")</f>
      </c>
    </row>
    <row r="100" spans="3:4" ht="15.75" hidden="1">
      <c r="C100" s="484">
        <f>IF(C75&gt;C79,"See Tab A","")</f>
      </c>
      <c r="D100" s="484">
        <f>IF(D75&gt;D79,"See Tab C","")</f>
      </c>
    </row>
    <row r="101" spans="3:4" ht="15.75" hidden="1">
      <c r="C101" s="484">
        <f>IF(C78&lt;0,"See Tab B","")</f>
      </c>
      <c r="D101" s="484">
        <f>IF(D78&lt;0,"See Tab D","")</f>
      </c>
    </row>
  </sheetData>
  <sheetProtection sheet="1"/>
  <mergeCells count="13">
    <mergeCell ref="G18:J18"/>
    <mergeCell ref="G25:J25"/>
    <mergeCell ref="G35:J35"/>
    <mergeCell ref="G60:J60"/>
    <mergeCell ref="G67:J67"/>
    <mergeCell ref="G77:J77"/>
    <mergeCell ref="C84:D84"/>
    <mergeCell ref="C80:D80"/>
    <mergeCell ref="C81:D81"/>
    <mergeCell ref="C38:D38"/>
    <mergeCell ref="C39:D39"/>
    <mergeCell ref="C43:D43"/>
    <mergeCell ref="C42:D42"/>
  </mergeCells>
  <conditionalFormatting sqref="E75">
    <cfRule type="cellIs" priority="3" dxfId="338" operator="greaterThan" stopIfTrue="1">
      <formula>$E$77*0.1</formula>
    </cfRule>
  </conditionalFormatting>
  <conditionalFormatting sqref="E80">
    <cfRule type="cellIs" priority="4" dxfId="338" operator="greaterThan" stopIfTrue="1">
      <formula>$E$77/0.95-$E$77</formula>
    </cfRule>
  </conditionalFormatting>
  <conditionalFormatting sqref="E33">
    <cfRule type="cellIs" priority="5" dxfId="338" operator="greaterThan" stopIfTrue="1">
      <formula>$E$35*0.1</formula>
    </cfRule>
  </conditionalFormatting>
  <conditionalFormatting sqref="E38">
    <cfRule type="cellIs" priority="6" dxfId="338" operator="greaterThan" stopIfTrue="1">
      <formula>$E$35/0.95-$E$35</formula>
    </cfRule>
  </conditionalFormatting>
  <conditionalFormatting sqref="C33">
    <cfRule type="cellIs" priority="7" dxfId="0" operator="greaterThan" stopIfTrue="1">
      <formula>$C$35*0.1</formula>
    </cfRule>
  </conditionalFormatting>
  <conditionalFormatting sqref="D33">
    <cfRule type="cellIs" priority="8" dxfId="0" operator="greaterThan" stopIfTrue="1">
      <formula>$D$35*0.1</formula>
    </cfRule>
  </conditionalFormatting>
  <conditionalFormatting sqref="D35">
    <cfRule type="cellIs" priority="9" dxfId="0" operator="greaterThan" stopIfTrue="1">
      <formula>$D$37</formula>
    </cfRule>
  </conditionalFormatting>
  <conditionalFormatting sqref="C35">
    <cfRule type="cellIs" priority="10" dxfId="0" operator="greaterThan" stopIfTrue="1">
      <formula>$C$37</formula>
    </cfRule>
  </conditionalFormatting>
  <conditionalFormatting sqref="C36 C78">
    <cfRule type="cellIs" priority="11" dxfId="0" operator="lessThan" stopIfTrue="1">
      <formula>0</formula>
    </cfRule>
  </conditionalFormatting>
  <conditionalFormatting sqref="C75">
    <cfRule type="cellIs" priority="12" dxfId="0" operator="greaterThan" stopIfTrue="1">
      <formula>$C$77*0.1</formula>
    </cfRule>
  </conditionalFormatting>
  <conditionalFormatting sqref="D75">
    <cfRule type="cellIs" priority="13" dxfId="0" operator="greaterThan" stopIfTrue="1">
      <formula>$D$77*0.1</formula>
    </cfRule>
  </conditionalFormatting>
  <conditionalFormatting sqref="D77">
    <cfRule type="cellIs" priority="14" dxfId="0" operator="greaterThan" stopIfTrue="1">
      <formula>$D$79</formula>
    </cfRule>
  </conditionalFormatting>
  <conditionalFormatting sqref="C77">
    <cfRule type="cellIs" priority="15" dxfId="0" operator="greaterThan" stopIfTrue="1">
      <formula>$C$79</formula>
    </cfRule>
  </conditionalFormatting>
  <conditionalFormatting sqref="D21">
    <cfRule type="cellIs" priority="16" dxfId="0" operator="greaterThan" stopIfTrue="1">
      <formula>$D$23*0.1</formula>
    </cfRule>
  </conditionalFormatting>
  <conditionalFormatting sqref="C21">
    <cfRule type="cellIs" priority="17" dxfId="0" operator="greaterThan" stopIfTrue="1">
      <formula>$C$23*0.1</formula>
    </cfRule>
  </conditionalFormatting>
  <conditionalFormatting sqref="D63">
    <cfRule type="cellIs" priority="18" dxfId="0" operator="greaterThan" stopIfTrue="1">
      <formula>$D$65*0.1</formula>
    </cfRule>
  </conditionalFormatting>
  <conditionalFormatting sqref="C63">
    <cfRule type="cellIs" priority="19" dxfId="0" operator="greaterThan" stopIfTrue="1">
      <formula>$C$65*0.1</formula>
    </cfRule>
  </conditionalFormatting>
  <conditionalFormatting sqref="E63">
    <cfRule type="cellIs" priority="20" dxfId="338" operator="greaterThan" stopIfTrue="1">
      <formula>$E$65*0.1+E84</formula>
    </cfRule>
  </conditionalFormatting>
  <conditionalFormatting sqref="E21">
    <cfRule type="cellIs" priority="21" dxfId="338" operator="greaterThan" stopIfTrue="1">
      <formula>$E$23*0.1+E42</formula>
    </cfRule>
  </conditionalFormatting>
  <conditionalFormatting sqref="D78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I92" sqref="I92"/>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8.8984375" style="41" customWidth="1"/>
    <col min="7" max="7" width="10.19921875" style="41" customWidth="1"/>
    <col min="8" max="8" width="8.8984375" style="41" customWidth="1"/>
    <col min="9" max="9" width="5.3984375" style="41" customWidth="1"/>
    <col min="10" max="10" width="10" style="41" customWidth="1"/>
    <col min="11" max="16384" width="8.8984375" style="41" customWidth="1"/>
  </cols>
  <sheetData>
    <row r="1" spans="2:5" ht="15.75">
      <c r="B1" s="161">
        <f>(inputPrYr!D3)</f>
        <v>0</v>
      </c>
      <c r="C1" s="43"/>
      <c r="D1" s="43"/>
      <c r="E1" s="212">
        <f>inputPrYr!C6</f>
        <v>0</v>
      </c>
    </row>
    <row r="2" spans="2:5" ht="15.75">
      <c r="B2" s="43"/>
      <c r="C2" s="43"/>
      <c r="D2" s="43"/>
      <c r="E2" s="135"/>
    </row>
    <row r="3" spans="2:5" ht="15.75">
      <c r="B3" s="213" t="s">
        <v>168</v>
      </c>
      <c r="C3" s="165"/>
      <c r="D3" s="165"/>
      <c r="E3" s="251"/>
    </row>
    <row r="4" spans="2:5" ht="15.75">
      <c r="B4" s="44" t="s">
        <v>101</v>
      </c>
      <c r="C4" s="663" t="s">
        <v>892</v>
      </c>
      <c r="D4" s="664" t="s">
        <v>893</v>
      </c>
      <c r="E4" s="111" t="s">
        <v>894</v>
      </c>
    </row>
    <row r="5" spans="2:5" ht="15.75">
      <c r="B5" s="489">
        <f>inputPrYr!B26</f>
        <v>0</v>
      </c>
      <c r="C5" s="189" t="str">
        <f>CONCATENATE("Actual for ",E1-2,"")</f>
        <v>Actual for -2</v>
      </c>
      <c r="D5" s="189" t="str">
        <f>CONCATENATE("Estimate for ",E1-1,"")</f>
        <v>Estimate for -1</v>
      </c>
      <c r="E5" s="172" t="str">
        <f>CONCATENATE("Year for ",E1,"")</f>
        <v>Year for 0</v>
      </c>
    </row>
    <row r="6" spans="2:5" ht="15.75">
      <c r="B6" s="216" t="s">
        <v>210</v>
      </c>
      <c r="C6" s="221"/>
      <c r="D6" s="219">
        <f>C36</f>
        <v>0</v>
      </c>
      <c r="E6" s="192">
        <f>D36</f>
        <v>0</v>
      </c>
    </row>
    <row r="7" spans="2:5" ht="15.75">
      <c r="B7" s="220" t="s">
        <v>212</v>
      </c>
      <c r="C7" s="126"/>
      <c r="D7" s="126"/>
      <c r="E7" s="69"/>
    </row>
    <row r="8" spans="2:5" ht="15.75">
      <c r="B8" s="117" t="s">
        <v>102</v>
      </c>
      <c r="C8" s="221"/>
      <c r="D8" s="219">
        <f>IF(inputPrYr!H17&gt;0,inputPrYr!G26,inputPrYr!E26)</f>
        <v>0</v>
      </c>
      <c r="E8" s="249" t="s">
        <v>91</v>
      </c>
    </row>
    <row r="9" spans="2:5" ht="15.75">
      <c r="B9" s="117" t="s">
        <v>103</v>
      </c>
      <c r="C9" s="221"/>
      <c r="D9" s="221"/>
      <c r="E9" s="54"/>
    </row>
    <row r="10" spans="2:5" ht="15.75">
      <c r="B10" s="117" t="s">
        <v>104</v>
      </c>
      <c r="C10" s="221"/>
      <c r="D10" s="221"/>
      <c r="E10" s="192" t="str">
        <f>mvalloc!D14</f>
        <v>  </v>
      </c>
    </row>
    <row r="11" spans="2:5" ht="15.75">
      <c r="B11" s="117" t="s">
        <v>105</v>
      </c>
      <c r="C11" s="221"/>
      <c r="D11" s="221"/>
      <c r="E11" s="192" t="str">
        <f>mvalloc!E14</f>
        <v> </v>
      </c>
    </row>
    <row r="12" spans="2:5" ht="15.75">
      <c r="B12" s="126" t="s">
        <v>199</v>
      </c>
      <c r="C12" s="221"/>
      <c r="D12" s="221"/>
      <c r="E12" s="192" t="str">
        <f>mvalloc!F14</f>
        <v> </v>
      </c>
    </row>
    <row r="13" spans="2:5" ht="15.75">
      <c r="B13" s="793" t="s">
        <v>1020</v>
      </c>
      <c r="C13" s="221"/>
      <c r="D13" s="221"/>
      <c r="E13" s="192" t="str">
        <f>mvalloc!G14</f>
        <v> </v>
      </c>
    </row>
    <row r="14" spans="2:5" ht="15.75">
      <c r="B14" s="793" t="s">
        <v>1021</v>
      </c>
      <c r="C14" s="221"/>
      <c r="D14" s="221"/>
      <c r="E14" s="192" t="str">
        <f>mvalloc!H14</f>
        <v> </v>
      </c>
    </row>
    <row r="15" spans="2:5" ht="15.75">
      <c r="B15" s="237"/>
      <c r="C15" s="221"/>
      <c r="D15" s="221"/>
      <c r="E15" s="54"/>
    </row>
    <row r="16" spans="2:5" ht="15.75">
      <c r="B16" s="237"/>
      <c r="C16" s="221"/>
      <c r="D16" s="221"/>
      <c r="E16" s="54"/>
    </row>
    <row r="17" spans="2:5" ht="15.75">
      <c r="B17" s="237"/>
      <c r="C17" s="221"/>
      <c r="D17" s="221"/>
      <c r="E17" s="54"/>
    </row>
    <row r="18" spans="2:10" ht="15.75">
      <c r="B18" s="237"/>
      <c r="C18" s="221"/>
      <c r="D18" s="221"/>
      <c r="E18" s="54"/>
      <c r="G18" s="906" t="str">
        <f>CONCATENATE("Desired Carryover Into ",E1+1,"")</f>
        <v>Desired Carryover Into 1</v>
      </c>
      <c r="H18" s="898"/>
      <c r="I18" s="898"/>
      <c r="J18" s="899"/>
    </row>
    <row r="19" spans="2:10" ht="15.75">
      <c r="B19" s="225" t="s">
        <v>109</v>
      </c>
      <c r="C19" s="221"/>
      <c r="D19" s="221"/>
      <c r="E19" s="54"/>
      <c r="G19" s="600"/>
      <c r="H19" s="601"/>
      <c r="I19" s="602"/>
      <c r="J19" s="603"/>
    </row>
    <row r="20" spans="2:10" ht="15.75">
      <c r="B20" s="238" t="s">
        <v>12</v>
      </c>
      <c r="C20" s="221"/>
      <c r="D20" s="221"/>
      <c r="E20" s="839">
        <f>nhood!E13*-1</f>
        <v>0</v>
      </c>
      <c r="G20" s="604" t="s">
        <v>722</v>
      </c>
      <c r="H20" s="602"/>
      <c r="I20" s="602"/>
      <c r="J20" s="605">
        <v>0</v>
      </c>
    </row>
    <row r="21" spans="2:10" ht="15.75">
      <c r="B21" s="126" t="s">
        <v>13</v>
      </c>
      <c r="C21" s="221"/>
      <c r="D21" s="221"/>
      <c r="E21" s="54"/>
      <c r="G21" s="600" t="s">
        <v>723</v>
      </c>
      <c r="H21" s="601"/>
      <c r="I21" s="601"/>
      <c r="J21" s="606">
        <f>IF(J20=0,"",ROUND((J20+E42-G33)/inputOth!E7*1000,3)-G38)</f>
      </c>
    </row>
    <row r="22" spans="2:10" ht="15.75">
      <c r="B22" s="216" t="s">
        <v>734</v>
      </c>
      <c r="C22" s="226">
        <f>IF(C23*0.1&lt;C21,"Exceed 10% Rule","")</f>
      </c>
      <c r="D22" s="226">
        <f>IF(D23*0.1&lt;D21,"Exceed 10% Rule","")</f>
      </c>
      <c r="E22" s="262">
        <f>IF(E23*0.1+E42&lt;E21,"Exceed 10% Rule","")</f>
      </c>
      <c r="G22" s="607" t="str">
        <f>CONCATENATE("",E1," Tot Exp/Non-Appr Must Be:")</f>
        <v>0 Tot Exp/Non-Appr Must Be:</v>
      </c>
      <c r="H22" s="608"/>
      <c r="I22" s="609"/>
      <c r="J22" s="610">
        <f>IF(J20&gt;0,IF(E39&lt;E24,IF(J20=G33,E39,((J20-G33)*(1-D41))+E24),E39+(J20-G33)),0)</f>
        <v>0</v>
      </c>
    </row>
    <row r="23" spans="2:10" ht="15.75">
      <c r="B23" s="228" t="s">
        <v>110</v>
      </c>
      <c r="C23" s="230">
        <f>SUM(C8:C21)</f>
        <v>0</v>
      </c>
      <c r="D23" s="230">
        <f>SUM(D8:D21)</f>
        <v>0</v>
      </c>
      <c r="E23" s="231">
        <f>SUM(E8:E21)</f>
        <v>0</v>
      </c>
      <c r="G23" s="611" t="s">
        <v>835</v>
      </c>
      <c r="H23" s="612"/>
      <c r="I23" s="612"/>
      <c r="J23" s="613">
        <f>IF(J20&gt;0,J22-E40,0)</f>
        <v>0</v>
      </c>
    </row>
    <row r="24" spans="2:10" ht="15.75">
      <c r="B24" s="228" t="s">
        <v>111</v>
      </c>
      <c r="C24" s="230">
        <f>C6+C23</f>
        <v>0</v>
      </c>
      <c r="D24" s="230">
        <f>D6+D23</f>
        <v>0</v>
      </c>
      <c r="E24" s="231">
        <f>E6+E23</f>
        <v>0</v>
      </c>
      <c r="J24" s="2"/>
    </row>
    <row r="25" spans="2:10" ht="15.75">
      <c r="B25" s="117" t="s">
        <v>113</v>
      </c>
      <c r="C25" s="238"/>
      <c r="D25" s="238"/>
      <c r="E25" s="53"/>
      <c r="G25" s="906" t="str">
        <f>CONCATENATE("Projected Carryover Into ",E1+1,"")</f>
        <v>Projected Carryover Into 1</v>
      </c>
      <c r="H25" s="910"/>
      <c r="I25" s="910"/>
      <c r="J25" s="908"/>
    </row>
    <row r="26" spans="2:10" ht="15.75">
      <c r="B26" s="237"/>
      <c r="C26" s="221"/>
      <c r="D26" s="221"/>
      <c r="E26" s="54"/>
      <c r="G26" s="600"/>
      <c r="H26" s="602"/>
      <c r="I26" s="602"/>
      <c r="J26" s="615"/>
    </row>
    <row r="27" spans="2:10" ht="15.75">
      <c r="B27" s="237"/>
      <c r="C27" s="221"/>
      <c r="D27" s="221"/>
      <c r="E27" s="54"/>
      <c r="G27" s="616">
        <f>D36</f>
        <v>0</v>
      </c>
      <c r="H27" s="583" t="str">
        <f>CONCATENATE("",E1-1," Ending Cash Balance (est.)")</f>
        <v>-1 Ending Cash Balance (est.)</v>
      </c>
      <c r="I27" s="617"/>
      <c r="J27" s="615"/>
    </row>
    <row r="28" spans="2:10" ht="15.75">
      <c r="B28" s="237"/>
      <c r="C28" s="221"/>
      <c r="D28" s="221"/>
      <c r="E28" s="54"/>
      <c r="G28" s="616">
        <f>E23</f>
        <v>0</v>
      </c>
      <c r="H28" s="602" t="str">
        <f>CONCATENATE("",E1," Non-AV Receipts (est.)")</f>
        <v>0 Non-AV Receipts (est.)</v>
      </c>
      <c r="I28" s="617"/>
      <c r="J28" s="615"/>
    </row>
    <row r="29" spans="2:11" ht="15.75">
      <c r="B29" s="237"/>
      <c r="C29" s="221"/>
      <c r="D29" s="221"/>
      <c r="E29" s="54"/>
      <c r="G29" s="618">
        <f>IF(E41&gt;0,E40,E42)</f>
        <v>0</v>
      </c>
      <c r="H29" s="602" t="str">
        <f>CONCATENATE("",E1," Ad Valorem Tax (est.)")</f>
        <v>0 Ad Valorem Tax (est.)</v>
      </c>
      <c r="I29" s="617"/>
      <c r="J29" s="596"/>
      <c r="K29" s="592">
        <f>IF(G29=E42,"","Note: Does not include Delinquent Taxes")</f>
      </c>
    </row>
    <row r="30" spans="2:10" ht="15.75">
      <c r="B30" s="237"/>
      <c r="C30" s="221"/>
      <c r="D30" s="221"/>
      <c r="E30" s="54"/>
      <c r="G30" s="616">
        <f>SUM(G27:G29)</f>
        <v>0</v>
      </c>
      <c r="H30" s="602" t="str">
        <f>CONCATENATE("Total ",E1," Resources Available")</f>
        <v>Total 0 Resources Available</v>
      </c>
      <c r="I30" s="617"/>
      <c r="J30" s="615"/>
    </row>
    <row r="31" spans="2:10" ht="15.75">
      <c r="B31" s="237"/>
      <c r="C31" s="221"/>
      <c r="D31" s="221"/>
      <c r="E31" s="54"/>
      <c r="G31" s="653"/>
      <c r="H31" s="602"/>
      <c r="I31" s="602"/>
      <c r="J31" s="615"/>
    </row>
    <row r="32" spans="2:10" ht="15.75">
      <c r="B32" s="238" t="str">
        <f>CONCATENATE("Cash Forward (",E1," column)")</f>
        <v>Cash Forward (0 column)</v>
      </c>
      <c r="C32" s="221"/>
      <c r="D32" s="221"/>
      <c r="E32" s="54"/>
      <c r="G32" s="618">
        <f>ROUND(C35*0.05+C35,0)</f>
        <v>0</v>
      </c>
      <c r="H32" s="602" t="str">
        <f>CONCATENATE("Less ",E1-2," Expenditures + 5%")</f>
        <v>Less -2 Expenditures + 5%</v>
      </c>
      <c r="I32" s="617"/>
      <c r="J32" s="615"/>
    </row>
    <row r="33" spans="2:10" ht="15.75">
      <c r="B33" s="238" t="s">
        <v>13</v>
      </c>
      <c r="C33" s="221"/>
      <c r="D33" s="221"/>
      <c r="E33" s="54"/>
      <c r="G33" s="654">
        <f>G30-G32</f>
        <v>0</v>
      </c>
      <c r="H33" s="655" t="str">
        <f>CONCATENATE("Projected ",E1+1," carryover (est.)")</f>
        <v>Projected 1 carryover (est.)</v>
      </c>
      <c r="I33" s="656"/>
      <c r="J33" s="628"/>
    </row>
    <row r="34" spans="2:10" ht="15.75">
      <c r="B34" s="238" t="s">
        <v>735</v>
      </c>
      <c r="C34" s="226">
        <f>IF(C35*0.1&lt;C33,"Exceed 10% Rule","")</f>
      </c>
      <c r="D34" s="226">
        <f>IF(D35*0.1&lt;D33,"Exceed 10% Rule","")</f>
      </c>
      <c r="E34" s="262">
        <f>IF(E35*0.1&lt;E33,"Exceed 10% Rule","")</f>
      </c>
      <c r="G34" s="2"/>
      <c r="H34" s="2"/>
      <c r="I34" s="2"/>
      <c r="J34" s="2"/>
    </row>
    <row r="35" spans="2:10" ht="15.75">
      <c r="B35" s="228" t="s">
        <v>117</v>
      </c>
      <c r="C35" s="230">
        <f>SUM(C26:C33)</f>
        <v>0</v>
      </c>
      <c r="D35" s="230">
        <f>SUM(D26:D33)</f>
        <v>0</v>
      </c>
      <c r="E35" s="231">
        <f>SUM(E26:E33)</f>
        <v>0</v>
      </c>
      <c r="G35" s="900" t="s">
        <v>834</v>
      </c>
      <c r="H35" s="901"/>
      <c r="I35" s="901"/>
      <c r="J35" s="902"/>
    </row>
    <row r="36" spans="2:10" ht="15.75">
      <c r="B36" s="117" t="s">
        <v>211</v>
      </c>
      <c r="C36" s="234">
        <f>C24-C35</f>
        <v>0</v>
      </c>
      <c r="D36" s="234">
        <f>D24-D35</f>
        <v>0</v>
      </c>
      <c r="E36" s="249" t="s">
        <v>91</v>
      </c>
      <c r="G36" s="582"/>
      <c r="H36" s="583"/>
      <c r="I36" s="584"/>
      <c r="J36" s="585"/>
    </row>
    <row r="37" spans="2:10" ht="15.75">
      <c r="B37" s="137" t="str">
        <f>CONCATENATE("",E1-2,"/",E1-1,"/",E1," Budget Authority Amount:")</f>
        <v>-2/-1/0 Budget Authority Amount:</v>
      </c>
      <c r="C37" s="669">
        <f>inputOth!B69</f>
        <v>0</v>
      </c>
      <c r="D37" s="669">
        <f>inputPrYr!D26</f>
        <v>0</v>
      </c>
      <c r="E37" s="192">
        <f>E35</f>
        <v>0</v>
      </c>
      <c r="F37" s="239"/>
      <c r="G37" s="586" t="str">
        <f>summ!H22</f>
        <v>  </v>
      </c>
      <c r="H37" s="583" t="str">
        <f>CONCATENATE("",E1," Fund Mill Rate")</f>
        <v>0 Fund Mill Rate</v>
      </c>
      <c r="I37" s="584"/>
      <c r="J37" s="585"/>
    </row>
    <row r="38" spans="2:10" ht="15.75">
      <c r="B38" s="103"/>
      <c r="C38" s="892" t="s">
        <v>623</v>
      </c>
      <c r="D38" s="893"/>
      <c r="E38" s="54"/>
      <c r="F38" s="687">
        <f>IF(E35/0.95-E35&lt;E38,"Exceeds 5%","")</f>
      </c>
      <c r="G38" s="587" t="str">
        <f>summ!E22</f>
        <v>  </v>
      </c>
      <c r="H38" s="583" t="str">
        <f>CONCATENATE("",E1-1," Fund Mill Rate")</f>
        <v>-1 Fund Mill Rate</v>
      </c>
      <c r="I38" s="584"/>
      <c r="J38" s="585"/>
    </row>
    <row r="39" spans="2:10" ht="15.75">
      <c r="B39" s="485" t="str">
        <f>CONCATENATE(C98,"     ",D98)</f>
        <v>     </v>
      </c>
      <c r="C39" s="894" t="s">
        <v>624</v>
      </c>
      <c r="D39" s="895"/>
      <c r="E39" s="192">
        <f>E35+E38</f>
        <v>0</v>
      </c>
      <c r="G39" s="588">
        <f>summ!H52</f>
        <v>0</v>
      </c>
      <c r="H39" s="583" t="str">
        <f>CONCATENATE("Total ",E1," Mill Rate")</f>
        <v>Total 0 Mill Rate</v>
      </c>
      <c r="I39" s="584"/>
      <c r="J39" s="585"/>
    </row>
    <row r="40" spans="2:10" ht="15.75">
      <c r="B40" s="485" t="str">
        <f>CONCATENATE(C99,"     ",D99)</f>
        <v>     </v>
      </c>
      <c r="C40" s="240"/>
      <c r="D40" s="135" t="s">
        <v>118</v>
      </c>
      <c r="E40" s="67">
        <f>IF(E39-E24&gt;0,E39-E24,0)</f>
        <v>0</v>
      </c>
      <c r="G40" s="587">
        <f>summ!E52</f>
        <v>0</v>
      </c>
      <c r="H40" s="589" t="str">
        <f>CONCATENATE("Total ",E1-1," Mill Rate")</f>
        <v>Total -1 Mill Rate</v>
      </c>
      <c r="I40" s="590"/>
      <c r="J40" s="591"/>
    </row>
    <row r="41" spans="2:5" ht="15.75">
      <c r="B41" s="135"/>
      <c r="C41" s="346" t="s">
        <v>622</v>
      </c>
      <c r="D41" s="677">
        <f>inputOth!$E$49</f>
        <v>0</v>
      </c>
      <c r="E41" s="192">
        <f>ROUND(IF(D41&gt;0,(E40*D41),0),0)</f>
        <v>0</v>
      </c>
    </row>
    <row r="42" spans="2:10" ht="16.5" thickBot="1">
      <c r="B42" s="74"/>
      <c r="C42" s="896" t="str">
        <f>CONCATENATE("Amount of  ",$E$1-1," Ad Valorem Tax")</f>
        <v>Amount of  -1 Ad Valorem Tax</v>
      </c>
      <c r="D42" s="897"/>
      <c r="E42" s="599">
        <f>E40+E41</f>
        <v>0</v>
      </c>
      <c r="G42" s="808"/>
      <c r="H42" s="827"/>
      <c r="I42" s="807"/>
      <c r="J42" s="826"/>
    </row>
    <row r="43" spans="2:10" ht="16.5" thickTop="1">
      <c r="B43" s="43"/>
      <c r="C43" s="74"/>
      <c r="D43" s="74"/>
      <c r="E43" s="43"/>
      <c r="G43" s="806" t="str">
        <f>CONCATENATE("Computed ",E1," tax levy limit amount")</f>
        <v>Computed 0 tax levy limit amount</v>
      </c>
      <c r="H43" s="797"/>
      <c r="I43" s="797"/>
      <c r="J43" s="803">
        <f>computation!J47</f>
        <v>0</v>
      </c>
    </row>
    <row r="44" spans="2:10" ht="15.75">
      <c r="B44" s="44"/>
      <c r="C44" s="252"/>
      <c r="D44" s="252"/>
      <c r="E44" s="252"/>
      <c r="G44" s="804" t="str">
        <f>CONCATENATE("Total ",E1," tax levy amount")</f>
        <v>Total 0 tax levy amount</v>
      </c>
      <c r="H44" s="579"/>
      <c r="I44" s="579"/>
      <c r="J44" s="802">
        <f>summ!G52</f>
        <v>0</v>
      </c>
    </row>
    <row r="45" spans="2:5" ht="15.75">
      <c r="B45" s="44" t="s">
        <v>101</v>
      </c>
      <c r="C45" s="663" t="s">
        <v>892</v>
      </c>
      <c r="D45" s="664" t="s">
        <v>893</v>
      </c>
      <c r="E45" s="111" t="s">
        <v>894</v>
      </c>
    </row>
    <row r="46" spans="2:5" ht="15.75">
      <c r="B46" s="489">
        <f>inputPrYr!B27</f>
        <v>0</v>
      </c>
      <c r="C46" s="189" t="str">
        <f>CONCATENATE("Actual for ",E1-2,"")</f>
        <v>Actual for -2</v>
      </c>
      <c r="D46" s="189" t="str">
        <f>CONCATENATE("Estimate for ",E1-1,"")</f>
        <v>Estimate for -1</v>
      </c>
      <c r="E46" s="172" t="str">
        <f>CONCATENATE("Year for ",E1,"")</f>
        <v>Year for 0</v>
      </c>
    </row>
    <row r="47" spans="2:5" ht="15.75">
      <c r="B47" s="216" t="s">
        <v>210</v>
      </c>
      <c r="C47" s="221"/>
      <c r="D47" s="219">
        <f>C78</f>
        <v>0</v>
      </c>
      <c r="E47" s="192">
        <f>D78</f>
        <v>0</v>
      </c>
    </row>
    <row r="48" spans="2:5" ht="15.75">
      <c r="B48" s="220" t="s">
        <v>212</v>
      </c>
      <c r="C48" s="126"/>
      <c r="D48" s="126"/>
      <c r="E48" s="69"/>
    </row>
    <row r="49" spans="2:5" ht="15.75">
      <c r="B49" s="117" t="s">
        <v>102</v>
      </c>
      <c r="C49" s="221"/>
      <c r="D49" s="219">
        <f>IF(inputPrYr!H17&gt;0,inputPrYr!G27,inputPrYr!E27)</f>
        <v>0</v>
      </c>
      <c r="E49" s="249" t="s">
        <v>91</v>
      </c>
    </row>
    <row r="50" spans="2:5" ht="15.75">
      <c r="B50" s="117" t="s">
        <v>103</v>
      </c>
      <c r="C50" s="221"/>
      <c r="D50" s="221"/>
      <c r="E50" s="54"/>
    </row>
    <row r="51" spans="2:5" ht="15.75">
      <c r="B51" s="117" t="s">
        <v>104</v>
      </c>
      <c r="C51" s="221"/>
      <c r="D51" s="221"/>
      <c r="E51" s="192" t="str">
        <f>mvalloc!D15</f>
        <v>  </v>
      </c>
    </row>
    <row r="52" spans="2:5" ht="15.75">
      <c r="B52" s="117" t="s">
        <v>105</v>
      </c>
      <c r="C52" s="221"/>
      <c r="D52" s="221"/>
      <c r="E52" s="192" t="str">
        <f>mvalloc!E15</f>
        <v> </v>
      </c>
    </row>
    <row r="53" spans="2:5" ht="15.75">
      <c r="B53" s="126" t="s">
        <v>199</v>
      </c>
      <c r="C53" s="221"/>
      <c r="D53" s="221"/>
      <c r="E53" s="192" t="str">
        <f>mvalloc!F15</f>
        <v> </v>
      </c>
    </row>
    <row r="54" spans="2:5" ht="15.75">
      <c r="B54" s="793" t="s">
        <v>1020</v>
      </c>
      <c r="C54" s="221"/>
      <c r="D54" s="221"/>
      <c r="E54" s="192" t="str">
        <f>mvalloc!G15</f>
        <v> </v>
      </c>
    </row>
    <row r="55" spans="2:5" ht="15.75">
      <c r="B55" s="793" t="s">
        <v>1021</v>
      </c>
      <c r="C55" s="221"/>
      <c r="D55" s="221"/>
      <c r="E55" s="192" t="str">
        <f>mvalloc!H15</f>
        <v> </v>
      </c>
    </row>
    <row r="56" spans="2:5" ht="15.75">
      <c r="B56" s="237"/>
      <c r="C56" s="221"/>
      <c r="D56" s="221"/>
      <c r="E56" s="54"/>
    </row>
    <row r="57" spans="2:5" ht="15.75">
      <c r="B57" s="237"/>
      <c r="C57" s="221"/>
      <c r="D57" s="221"/>
      <c r="E57" s="54"/>
    </row>
    <row r="58" spans="2:5" ht="15.75">
      <c r="B58" s="237"/>
      <c r="C58" s="221"/>
      <c r="D58" s="221"/>
      <c r="E58" s="54"/>
    </row>
    <row r="59" spans="2:5" ht="15.75">
      <c r="B59" s="237"/>
      <c r="C59" s="221"/>
      <c r="D59" s="221"/>
      <c r="E59" s="54"/>
    </row>
    <row r="60" spans="2:10" ht="15.75">
      <c r="B60" s="237"/>
      <c r="C60" s="221"/>
      <c r="D60" s="221"/>
      <c r="E60" s="54"/>
      <c r="G60" s="906" t="str">
        <f>CONCATENATE("Desired Carryover Into ",E1+1,"")</f>
        <v>Desired Carryover Into 1</v>
      </c>
      <c r="H60" s="898"/>
      <c r="I60" s="898"/>
      <c r="J60" s="899"/>
    </row>
    <row r="61" spans="2:10" ht="15.75">
      <c r="B61" s="225" t="s">
        <v>109</v>
      </c>
      <c r="C61" s="221"/>
      <c r="D61" s="221"/>
      <c r="E61" s="54"/>
      <c r="G61" s="600"/>
      <c r="H61" s="601"/>
      <c r="I61" s="602"/>
      <c r="J61" s="603"/>
    </row>
    <row r="62" spans="2:10" ht="15.75">
      <c r="B62" s="238" t="s">
        <v>12</v>
      </c>
      <c r="C62" s="221"/>
      <c r="D62" s="221"/>
      <c r="E62" s="839">
        <f>nhood!E14*-1</f>
        <v>0</v>
      </c>
      <c r="G62" s="604" t="s">
        <v>722</v>
      </c>
      <c r="H62" s="602"/>
      <c r="I62" s="602"/>
      <c r="J62" s="605">
        <v>0</v>
      </c>
    </row>
    <row r="63" spans="2:10" ht="15.75">
      <c r="B63" s="126" t="s">
        <v>13</v>
      </c>
      <c r="C63" s="221"/>
      <c r="D63" s="221"/>
      <c r="E63" s="54"/>
      <c r="G63" s="600" t="s">
        <v>723</v>
      </c>
      <c r="H63" s="601"/>
      <c r="I63" s="601"/>
      <c r="J63" s="606">
        <f>IF(J62=0,"",ROUND((J62+E84-G75)/inputOth!E7*1000,3)-G80)</f>
      </c>
    </row>
    <row r="64" spans="2:10" ht="15.75">
      <c r="B64" s="216" t="s">
        <v>734</v>
      </c>
      <c r="C64" s="226">
        <f>IF(C65*0.1&lt;C63,"Exceed 10% Rule","")</f>
      </c>
      <c r="D64" s="226">
        <f>IF(D65*0.1&lt;D63,"Exceed 10% Rule","")</f>
      </c>
      <c r="E64" s="262">
        <f>IF(E65*0.1+E84&lt;E63,"Exceed 10% Rule","")</f>
      </c>
      <c r="G64" s="607" t="str">
        <f>CONCATENATE("",E1," Tot Exp/Non-Appr Must Be:")</f>
        <v>0 Tot Exp/Non-Appr Must Be:</v>
      </c>
      <c r="H64" s="608"/>
      <c r="I64" s="609"/>
      <c r="J64" s="610">
        <f>IF(J62&gt;0,IF(E81&lt;E66,IF(J62=G75,E81,((J62-G75)*(1-D83))+E66),E81+(J62-G75)),0)</f>
        <v>0</v>
      </c>
    </row>
    <row r="65" spans="2:10" ht="15.75">
      <c r="B65" s="228" t="s">
        <v>110</v>
      </c>
      <c r="C65" s="230">
        <f>SUM(C49:C63)</f>
        <v>0</v>
      </c>
      <c r="D65" s="230">
        <f>SUM(D49:D63)</f>
        <v>0</v>
      </c>
      <c r="E65" s="231">
        <f>SUM(E49:E63)</f>
        <v>0</v>
      </c>
      <c r="G65" s="611" t="s">
        <v>835</v>
      </c>
      <c r="H65" s="612"/>
      <c r="I65" s="612"/>
      <c r="J65" s="613">
        <f>IF(J62&gt;0,J64-E81,0)</f>
        <v>0</v>
      </c>
    </row>
    <row r="66" spans="2:10" ht="15.75">
      <c r="B66" s="228" t="s">
        <v>111</v>
      </c>
      <c r="C66" s="230">
        <f>C47+C65</f>
        <v>0</v>
      </c>
      <c r="D66" s="230">
        <f>D47+D65</f>
        <v>0</v>
      </c>
      <c r="E66" s="231">
        <f>E47+E65</f>
        <v>0</v>
      </c>
      <c r="J66" s="2"/>
    </row>
    <row r="67" spans="2:10" ht="15.75">
      <c r="B67" s="117" t="s">
        <v>113</v>
      </c>
      <c r="C67" s="238"/>
      <c r="D67" s="238"/>
      <c r="E67" s="53"/>
      <c r="G67" s="906" t="str">
        <f>CONCATENATE("Projected Carryover Into ",E1+1,"")</f>
        <v>Projected Carryover Into 1</v>
      </c>
      <c r="H67" s="907"/>
      <c r="I67" s="907"/>
      <c r="J67" s="908"/>
    </row>
    <row r="68" spans="2:10" ht="15.75">
      <c r="B68" s="237"/>
      <c r="C68" s="221"/>
      <c r="D68" s="221"/>
      <c r="E68" s="54"/>
      <c r="G68" s="614"/>
      <c r="H68" s="601"/>
      <c r="I68" s="601"/>
      <c r="J68" s="621"/>
    </row>
    <row r="69" spans="2:10" ht="15.75">
      <c r="B69" s="237"/>
      <c r="C69" s="221"/>
      <c r="D69" s="221"/>
      <c r="E69" s="54"/>
      <c r="G69" s="616">
        <f>D78</f>
        <v>0</v>
      </c>
      <c r="H69" s="583" t="str">
        <f>CONCATENATE("",E1-1," Ending Cash Balance (est.)")</f>
        <v>-1 Ending Cash Balance (est.)</v>
      </c>
      <c r="I69" s="617"/>
      <c r="J69" s="621"/>
    </row>
    <row r="70" spans="2:10" ht="15.75">
      <c r="B70" s="237"/>
      <c r="C70" s="221"/>
      <c r="D70" s="221"/>
      <c r="E70" s="54"/>
      <c r="G70" s="616">
        <f>E65</f>
        <v>0</v>
      </c>
      <c r="H70" s="602" t="str">
        <f>CONCATENATE("",E1," Non-AV Receipts (est.)")</f>
        <v>0 Non-AV Receipts (est.)</v>
      </c>
      <c r="I70" s="617"/>
      <c r="J70" s="621"/>
    </row>
    <row r="71" spans="2:11" ht="15.75">
      <c r="B71" s="237"/>
      <c r="C71" s="221"/>
      <c r="D71" s="221"/>
      <c r="E71" s="54"/>
      <c r="G71" s="618">
        <f>IF(D83&gt;0,E82,E84)</f>
        <v>0</v>
      </c>
      <c r="H71" s="602" t="str">
        <f>CONCATENATE("",E1," Ad Valorem Tax (est.)")</f>
        <v>0 Ad Valorem Tax (est.)</v>
      </c>
      <c r="I71" s="617"/>
      <c r="J71" s="621"/>
      <c r="K71" s="592">
        <f>IF(G71=E84,"","Note: Does not include Delinquent Taxes")</f>
      </c>
    </row>
    <row r="72" spans="2:10" ht="15.75">
      <c r="B72" s="237"/>
      <c r="C72" s="221"/>
      <c r="D72" s="221"/>
      <c r="E72" s="54"/>
      <c r="G72" s="620">
        <f>SUM(G69:G71)</f>
        <v>0</v>
      </c>
      <c r="H72" s="602" t="str">
        <f>CONCATENATE("Total ",E1," Resources Available")</f>
        <v>Total 0 Resources Available</v>
      </c>
      <c r="I72" s="621"/>
      <c r="J72" s="621"/>
    </row>
    <row r="73" spans="2:10" ht="15.75">
      <c r="B73" s="237"/>
      <c r="C73" s="221"/>
      <c r="D73" s="221"/>
      <c r="E73" s="54"/>
      <c r="G73" s="622"/>
      <c r="H73" s="623"/>
      <c r="I73" s="601"/>
      <c r="J73" s="621"/>
    </row>
    <row r="74" spans="2:10" ht="15.75">
      <c r="B74" s="238" t="str">
        <f>CONCATENATE("Cash Forward (",E1," column)")</f>
        <v>Cash Forward (0 column)</v>
      </c>
      <c r="C74" s="221"/>
      <c r="D74" s="221"/>
      <c r="E74" s="344"/>
      <c r="G74" s="624">
        <f>ROUND(C77*0.05+C77,0)</f>
        <v>0</v>
      </c>
      <c r="H74" s="623" t="str">
        <f>CONCATENATE("Less ",E1-2," Expenditures + 5%")</f>
        <v>Less -2 Expenditures + 5%</v>
      </c>
      <c r="I74" s="621"/>
      <c r="J74" s="621"/>
    </row>
    <row r="75" spans="2:10" ht="15.75">
      <c r="B75" s="238" t="s">
        <v>13</v>
      </c>
      <c r="C75" s="221"/>
      <c r="D75" s="221"/>
      <c r="E75" s="54"/>
      <c r="G75" s="625">
        <f>G72-G74</f>
        <v>0</v>
      </c>
      <c r="H75" s="626" t="str">
        <f>CONCATENATE("Projected ",E1+1," carryover (est.)")</f>
        <v>Projected 1 carryover (est.)</v>
      </c>
      <c r="I75" s="627"/>
      <c r="J75" s="628"/>
    </row>
    <row r="76" spans="2:9" ht="15.75">
      <c r="B76" s="238" t="s">
        <v>735</v>
      </c>
      <c r="C76" s="226">
        <f>IF(C77*0.1&lt;C75,"Exceed 10% Rule","")</f>
      </c>
      <c r="D76" s="226">
        <f>IF(D77*0.1&lt;D75,"Exceed 10% Rule","")</f>
      </c>
      <c r="E76" s="262">
        <f>IF(E77*0.1&lt;E75,"Exceed 10% Rule","")</f>
      </c>
      <c r="G76" s="2"/>
      <c r="H76" s="2"/>
      <c r="I76" s="2"/>
    </row>
    <row r="77" spans="2:10" ht="15.75">
      <c r="B77" s="228" t="s">
        <v>117</v>
      </c>
      <c r="C77" s="230">
        <f>SUM(C68:C75)</f>
        <v>0</v>
      </c>
      <c r="D77" s="230">
        <f>SUM(D68:D75)</f>
        <v>0</v>
      </c>
      <c r="E77" s="231">
        <f>SUM(E68:E75)</f>
        <v>0</v>
      </c>
      <c r="G77" s="900" t="s">
        <v>834</v>
      </c>
      <c r="H77" s="901"/>
      <c r="I77" s="901"/>
      <c r="J77" s="902"/>
    </row>
    <row r="78" spans="2:10" ht="15.75">
      <c r="B78" s="117" t="s">
        <v>211</v>
      </c>
      <c r="C78" s="234">
        <f>C66-C77</f>
        <v>0</v>
      </c>
      <c r="D78" s="234">
        <f>D66-D77</f>
        <v>0</v>
      </c>
      <c r="E78" s="249" t="s">
        <v>91</v>
      </c>
      <c r="G78" s="582"/>
      <c r="H78" s="583"/>
      <c r="I78" s="584"/>
      <c r="J78" s="585"/>
    </row>
    <row r="79" spans="2:10" ht="15.75">
      <c r="B79" s="137" t="str">
        <f>CONCATENATE("",E1-2,"/",E1-1,"/",E1," Budget Authority Amount:")</f>
        <v>-2/-1/0 Budget Authority Amount:</v>
      </c>
      <c r="C79" s="669">
        <f>inputOth!B70</f>
        <v>0</v>
      </c>
      <c r="D79" s="669">
        <f>inputPrYr!D27</f>
        <v>0</v>
      </c>
      <c r="E79" s="192">
        <f>E77</f>
        <v>0</v>
      </c>
      <c r="F79" s="239"/>
      <c r="G79" s="586" t="str">
        <f>summ!H23</f>
        <v>  </v>
      </c>
      <c r="H79" s="583" t="str">
        <f>CONCATENATE("",E1," Fund Mill Rate")</f>
        <v>0 Fund Mill Rate</v>
      </c>
      <c r="I79" s="584"/>
      <c r="J79" s="585"/>
    </row>
    <row r="80" spans="2:10" ht="15.75">
      <c r="B80" s="103"/>
      <c r="C80" s="892" t="s">
        <v>623</v>
      </c>
      <c r="D80" s="893"/>
      <c r="E80" s="54"/>
      <c r="F80" s="687">
        <f>IF(E77/0.95-E77&lt;E80,"Exceeds 5%","")</f>
      </c>
      <c r="G80" s="587" t="str">
        <f>summ!E23</f>
        <v>  </v>
      </c>
      <c r="H80" s="583" t="str">
        <f>CONCATENATE("",E1-1," Fund Mill Rate")</f>
        <v>-1 Fund Mill Rate</v>
      </c>
      <c r="I80" s="584"/>
      <c r="J80" s="585"/>
    </row>
    <row r="81" spans="2:10" ht="15.75">
      <c r="B81" s="485" t="str">
        <f>CONCATENATE(C100,"     ",D100)</f>
        <v>     </v>
      </c>
      <c r="C81" s="894" t="s">
        <v>624</v>
      </c>
      <c r="D81" s="895"/>
      <c r="E81" s="192">
        <f>E77+E80</f>
        <v>0</v>
      </c>
      <c r="G81" s="588">
        <f>summ!H52</f>
        <v>0</v>
      </c>
      <c r="H81" s="583" t="str">
        <f>CONCATENATE("Total ",E1," Mill Rate")</f>
        <v>Total 0 Mill Rate</v>
      </c>
      <c r="I81" s="584"/>
      <c r="J81" s="585"/>
    </row>
    <row r="82" spans="2:10" ht="15.75">
      <c r="B82" s="485" t="str">
        <f>CONCATENATE(C101,"     ",D101)</f>
        <v>     </v>
      </c>
      <c r="C82" s="240"/>
      <c r="D82" s="135" t="s">
        <v>118</v>
      </c>
      <c r="E82" s="67">
        <f>IF(E81-E66&gt;0,E81-E66,0)</f>
        <v>0</v>
      </c>
      <c r="G82" s="587">
        <f>summ!E52</f>
        <v>0</v>
      </c>
      <c r="H82" s="589" t="str">
        <f>CONCATENATE("Total ",E1-1," Mill Rate")</f>
        <v>Total -1 Mill Rate</v>
      </c>
      <c r="I82" s="590"/>
      <c r="J82" s="591"/>
    </row>
    <row r="83" spans="2:5" ht="15.75">
      <c r="B83" s="103"/>
      <c r="C83" s="346" t="s">
        <v>622</v>
      </c>
      <c r="D83" s="677">
        <f>inputOth!$E$49</f>
        <v>0</v>
      </c>
      <c r="E83" s="192">
        <f>ROUND(IF(D83&gt;0,(E82*D83),0),0)</f>
        <v>0</v>
      </c>
    </row>
    <row r="84" spans="2:10" ht="16.5" thickBot="1">
      <c r="B84" s="135"/>
      <c r="C84" s="896" t="str">
        <f>CONCATENATE("Amount of  ",$E$1-1," Ad Valorem Tax")</f>
        <v>Amount of  -1 Ad Valorem Tax</v>
      </c>
      <c r="D84" s="897"/>
      <c r="E84" s="599">
        <f>E82+E83</f>
        <v>0</v>
      </c>
      <c r="G84" s="808"/>
      <c r="H84" s="827"/>
      <c r="I84" s="807"/>
      <c r="J84" s="826"/>
    </row>
    <row r="85" spans="2:10" ht="16.5" thickTop="1">
      <c r="B85" s="43"/>
      <c r="C85" s="43"/>
      <c r="D85" s="43"/>
      <c r="E85" s="43"/>
      <c r="G85" s="796" t="str">
        <f>CONCATENATE("Computed ",E1," tax levy limit amount")</f>
        <v>Computed 0 tax levy limit amount</v>
      </c>
      <c r="H85" s="797"/>
      <c r="I85" s="797"/>
      <c r="J85" s="803">
        <f>computation!J47</f>
        <v>0</v>
      </c>
    </row>
    <row r="86" spans="2:10" ht="15.75">
      <c r="B86" s="364" t="s">
        <v>120</v>
      </c>
      <c r="C86" s="743"/>
      <c r="D86" s="43"/>
      <c r="E86" s="43"/>
      <c r="G86" s="578" t="str">
        <f>CONCATENATE("Total ",E1," tax levy amount")</f>
        <v>Total 0 tax levy amount</v>
      </c>
      <c r="H86" s="579"/>
      <c r="I86" s="579"/>
      <c r="J86" s="802">
        <f>summ!G52</f>
        <v>0</v>
      </c>
    </row>
    <row r="87" ht="15.75">
      <c r="B87" s="135"/>
    </row>
    <row r="98" spans="3:4" ht="15.75" hidden="1">
      <c r="C98" s="484">
        <f>IF(C35&gt;C37,"See Tab A","")</f>
      </c>
      <c r="D98" s="484">
        <f>IF(D33&gt;D37,"See Tab C","")</f>
      </c>
    </row>
    <row r="99" spans="3:4" ht="15.75" hidden="1">
      <c r="C99" s="484">
        <f>IF(C36&lt;0,"See Tab B","")</f>
      </c>
      <c r="D99" s="484">
        <f>IF(D36&lt;0,"See Tab D","")</f>
      </c>
    </row>
    <row r="100" spans="3:4" ht="15.75" hidden="1">
      <c r="C100" s="484">
        <f>IF(C75&gt;C79,"See Tab A","")</f>
      </c>
      <c r="D100" s="484">
        <f>IF(D75&gt;D79,"See Tab C","")</f>
      </c>
    </row>
    <row r="101" spans="3:4" ht="15.75" hidden="1">
      <c r="C101" s="484">
        <f>IF(C78&lt;0,"See Tab B","")</f>
      </c>
      <c r="D101" s="484">
        <f>IF(D78&lt;0,"See Tab D","")</f>
      </c>
    </row>
  </sheetData>
  <sheetProtection sheet="1"/>
  <mergeCells count="12">
    <mergeCell ref="G18:J18"/>
    <mergeCell ref="G25:J25"/>
    <mergeCell ref="G35:J35"/>
    <mergeCell ref="G60:J60"/>
    <mergeCell ref="G67:J67"/>
    <mergeCell ref="G77:J77"/>
    <mergeCell ref="C38:D38"/>
    <mergeCell ref="C39:D39"/>
    <mergeCell ref="C80:D80"/>
    <mergeCell ref="C81:D81"/>
    <mergeCell ref="C84:D84"/>
    <mergeCell ref="C42:D42"/>
  </mergeCells>
  <conditionalFormatting sqref="E33">
    <cfRule type="cellIs" priority="4" dxfId="338" operator="greaterThan" stopIfTrue="1">
      <formula>$E$35*0.1</formula>
    </cfRule>
  </conditionalFormatting>
  <conditionalFormatting sqref="E38">
    <cfRule type="cellIs" priority="5" dxfId="338" operator="greaterThan" stopIfTrue="1">
      <formula>$E$35/0.95-$E$35</formula>
    </cfRule>
  </conditionalFormatting>
  <conditionalFormatting sqref="E75">
    <cfRule type="cellIs" priority="6" dxfId="338" operator="greaterThan" stopIfTrue="1">
      <formula>$E$77*0.1</formula>
    </cfRule>
  </conditionalFormatting>
  <conditionalFormatting sqref="E80">
    <cfRule type="cellIs" priority="7" dxfId="338" operator="greaterThan" stopIfTrue="1">
      <formula>$E$77/0.95-$E$77</formula>
    </cfRule>
  </conditionalFormatting>
  <conditionalFormatting sqref="C33">
    <cfRule type="cellIs" priority="8" dxfId="0" operator="greaterThan" stopIfTrue="1">
      <formula>$C$35*0.1</formula>
    </cfRule>
  </conditionalFormatting>
  <conditionalFormatting sqref="D33">
    <cfRule type="cellIs" priority="9" dxfId="0" operator="greaterThan" stopIfTrue="1">
      <formula>$D$35*0.1</formula>
    </cfRule>
  </conditionalFormatting>
  <conditionalFormatting sqref="D35">
    <cfRule type="cellIs" priority="10" dxfId="0" operator="greaterThan" stopIfTrue="1">
      <formula>$D$37</formula>
    </cfRule>
  </conditionalFormatting>
  <conditionalFormatting sqref="C35">
    <cfRule type="cellIs" priority="11" dxfId="0" operator="greaterThan" stopIfTrue="1">
      <formula>$C$37</formula>
    </cfRule>
  </conditionalFormatting>
  <conditionalFormatting sqref="C36 C78">
    <cfRule type="cellIs" priority="12" dxfId="0" operator="lessThan" stopIfTrue="1">
      <formula>0</formula>
    </cfRule>
  </conditionalFormatting>
  <conditionalFormatting sqref="C75">
    <cfRule type="cellIs" priority="13" dxfId="0" operator="greaterThan" stopIfTrue="1">
      <formula>$C$77*0.1</formula>
    </cfRule>
  </conditionalFormatting>
  <conditionalFormatting sqref="D75">
    <cfRule type="cellIs" priority="14" dxfId="0" operator="greaterThan" stopIfTrue="1">
      <formula>$D$77*0.1</formula>
    </cfRule>
  </conditionalFormatting>
  <conditionalFormatting sqref="D77">
    <cfRule type="cellIs" priority="15" dxfId="0" operator="greaterThan" stopIfTrue="1">
      <formula>$D$79</formula>
    </cfRule>
  </conditionalFormatting>
  <conditionalFormatting sqref="C77">
    <cfRule type="cellIs" priority="16" dxfId="0" operator="greaterThan" stopIfTrue="1">
      <formula>$C$79</formula>
    </cfRule>
  </conditionalFormatting>
  <conditionalFormatting sqref="D21">
    <cfRule type="cellIs" priority="17" dxfId="0" operator="greaterThan" stopIfTrue="1">
      <formula>$D$23*0.1</formula>
    </cfRule>
  </conditionalFormatting>
  <conditionalFormatting sqref="C21">
    <cfRule type="cellIs" priority="18" dxfId="0" operator="greaterThan" stopIfTrue="1">
      <formula>$C$23*0.1</formula>
    </cfRule>
  </conditionalFormatting>
  <conditionalFormatting sqref="D63">
    <cfRule type="cellIs" priority="19" dxfId="0" operator="greaterThan" stopIfTrue="1">
      <formula>$D$65*0.1</formula>
    </cfRule>
  </conditionalFormatting>
  <conditionalFormatting sqref="C63">
    <cfRule type="cellIs" priority="20" dxfId="0" operator="greaterThan" stopIfTrue="1">
      <formula>$C$65*0.1</formula>
    </cfRule>
  </conditionalFormatting>
  <conditionalFormatting sqref="E21">
    <cfRule type="cellIs" priority="21" dxfId="338" operator="greaterThan" stopIfTrue="1">
      <formula>$E$23*0.1+E42</formula>
    </cfRule>
  </conditionalFormatting>
  <conditionalFormatting sqref="D78 D36">
    <cfRule type="cellIs" priority="3" dxfId="1" operator="lessThan" stopIfTrue="1">
      <formula>0</formula>
    </cfRule>
  </conditionalFormatting>
  <conditionalFormatting sqref="E63">
    <cfRule type="cellIs" priority="25" dxfId="1" operator="greaterThan" stopIfTrue="1">
      <formula>$E$65*0.1+$E$84</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I91" sqref="I91"/>
    </sheetView>
  </sheetViews>
  <sheetFormatPr defaultColWidth="8.796875" defaultRowHeight="15"/>
  <cols>
    <col min="1" max="1" width="2.3984375" style="41" customWidth="1"/>
    <col min="2" max="2" width="31.09765625" style="41" customWidth="1"/>
    <col min="3" max="4" width="15.796875" style="41" customWidth="1"/>
    <col min="5" max="5" width="16.0976562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61">
        <f>(inputPrYr!D3)</f>
        <v>0</v>
      </c>
      <c r="C1" s="43"/>
      <c r="D1" s="43"/>
      <c r="E1" s="212">
        <f>inputPrYr!C6</f>
        <v>0</v>
      </c>
    </row>
    <row r="2" spans="2:5" ht="15.75">
      <c r="B2" s="43"/>
      <c r="C2" s="43"/>
      <c r="D2" s="43"/>
      <c r="E2" s="135"/>
    </row>
    <row r="3" spans="2:5" ht="15.75">
      <c r="B3" s="213" t="s">
        <v>168</v>
      </c>
      <c r="C3" s="165"/>
      <c r="D3" s="165"/>
      <c r="E3" s="251"/>
    </row>
    <row r="4" spans="2:5" ht="15.75">
      <c r="B4" s="44" t="s">
        <v>101</v>
      </c>
      <c r="C4" s="663" t="s">
        <v>892</v>
      </c>
      <c r="D4" s="664" t="s">
        <v>893</v>
      </c>
      <c r="E4" s="111" t="s">
        <v>894</v>
      </c>
    </row>
    <row r="5" spans="2:5" ht="15.75">
      <c r="B5" s="489">
        <f>inputPrYr!B28</f>
        <v>0</v>
      </c>
      <c r="C5" s="189" t="str">
        <f>CONCATENATE("Actual for ",E1-2,"")</f>
        <v>Actual for -2</v>
      </c>
      <c r="D5" s="189" t="str">
        <f>CONCATENATE("Estimate for ",E1-1,"")</f>
        <v>Estimate for -1</v>
      </c>
      <c r="E5" s="172" t="str">
        <f>CONCATENATE("Year for ",E1,"")</f>
        <v>Year for 0</v>
      </c>
    </row>
    <row r="6" spans="2:5" ht="15.75">
      <c r="B6" s="216" t="s">
        <v>210</v>
      </c>
      <c r="C6" s="221"/>
      <c r="D6" s="219">
        <f>C36</f>
        <v>0</v>
      </c>
      <c r="E6" s="192">
        <f>D36</f>
        <v>0</v>
      </c>
    </row>
    <row r="7" spans="2:5" ht="15.75">
      <c r="B7" s="220" t="s">
        <v>212</v>
      </c>
      <c r="C7" s="126"/>
      <c r="D7" s="126"/>
      <c r="E7" s="69"/>
    </row>
    <row r="8" spans="2:5" ht="15.75">
      <c r="B8" s="117" t="s">
        <v>102</v>
      </c>
      <c r="C8" s="221"/>
      <c r="D8" s="219">
        <f>IF(inputPrYr!H17&gt;0,inputPrYr!G28,inputPrYr!E28)</f>
        <v>0</v>
      </c>
      <c r="E8" s="249" t="s">
        <v>91</v>
      </c>
    </row>
    <row r="9" spans="2:5" ht="15.75">
      <c r="B9" s="117" t="s">
        <v>103</v>
      </c>
      <c r="C9" s="221"/>
      <c r="D9" s="221"/>
      <c r="E9" s="54"/>
    </row>
    <row r="10" spans="2:5" ht="15.75">
      <c r="B10" s="117" t="s">
        <v>104</v>
      </c>
      <c r="C10" s="221"/>
      <c r="D10" s="221"/>
      <c r="E10" s="192" t="str">
        <f>mvalloc!D16</f>
        <v>  </v>
      </c>
    </row>
    <row r="11" spans="2:5" ht="15.75">
      <c r="B11" s="117" t="s">
        <v>105</v>
      </c>
      <c r="C11" s="221"/>
      <c r="D11" s="221"/>
      <c r="E11" s="192" t="str">
        <f>mvalloc!E16</f>
        <v> </v>
      </c>
    </row>
    <row r="12" spans="2:5" ht="15.75">
      <c r="B12" s="126" t="s">
        <v>199</v>
      </c>
      <c r="C12" s="221"/>
      <c r="D12" s="221"/>
      <c r="E12" s="192" t="str">
        <f>mvalloc!F16</f>
        <v> </v>
      </c>
    </row>
    <row r="13" spans="2:5" ht="15.75">
      <c r="B13" s="793" t="s">
        <v>1020</v>
      </c>
      <c r="C13" s="221"/>
      <c r="D13" s="221"/>
      <c r="E13" s="192" t="str">
        <f>mvalloc!G16</f>
        <v> </v>
      </c>
    </row>
    <row r="14" spans="2:5" ht="15.75">
      <c r="B14" s="793" t="s">
        <v>1021</v>
      </c>
      <c r="C14" s="221"/>
      <c r="D14" s="221"/>
      <c r="E14" s="192" t="str">
        <f>mvalloc!H16</f>
        <v> </v>
      </c>
    </row>
    <row r="15" spans="2:5" ht="15.75">
      <c r="B15" s="237"/>
      <c r="C15" s="221"/>
      <c r="D15" s="221"/>
      <c r="E15" s="54"/>
    </row>
    <row r="16" spans="2:5" ht="15.75">
      <c r="B16" s="237"/>
      <c r="C16" s="221"/>
      <c r="D16" s="221"/>
      <c r="E16" s="54"/>
    </row>
    <row r="17" spans="2:5" ht="15.75">
      <c r="B17" s="237"/>
      <c r="C17" s="221"/>
      <c r="D17" s="221"/>
      <c r="E17" s="54"/>
    </row>
    <row r="18" spans="2:10" ht="15.75">
      <c r="B18" s="237"/>
      <c r="C18" s="221"/>
      <c r="D18" s="221"/>
      <c r="E18" s="54"/>
      <c r="G18" s="906" t="str">
        <f>CONCATENATE("Desired Carryover Into ",E1+1,"")</f>
        <v>Desired Carryover Into 1</v>
      </c>
      <c r="H18" s="898"/>
      <c r="I18" s="898"/>
      <c r="J18" s="899"/>
    </row>
    <row r="19" spans="2:10" ht="15.75">
      <c r="B19" s="225" t="s">
        <v>109</v>
      </c>
      <c r="C19" s="221"/>
      <c r="D19" s="221"/>
      <c r="E19" s="54"/>
      <c r="G19" s="600"/>
      <c r="H19" s="601"/>
      <c r="I19" s="602"/>
      <c r="J19" s="603"/>
    </row>
    <row r="20" spans="2:10" ht="15.75">
      <c r="B20" s="238" t="s">
        <v>12</v>
      </c>
      <c r="C20" s="221"/>
      <c r="D20" s="221"/>
      <c r="E20" s="839">
        <f>nhood!E15*-1</f>
        <v>0</v>
      </c>
      <c r="G20" s="604" t="s">
        <v>722</v>
      </c>
      <c r="H20" s="602"/>
      <c r="I20" s="602"/>
      <c r="J20" s="605">
        <v>0</v>
      </c>
    </row>
    <row r="21" spans="2:10" ht="15.75">
      <c r="B21" s="126" t="s">
        <v>13</v>
      </c>
      <c r="C21" s="221"/>
      <c r="D21" s="221"/>
      <c r="E21" s="54"/>
      <c r="G21" s="600" t="s">
        <v>723</v>
      </c>
      <c r="H21" s="601"/>
      <c r="I21" s="601"/>
      <c r="J21" s="606">
        <f>IF(J20=0,"",ROUND((J20+E42-G33)/inputOth!E7*1000,3)-G38)</f>
      </c>
    </row>
    <row r="22" spans="2:10" ht="15.75">
      <c r="B22" s="216" t="s">
        <v>734</v>
      </c>
      <c r="C22" s="226">
        <f>IF(C23*0.1&lt;C21,"Exceed 10% Rule","")</f>
      </c>
      <c r="D22" s="226">
        <f>IF(D23*0.1&lt;D21,"Exceed 10% Rule","")</f>
      </c>
      <c r="E22" s="262">
        <f>IF(E23*0.1+E42&lt;E21,"Exceed 10% Rule","")</f>
      </c>
      <c r="G22" s="607" t="str">
        <f>CONCATENATE("",E1," Tot Exp/Non-Appr Must Be:")</f>
        <v>0 Tot Exp/Non-Appr Must Be:</v>
      </c>
      <c r="H22" s="608"/>
      <c r="I22" s="609"/>
      <c r="J22" s="610">
        <f>IF(J20&gt;0,IF(E39&lt;E24,IF(J20=G33,E39,((J20-G33)*(1-D41))+E24),E39+(J20-G33)),0)</f>
        <v>0</v>
      </c>
    </row>
    <row r="23" spans="2:10" ht="15.75">
      <c r="B23" s="228" t="s">
        <v>110</v>
      </c>
      <c r="C23" s="230">
        <f>SUM(C8:C21)</f>
        <v>0</v>
      </c>
      <c r="D23" s="230">
        <f>SUM(D8:D21)</f>
        <v>0</v>
      </c>
      <c r="E23" s="231">
        <f>SUM(E8:E21)</f>
        <v>0</v>
      </c>
      <c r="G23" s="611" t="s">
        <v>835</v>
      </c>
      <c r="H23" s="612"/>
      <c r="I23" s="612"/>
      <c r="J23" s="613">
        <f>IF(J20&gt;0,J22-E39,0)</f>
        <v>0</v>
      </c>
    </row>
    <row r="24" spans="2:10" ht="15.75">
      <c r="B24" s="228" t="s">
        <v>111</v>
      </c>
      <c r="C24" s="230">
        <f>C6+C23</f>
        <v>0</v>
      </c>
      <c r="D24" s="230">
        <f>D6+D23</f>
        <v>0</v>
      </c>
      <c r="E24" s="231">
        <f>E6+E23</f>
        <v>0</v>
      </c>
      <c r="J24" s="2"/>
    </row>
    <row r="25" spans="2:10" ht="15.75">
      <c r="B25" s="117" t="s">
        <v>113</v>
      </c>
      <c r="C25" s="238"/>
      <c r="D25" s="238"/>
      <c r="E25" s="53"/>
      <c r="G25" s="906" t="str">
        <f>CONCATENATE("Projected Carryover Into ",E1+1,"")</f>
        <v>Projected Carryover Into 1</v>
      </c>
      <c r="H25" s="910"/>
      <c r="I25" s="910"/>
      <c r="J25" s="908"/>
    </row>
    <row r="26" spans="2:10" ht="15.75">
      <c r="B26" s="237"/>
      <c r="C26" s="221"/>
      <c r="D26" s="221"/>
      <c r="E26" s="54"/>
      <c r="G26" s="600"/>
      <c r="H26" s="602"/>
      <c r="I26" s="602"/>
      <c r="J26" s="615"/>
    </row>
    <row r="27" spans="2:10" ht="15.75">
      <c r="B27" s="237"/>
      <c r="C27" s="221"/>
      <c r="D27" s="221"/>
      <c r="E27" s="54"/>
      <c r="G27" s="616">
        <f>D36</f>
        <v>0</v>
      </c>
      <c r="H27" s="583" t="str">
        <f>CONCATENATE("",E1-1," Ending Cash Balance (est.)")</f>
        <v>-1 Ending Cash Balance (est.)</v>
      </c>
      <c r="I27" s="617"/>
      <c r="J27" s="615"/>
    </row>
    <row r="28" spans="2:10" ht="15.75">
      <c r="B28" s="237"/>
      <c r="C28" s="221"/>
      <c r="D28" s="221"/>
      <c r="E28" s="54"/>
      <c r="G28" s="616">
        <f>E23</f>
        <v>0</v>
      </c>
      <c r="H28" s="602" t="str">
        <f>CONCATENATE("",E1," Non-AV Receipts (est.)")</f>
        <v>0 Non-AV Receipts (est.)</v>
      </c>
      <c r="I28" s="617"/>
      <c r="J28" s="615"/>
    </row>
    <row r="29" spans="2:11" ht="15.75">
      <c r="B29" s="237"/>
      <c r="C29" s="221"/>
      <c r="D29" s="221"/>
      <c r="E29" s="54"/>
      <c r="G29" s="618">
        <f>IF(E41&gt;0,E40,E42)</f>
        <v>0</v>
      </c>
      <c r="H29" s="602" t="str">
        <f>CONCATENATE("",E1," Ad Valorem Tax (est.)")</f>
        <v>0 Ad Valorem Tax (est.)</v>
      </c>
      <c r="I29" s="617"/>
      <c r="J29" s="596"/>
      <c r="K29" s="592">
        <f>IF(G29=E42,"","Note: Does not include Delinquent Taxes")</f>
      </c>
    </row>
    <row r="30" spans="2:10" ht="15.75">
      <c r="B30" s="237"/>
      <c r="C30" s="221"/>
      <c r="D30" s="221"/>
      <c r="E30" s="54"/>
      <c r="G30" s="616">
        <f>SUM(G27:G29)</f>
        <v>0</v>
      </c>
      <c r="H30" s="602" t="str">
        <f>CONCATENATE("Total ",E1," Resources Available")</f>
        <v>Total 0 Resources Available</v>
      </c>
      <c r="I30" s="617"/>
      <c r="J30" s="615"/>
    </row>
    <row r="31" spans="2:10" ht="15.75">
      <c r="B31" s="237"/>
      <c r="C31" s="221"/>
      <c r="D31" s="221"/>
      <c r="E31" s="54"/>
      <c r="G31" s="653"/>
      <c r="H31" s="602"/>
      <c r="I31" s="602"/>
      <c r="J31" s="615"/>
    </row>
    <row r="32" spans="2:10" ht="15.75">
      <c r="B32" s="238" t="str">
        <f>CONCATENATE("Cash Forward (",E1," column)")</f>
        <v>Cash Forward (0 column)</v>
      </c>
      <c r="C32" s="221"/>
      <c r="D32" s="221"/>
      <c r="E32" s="54"/>
      <c r="G32" s="618">
        <f>ROUND(C35*0.05+C35,0)</f>
        <v>0</v>
      </c>
      <c r="H32" s="602" t="str">
        <f>CONCATENATE("Less ",E1-2," Expenditures + 5%")</f>
        <v>Less -2 Expenditures + 5%</v>
      </c>
      <c r="I32" s="617"/>
      <c r="J32" s="615"/>
    </row>
    <row r="33" spans="2:10" ht="15.75">
      <c r="B33" s="238" t="s">
        <v>13</v>
      </c>
      <c r="C33" s="221"/>
      <c r="D33" s="221"/>
      <c r="E33" s="54"/>
      <c r="G33" s="654">
        <f>G30-G32</f>
        <v>0</v>
      </c>
      <c r="H33" s="655" t="str">
        <f>CONCATENATE("Projected ",E1+1," carryover (est.)")</f>
        <v>Projected 1 carryover (est.)</v>
      </c>
      <c r="I33" s="656"/>
      <c r="J33" s="628"/>
    </row>
    <row r="34" spans="2:10" ht="15.75">
      <c r="B34" s="238" t="s">
        <v>735</v>
      </c>
      <c r="C34" s="226">
        <f>IF(C35*0.1&lt;C33,"Exceed 10% Rule","")</f>
      </c>
      <c r="D34" s="226">
        <f>IF(D35*0.1&lt;D33,"Exceed 10% Rule","")</f>
      </c>
      <c r="E34" s="262">
        <f>IF(E35*0.1&lt;E33,"Exceed 10% Rule","")</f>
      </c>
      <c r="G34" s="2"/>
      <c r="H34" s="2"/>
      <c r="I34" s="2"/>
      <c r="J34" s="2"/>
    </row>
    <row r="35" spans="2:10" ht="15.75">
      <c r="B35" s="228" t="s">
        <v>117</v>
      </c>
      <c r="C35" s="230">
        <f>SUM(C26:C33)</f>
        <v>0</v>
      </c>
      <c r="D35" s="230">
        <f>SUM(D26:D33)</f>
        <v>0</v>
      </c>
      <c r="E35" s="231">
        <f>SUM(E26:E33)</f>
        <v>0</v>
      </c>
      <c r="G35" s="900" t="s">
        <v>834</v>
      </c>
      <c r="H35" s="901"/>
      <c r="I35" s="901"/>
      <c r="J35" s="902"/>
    </row>
    <row r="36" spans="2:10" ht="15.75">
      <c r="B36" s="117" t="s">
        <v>211</v>
      </c>
      <c r="C36" s="234">
        <f>C24-C35</f>
        <v>0</v>
      </c>
      <c r="D36" s="234">
        <f>D24-D35</f>
        <v>0</v>
      </c>
      <c r="E36" s="249" t="s">
        <v>91</v>
      </c>
      <c r="G36" s="582"/>
      <c r="H36" s="583"/>
      <c r="I36" s="584"/>
      <c r="J36" s="585"/>
    </row>
    <row r="37" spans="2:10" ht="15.75">
      <c r="B37" s="137" t="str">
        <f>CONCATENATE("",E1-2,"/",E1-1,"/",E1," Budget Authority Amount:")</f>
        <v>-2/-1/0 Budget Authority Amount:</v>
      </c>
      <c r="C37" s="669">
        <f>inputOth!B71</f>
        <v>0</v>
      </c>
      <c r="D37" s="669">
        <f>inputPrYr!D28</f>
        <v>0</v>
      </c>
      <c r="E37" s="192">
        <f>E35</f>
        <v>0</v>
      </c>
      <c r="F37" s="239"/>
      <c r="G37" s="586" t="str">
        <f>summ!H24</f>
        <v>  </v>
      </c>
      <c r="H37" s="583" t="str">
        <f>CONCATENATE("",E1," Fund Mill Rate")</f>
        <v>0 Fund Mill Rate</v>
      </c>
      <c r="I37" s="584"/>
      <c r="J37" s="585"/>
    </row>
    <row r="38" spans="2:10" ht="15.75">
      <c r="B38" s="103"/>
      <c r="C38" s="892" t="s">
        <v>623</v>
      </c>
      <c r="D38" s="893"/>
      <c r="E38" s="54"/>
      <c r="F38" s="687">
        <f>IF(E35/0.95-E35&lt;E38,"Exceeds 5%","")</f>
      </c>
      <c r="G38" s="587" t="str">
        <f>summ!E24</f>
        <v>  </v>
      </c>
      <c r="H38" s="583" t="str">
        <f>CONCATENATE("",E1-1," Fund Mill Rate")</f>
        <v>-1 Fund Mill Rate</v>
      </c>
      <c r="I38" s="584"/>
      <c r="J38" s="585"/>
    </row>
    <row r="39" spans="2:10" ht="15.75">
      <c r="B39" s="485" t="str">
        <f>CONCATENATE(C98,"     ",D98)</f>
        <v>     </v>
      </c>
      <c r="C39" s="894" t="s">
        <v>624</v>
      </c>
      <c r="D39" s="895"/>
      <c r="E39" s="192">
        <f>E35+E38</f>
        <v>0</v>
      </c>
      <c r="G39" s="588">
        <f>summ!H52</f>
        <v>0</v>
      </c>
      <c r="H39" s="583" t="str">
        <f>CONCATENATE("Total ",E1," Mill Rate")</f>
        <v>Total 0 Mill Rate</v>
      </c>
      <c r="I39" s="584"/>
      <c r="J39" s="585"/>
    </row>
    <row r="40" spans="2:10" ht="15.75">
      <c r="B40" s="485" t="str">
        <f>CONCATENATE(C99,"     ",D99)</f>
        <v>     </v>
      </c>
      <c r="C40" s="240"/>
      <c r="D40" s="135" t="s">
        <v>118</v>
      </c>
      <c r="E40" s="67">
        <f>IF(E39-E24&gt;0,E39-E24,0)</f>
        <v>0</v>
      </c>
      <c r="G40" s="587">
        <f>summ!E52</f>
        <v>0</v>
      </c>
      <c r="H40" s="589" t="str">
        <f>CONCATENATE("Total ",E1-1," Mill Rate")</f>
        <v>Total -1 Mill Rate</v>
      </c>
      <c r="I40" s="590"/>
      <c r="J40" s="591"/>
    </row>
    <row r="41" spans="2:5" ht="15.75">
      <c r="B41" s="135"/>
      <c r="C41" s="346" t="s">
        <v>622</v>
      </c>
      <c r="D41" s="677">
        <f>inputOth!$E$49</f>
        <v>0</v>
      </c>
      <c r="E41" s="192">
        <f>ROUND(IF(D41&gt;0,(E40*D41),0),0)</f>
        <v>0</v>
      </c>
    </row>
    <row r="42" spans="2:10" ht="16.5" thickBot="1">
      <c r="B42" s="43"/>
      <c r="C42" s="896" t="str">
        <f>CONCATENATE("Amount of  ",$E$1-1," Ad Valorem Tax")</f>
        <v>Amount of  -1 Ad Valorem Tax</v>
      </c>
      <c r="D42" s="897"/>
      <c r="E42" s="599">
        <f>E40+E41</f>
        <v>0</v>
      </c>
      <c r="G42" s="808"/>
      <c r="H42" s="827"/>
      <c r="I42" s="807"/>
      <c r="J42" s="826"/>
    </row>
    <row r="43" spans="2:10" ht="16.5" thickTop="1">
      <c r="B43" s="43"/>
      <c r="C43" s="43"/>
      <c r="D43" s="43"/>
      <c r="E43" s="43"/>
      <c r="G43" s="796" t="str">
        <f>CONCATENATE("Computed ",E1," tax levy limit amount")</f>
        <v>Computed 0 tax levy limit amount</v>
      </c>
      <c r="H43" s="797"/>
      <c r="I43" s="797"/>
      <c r="J43" s="803">
        <f>computation!J47</f>
        <v>0</v>
      </c>
    </row>
    <row r="44" spans="2:10" ht="15.75">
      <c r="B44" s="44"/>
      <c r="C44" s="109"/>
      <c r="D44" s="109"/>
      <c r="E44" s="109"/>
      <c r="G44" s="578" t="str">
        <f>CONCATENATE("Total ",E1," tax levy amount")</f>
        <v>Total 0 tax levy amount</v>
      </c>
      <c r="H44" s="579"/>
      <c r="I44" s="579"/>
      <c r="J44" s="802">
        <f>summ!G52</f>
        <v>0</v>
      </c>
    </row>
    <row r="45" spans="2:5" ht="15.75">
      <c r="B45" s="44" t="s">
        <v>101</v>
      </c>
      <c r="C45" s="663" t="s">
        <v>892</v>
      </c>
      <c r="D45" s="664" t="s">
        <v>893</v>
      </c>
      <c r="E45" s="111" t="s">
        <v>894</v>
      </c>
    </row>
    <row r="46" spans="2:5" ht="15.75">
      <c r="B46" s="489">
        <f>inputPrYr!B29</f>
        <v>0</v>
      </c>
      <c r="C46" s="189" t="str">
        <f>CONCATENATE("Actual for ",E1-2,"")</f>
        <v>Actual for -2</v>
      </c>
      <c r="D46" s="189" t="str">
        <f>CONCATENATE("Estimate for ",E1-1,"")</f>
        <v>Estimate for -1</v>
      </c>
      <c r="E46" s="172" t="str">
        <f>CONCATENATE("Year for ",E1,"")</f>
        <v>Year for 0</v>
      </c>
    </row>
    <row r="47" spans="2:5" ht="15.75">
      <c r="B47" s="216" t="s">
        <v>210</v>
      </c>
      <c r="C47" s="221"/>
      <c r="D47" s="219">
        <f>C78</f>
        <v>0</v>
      </c>
      <c r="E47" s="192">
        <f>D78</f>
        <v>0</v>
      </c>
    </row>
    <row r="48" spans="2:5" ht="15.75">
      <c r="B48" s="220" t="s">
        <v>212</v>
      </c>
      <c r="C48" s="126"/>
      <c r="D48" s="126"/>
      <c r="E48" s="69"/>
    </row>
    <row r="49" spans="2:5" ht="15.75">
      <c r="B49" s="117" t="s">
        <v>102</v>
      </c>
      <c r="C49" s="221"/>
      <c r="D49" s="219">
        <f>IF(inputPrYr!H17&gt;0,inputPrYr!G29,inputPrYr!E29)</f>
        <v>0</v>
      </c>
      <c r="E49" s="249" t="s">
        <v>91</v>
      </c>
    </row>
    <row r="50" spans="2:5" ht="15.75">
      <c r="B50" s="117" t="s">
        <v>103</v>
      </c>
      <c r="C50" s="221"/>
      <c r="D50" s="221"/>
      <c r="E50" s="54"/>
    </row>
    <row r="51" spans="2:5" ht="15.75">
      <c r="B51" s="117" t="s">
        <v>104</v>
      </c>
      <c r="C51" s="221"/>
      <c r="D51" s="221"/>
      <c r="E51" s="192" t="str">
        <f>mvalloc!D17</f>
        <v>  </v>
      </c>
    </row>
    <row r="52" spans="2:5" ht="15.75">
      <c r="B52" s="117" t="s">
        <v>105</v>
      </c>
      <c r="C52" s="221"/>
      <c r="D52" s="221"/>
      <c r="E52" s="192" t="str">
        <f>mvalloc!E17</f>
        <v> </v>
      </c>
    </row>
    <row r="53" spans="2:5" ht="15.75">
      <c r="B53" s="126" t="s">
        <v>199</v>
      </c>
      <c r="C53" s="221"/>
      <c r="D53" s="221"/>
      <c r="E53" s="192" t="str">
        <f>mvalloc!F17</f>
        <v> </v>
      </c>
    </row>
    <row r="54" spans="2:5" ht="15.75">
      <c r="B54" s="793" t="s">
        <v>1020</v>
      </c>
      <c r="C54" s="221"/>
      <c r="D54" s="221"/>
      <c r="E54" s="192" t="str">
        <f>mvalloc!G17</f>
        <v> </v>
      </c>
    </row>
    <row r="55" spans="2:5" ht="15.75">
      <c r="B55" s="793" t="s">
        <v>1021</v>
      </c>
      <c r="C55" s="221"/>
      <c r="D55" s="221"/>
      <c r="E55" s="192" t="str">
        <f>mvalloc!H17</f>
        <v> </v>
      </c>
    </row>
    <row r="56" spans="2:5" ht="15.75">
      <c r="B56" s="237"/>
      <c r="C56" s="221"/>
      <c r="D56" s="221"/>
      <c r="E56" s="56"/>
    </row>
    <row r="57" spans="2:5" ht="15.75">
      <c r="B57" s="237"/>
      <c r="C57" s="221"/>
      <c r="D57" s="221"/>
      <c r="E57" s="56"/>
    </row>
    <row r="58" spans="2:5" ht="15.75">
      <c r="B58" s="237"/>
      <c r="C58" s="221"/>
      <c r="D58" s="221"/>
      <c r="E58" s="54"/>
    </row>
    <row r="59" spans="2:5" ht="15.75">
      <c r="B59" s="237"/>
      <c r="C59" s="221"/>
      <c r="D59" s="221"/>
      <c r="E59" s="54"/>
    </row>
    <row r="60" spans="2:10" ht="15.75">
      <c r="B60" s="237"/>
      <c r="C60" s="221"/>
      <c r="D60" s="221"/>
      <c r="E60" s="54"/>
      <c r="G60" s="906" t="str">
        <f>CONCATENATE("Desired Carryover Into ",E1+1,"")</f>
        <v>Desired Carryover Into 1</v>
      </c>
      <c r="H60" s="898"/>
      <c r="I60" s="898"/>
      <c r="J60" s="899"/>
    </row>
    <row r="61" spans="2:10" ht="15.75">
      <c r="B61" s="225" t="s">
        <v>109</v>
      </c>
      <c r="C61" s="221"/>
      <c r="D61" s="221"/>
      <c r="E61" s="54"/>
      <c r="G61" s="600"/>
      <c r="H61" s="601"/>
      <c r="I61" s="602"/>
      <c r="J61" s="603"/>
    </row>
    <row r="62" spans="2:10" ht="15.75">
      <c r="B62" s="238" t="s">
        <v>12</v>
      </c>
      <c r="C62" s="221"/>
      <c r="D62" s="221"/>
      <c r="E62" s="839">
        <f>nhood!E16*-1</f>
        <v>0</v>
      </c>
      <c r="G62" s="604" t="s">
        <v>722</v>
      </c>
      <c r="H62" s="602"/>
      <c r="I62" s="602"/>
      <c r="J62" s="605">
        <v>0</v>
      </c>
    </row>
    <row r="63" spans="2:10" ht="15.75">
      <c r="B63" s="126" t="s">
        <v>13</v>
      </c>
      <c r="C63" s="221"/>
      <c r="D63" s="221"/>
      <c r="E63" s="54"/>
      <c r="G63" s="600" t="s">
        <v>723</v>
      </c>
      <c r="H63" s="601"/>
      <c r="I63" s="601"/>
      <c r="J63" s="606">
        <f>IF(J62=0,"",ROUND((J62+E84-G75)/inputOth!E7*1000,3)-G80)</f>
      </c>
    </row>
    <row r="64" spans="2:10" ht="15.75">
      <c r="B64" s="216" t="s">
        <v>734</v>
      </c>
      <c r="C64" s="226">
        <f>IF(C65*0.1&lt;C63,"Exceed 10% Rule","")</f>
      </c>
      <c r="D64" s="226">
        <f>IF(D65*0.1&lt;D63,"Exceed 10% Rule","")</f>
      </c>
      <c r="E64" s="262">
        <f>IF(E65*0.1+E84&lt;E63,"Exceed 10% Rule","")</f>
      </c>
      <c r="G64" s="607" t="str">
        <f>CONCATENATE("",E1," Tot Exp/Non-Appr Must Be:")</f>
        <v>0 Tot Exp/Non-Appr Must Be:</v>
      </c>
      <c r="H64" s="608"/>
      <c r="I64" s="609"/>
      <c r="J64" s="610">
        <f>IF(J62&gt;0,IF(E81&lt;E66,IF(J62=G75,E81,((J62-G75)*(1-D83))+E66),E81+(J62-G75)),0)</f>
        <v>0</v>
      </c>
    </row>
    <row r="65" spans="2:10" ht="15.75">
      <c r="B65" s="228" t="s">
        <v>110</v>
      </c>
      <c r="C65" s="230">
        <f>SUM(C49:C63)</f>
        <v>0</v>
      </c>
      <c r="D65" s="230">
        <f>SUM(D49:D63)</f>
        <v>0</v>
      </c>
      <c r="E65" s="231">
        <f>SUM(E49:E63)</f>
        <v>0</v>
      </c>
      <c r="G65" s="611" t="s">
        <v>835</v>
      </c>
      <c r="H65" s="612"/>
      <c r="I65" s="612"/>
      <c r="J65" s="613">
        <f>IF(J62&gt;0,J64-E81,0)</f>
        <v>0</v>
      </c>
    </row>
    <row r="66" spans="2:10" ht="15.75">
      <c r="B66" s="228" t="s">
        <v>111</v>
      </c>
      <c r="C66" s="230">
        <f>C47+C65</f>
        <v>0</v>
      </c>
      <c r="D66" s="230">
        <f>D47+D65</f>
        <v>0</v>
      </c>
      <c r="E66" s="231">
        <f>E47+E65</f>
        <v>0</v>
      </c>
      <c r="J66" s="2"/>
    </row>
    <row r="67" spans="2:10" ht="15.75">
      <c r="B67" s="117" t="s">
        <v>113</v>
      </c>
      <c r="C67" s="238"/>
      <c r="D67" s="238"/>
      <c r="E67" s="53"/>
      <c r="G67" s="906" t="str">
        <f>CONCATENATE("Projected Carryover Into ",E1+1,"")</f>
        <v>Projected Carryover Into 1</v>
      </c>
      <c r="H67" s="907"/>
      <c r="I67" s="907"/>
      <c r="J67" s="908"/>
    </row>
    <row r="68" spans="2:10" ht="15.75">
      <c r="B68" s="237"/>
      <c r="C68" s="221"/>
      <c r="D68" s="221"/>
      <c r="E68" s="54"/>
      <c r="G68" s="614"/>
      <c r="H68" s="601"/>
      <c r="I68" s="601"/>
      <c r="J68" s="621"/>
    </row>
    <row r="69" spans="2:10" ht="15.75">
      <c r="B69" s="237"/>
      <c r="C69" s="221"/>
      <c r="D69" s="221"/>
      <c r="E69" s="54"/>
      <c r="G69" s="616">
        <f>D78</f>
        <v>0</v>
      </c>
      <c r="H69" s="583" t="str">
        <f>CONCATENATE("",E1-1," Ending Cash Balance (est.)")</f>
        <v>-1 Ending Cash Balance (est.)</v>
      </c>
      <c r="I69" s="617"/>
      <c r="J69" s="621"/>
    </row>
    <row r="70" spans="2:10" ht="15.75">
      <c r="B70" s="237"/>
      <c r="C70" s="221"/>
      <c r="D70" s="221"/>
      <c r="E70" s="54"/>
      <c r="G70" s="616">
        <f>E65</f>
        <v>0</v>
      </c>
      <c r="H70" s="602" t="str">
        <f>CONCATENATE("",E1," Non-AV Receipts (est.)")</f>
        <v>0 Non-AV Receipts (est.)</v>
      </c>
      <c r="I70" s="617"/>
      <c r="J70" s="621"/>
    </row>
    <row r="71" spans="2:11" ht="15.75">
      <c r="B71" s="237"/>
      <c r="C71" s="221"/>
      <c r="D71" s="221"/>
      <c r="E71" s="54"/>
      <c r="G71" s="618">
        <f>IF(D83&gt;0,E82,E84)</f>
        <v>0</v>
      </c>
      <c r="H71" s="602" t="str">
        <f>CONCATENATE("",E1," Ad Valorem Tax (est.)")</f>
        <v>0 Ad Valorem Tax (est.)</v>
      </c>
      <c r="I71" s="617"/>
      <c r="J71" s="621"/>
      <c r="K71" s="592">
        <f>IF(G71=E84,"","Note: Does not include Delinquent Taxes")</f>
      </c>
    </row>
    <row r="72" spans="2:10" ht="15.75">
      <c r="B72" s="237"/>
      <c r="C72" s="221"/>
      <c r="D72" s="221"/>
      <c r="E72" s="54"/>
      <c r="G72" s="620">
        <f>SUM(G69:G71)</f>
        <v>0</v>
      </c>
      <c r="H72" s="602" t="str">
        <f>CONCATENATE("Total ",E1," Resources Available")</f>
        <v>Total 0 Resources Available</v>
      </c>
      <c r="I72" s="621"/>
      <c r="J72" s="621"/>
    </row>
    <row r="73" spans="2:10" ht="15.75">
      <c r="B73" s="237"/>
      <c r="C73" s="221"/>
      <c r="D73" s="221"/>
      <c r="E73" s="54"/>
      <c r="G73" s="622"/>
      <c r="H73" s="623"/>
      <c r="I73" s="601"/>
      <c r="J73" s="621"/>
    </row>
    <row r="74" spans="2:10" ht="15.75">
      <c r="B74" s="238" t="str">
        <f>CONCATENATE("Cash Forward (",E1," column)")</f>
        <v>Cash Forward (0 column)</v>
      </c>
      <c r="C74" s="221"/>
      <c r="D74" s="221"/>
      <c r="E74" s="54"/>
      <c r="G74" s="624">
        <f>ROUND(C77*0.05+C77,0)</f>
        <v>0</v>
      </c>
      <c r="H74" s="623" t="str">
        <f>CONCATENATE("Less ",E1-2," Expenditures + 5%")</f>
        <v>Less -2 Expenditures + 5%</v>
      </c>
      <c r="I74" s="621"/>
      <c r="J74" s="621"/>
    </row>
    <row r="75" spans="2:10" ht="15.75">
      <c r="B75" s="238" t="s">
        <v>13</v>
      </c>
      <c r="C75" s="221"/>
      <c r="D75" s="221"/>
      <c r="E75" s="54"/>
      <c r="G75" s="625">
        <f>G72-G74</f>
        <v>0</v>
      </c>
      <c r="H75" s="626" t="str">
        <f>CONCATENATE("Projected ",E1+1," carryover (est.)")</f>
        <v>Projected 1 carryover (est.)</v>
      </c>
      <c r="I75" s="627"/>
      <c r="J75" s="628"/>
    </row>
    <row r="76" spans="2:9" ht="15.75">
      <c r="B76" s="238" t="s">
        <v>735</v>
      </c>
      <c r="C76" s="226">
        <f>IF(C77*0.1&lt;C75,"Exceed 10% Rule","")</f>
      </c>
      <c r="D76" s="226">
        <f>IF(D77*0.1&lt;D75,"Exceed 10% Rule","")</f>
      </c>
      <c r="E76" s="262">
        <f>IF(E77*0.1&lt;E75,"Exceed 10% Rule","")</f>
      </c>
      <c r="G76" s="2"/>
      <c r="H76" s="2"/>
      <c r="I76" s="2"/>
    </row>
    <row r="77" spans="2:10" ht="15.75">
      <c r="B77" s="228" t="s">
        <v>117</v>
      </c>
      <c r="C77" s="230">
        <f>SUM(C68:C75)</f>
        <v>0</v>
      </c>
      <c r="D77" s="230">
        <f>SUM(D68:D75)</f>
        <v>0</v>
      </c>
      <c r="E77" s="231">
        <f>SUM(E68:E75)</f>
        <v>0</v>
      </c>
      <c r="G77" s="900" t="s">
        <v>834</v>
      </c>
      <c r="H77" s="901"/>
      <c r="I77" s="901"/>
      <c r="J77" s="902"/>
    </row>
    <row r="78" spans="2:10" ht="15.75">
      <c r="B78" s="117" t="s">
        <v>211</v>
      </c>
      <c r="C78" s="234">
        <f>C66-C77</f>
        <v>0</v>
      </c>
      <c r="D78" s="234">
        <f>D66-D77</f>
        <v>0</v>
      </c>
      <c r="E78" s="249" t="s">
        <v>91</v>
      </c>
      <c r="G78" s="582"/>
      <c r="H78" s="583"/>
      <c r="I78" s="584"/>
      <c r="J78" s="585"/>
    </row>
    <row r="79" spans="2:10" ht="15.75">
      <c r="B79" s="137" t="str">
        <f>CONCATENATE("",E1-2,"/",E1-1,"/",E1," Budget Authority Amount:")</f>
        <v>-2/-1/0 Budget Authority Amount:</v>
      </c>
      <c r="C79" s="669">
        <f>inputOth!B72</f>
        <v>0</v>
      </c>
      <c r="D79" s="669">
        <f>inputPrYr!D29</f>
        <v>0</v>
      </c>
      <c r="E79" s="192">
        <f>E77</f>
        <v>0</v>
      </c>
      <c r="F79" s="239"/>
      <c r="G79" s="586" t="str">
        <f>summ!H25</f>
        <v>  </v>
      </c>
      <c r="H79" s="583" t="str">
        <f>CONCATENATE("",E1," Fund Mill Rate")</f>
        <v>0 Fund Mill Rate</v>
      </c>
      <c r="I79" s="584"/>
      <c r="J79" s="585"/>
    </row>
    <row r="80" spans="2:10" ht="15.75">
      <c r="B80" s="103"/>
      <c r="C80" s="892" t="s">
        <v>623</v>
      </c>
      <c r="D80" s="893"/>
      <c r="E80" s="78"/>
      <c r="F80" s="687">
        <f>IF(E77/0.95-E77&lt;E80,"Exceeds 5%","")</f>
      </c>
      <c r="G80" s="587" t="str">
        <f>summ!E25</f>
        <v>  </v>
      </c>
      <c r="H80" s="583" t="str">
        <f>CONCATENATE("",E1-1," Fund Mill Rate")</f>
        <v>-1 Fund Mill Rate</v>
      </c>
      <c r="I80" s="584"/>
      <c r="J80" s="585"/>
    </row>
    <row r="81" spans="2:10" ht="15.75">
      <c r="B81" s="485" t="str">
        <f>CONCATENATE(C100,"     ",D100)</f>
        <v>     </v>
      </c>
      <c r="C81" s="894" t="s">
        <v>624</v>
      </c>
      <c r="D81" s="895"/>
      <c r="E81" s="192">
        <f>E77+E80</f>
        <v>0</v>
      </c>
      <c r="G81" s="588">
        <f>summ!H52</f>
        <v>0</v>
      </c>
      <c r="H81" s="583" t="str">
        <f>CONCATENATE("Total ",E1," Mill Rate")</f>
        <v>Total 0 Mill Rate</v>
      </c>
      <c r="I81" s="584"/>
      <c r="J81" s="585"/>
    </row>
    <row r="82" spans="2:10" ht="15.75">
      <c r="B82" s="485" t="str">
        <f>CONCATENATE(C101,"     ",D101)</f>
        <v>     </v>
      </c>
      <c r="C82" s="240"/>
      <c r="D82" s="135" t="s">
        <v>118</v>
      </c>
      <c r="E82" s="67">
        <f>IF(E81-E66&gt;0,E81-E66,0)</f>
        <v>0</v>
      </c>
      <c r="G82" s="587">
        <f>summ!E52</f>
        <v>0</v>
      </c>
      <c r="H82" s="589" t="str">
        <f>CONCATENATE("Total ",E1-1," Mill Rate")</f>
        <v>Total -1 Mill Rate</v>
      </c>
      <c r="I82" s="590"/>
      <c r="J82" s="591"/>
    </row>
    <row r="83" spans="2:5" ht="15.75">
      <c r="B83" s="103"/>
      <c r="C83" s="346" t="s">
        <v>622</v>
      </c>
      <c r="D83" s="677">
        <f>inputOth!$E$49</f>
        <v>0</v>
      </c>
      <c r="E83" s="192">
        <f>ROUND(IF(D83&gt;0,(E82*D83),0),0)</f>
        <v>0</v>
      </c>
    </row>
    <row r="84" spans="2:10" ht="16.5" thickBot="1">
      <c r="B84" s="135"/>
      <c r="C84" s="896" t="str">
        <f>CONCATENATE("Amount of  ",$E$1-1," Ad Valorem Tax")</f>
        <v>Amount of  -1 Ad Valorem Tax</v>
      </c>
      <c r="D84" s="897"/>
      <c r="E84" s="599">
        <f>E82+E83</f>
        <v>0</v>
      </c>
      <c r="G84" s="808"/>
      <c r="H84" s="827"/>
      <c r="I84" s="807"/>
      <c r="J84" s="826"/>
    </row>
    <row r="85" spans="2:10" ht="16.5" thickTop="1">
      <c r="B85" s="43"/>
      <c r="C85" s="43"/>
      <c r="D85" s="43"/>
      <c r="E85" s="43"/>
      <c r="G85" s="796" t="str">
        <f>CONCATENATE("Computed ",E1," tax levy limit amount")</f>
        <v>Computed 0 tax levy limit amount</v>
      </c>
      <c r="H85" s="797"/>
      <c r="I85" s="797"/>
      <c r="J85" s="803">
        <f>computation!J47</f>
        <v>0</v>
      </c>
    </row>
    <row r="86" spans="2:10" ht="15.75">
      <c r="B86" s="364" t="s">
        <v>120</v>
      </c>
      <c r="C86" s="743"/>
      <c r="D86" s="43"/>
      <c r="E86" s="43"/>
      <c r="G86" s="578" t="str">
        <f>CONCATENATE("Total ",E1," tax levy amount")</f>
        <v>Total 0 tax levy amount</v>
      </c>
      <c r="H86" s="579"/>
      <c r="I86" s="579"/>
      <c r="J86" s="802">
        <f>summ!G52</f>
        <v>0</v>
      </c>
    </row>
    <row r="87" ht="15.75">
      <c r="B87" s="135"/>
    </row>
    <row r="98" spans="3:4" ht="15.75" hidden="1">
      <c r="C98" s="484">
        <f>IF(C35&gt;C37,"See Tab A","")</f>
      </c>
      <c r="D98" s="484">
        <f>IF(D33&gt;D37,"See Tab C","")</f>
      </c>
    </row>
    <row r="99" spans="3:4" ht="15.75" hidden="1">
      <c r="C99" s="484">
        <f>IF(C36&lt;0,"See Tab B","")</f>
      </c>
      <c r="D99" s="484">
        <f>IF(D36&lt;0,"See Tab D","")</f>
      </c>
    </row>
    <row r="100" spans="3:4" ht="15.75" hidden="1">
      <c r="C100" s="484">
        <f>IF(C75&gt;C79,"See Tab A","")</f>
      </c>
      <c r="D100" s="484">
        <f>IF(D75&gt;D79,"See Tab C","")</f>
      </c>
    </row>
    <row r="101" spans="3:4" ht="15.75" hidden="1">
      <c r="C101" s="484">
        <f>IF(C78&lt;0,"See Tab B","")</f>
      </c>
      <c r="D101" s="484">
        <f>IF(D78&lt;0,"See Tab D","")</f>
      </c>
    </row>
  </sheetData>
  <sheetProtection sheet="1"/>
  <mergeCells count="12">
    <mergeCell ref="G18:J18"/>
    <mergeCell ref="G25:J25"/>
    <mergeCell ref="G35:J35"/>
    <mergeCell ref="G60:J60"/>
    <mergeCell ref="G67:J67"/>
    <mergeCell ref="G77:J77"/>
    <mergeCell ref="C80:D80"/>
    <mergeCell ref="C81:D81"/>
    <mergeCell ref="C38:D38"/>
    <mergeCell ref="C39:D39"/>
    <mergeCell ref="C84:D84"/>
    <mergeCell ref="C42:D42"/>
  </mergeCells>
  <conditionalFormatting sqref="E33">
    <cfRule type="cellIs" priority="3" dxfId="338" operator="greaterThan" stopIfTrue="1">
      <formula>$E$35*0.1</formula>
    </cfRule>
  </conditionalFormatting>
  <conditionalFormatting sqref="E38">
    <cfRule type="cellIs" priority="4" dxfId="338" operator="greaterThan" stopIfTrue="1">
      <formula>$E$35/0.95-$E$35</formula>
    </cfRule>
  </conditionalFormatting>
  <conditionalFormatting sqref="E75">
    <cfRule type="cellIs" priority="5" dxfId="338" operator="greaterThan" stopIfTrue="1">
      <formula>$E$77*0.1</formula>
    </cfRule>
  </conditionalFormatting>
  <conditionalFormatting sqref="E80">
    <cfRule type="cellIs" priority="6" dxfId="338" operator="greaterThan" stopIfTrue="1">
      <formula>$E$77/0.95-$E$77</formula>
    </cfRule>
  </conditionalFormatting>
  <conditionalFormatting sqref="C33">
    <cfRule type="cellIs" priority="7" dxfId="0" operator="greaterThan" stopIfTrue="1">
      <formula>$C$35*0.1</formula>
    </cfRule>
  </conditionalFormatting>
  <conditionalFormatting sqref="D33">
    <cfRule type="cellIs" priority="8" dxfId="0" operator="greaterThan" stopIfTrue="1">
      <formula>$D$35*0.1</formula>
    </cfRule>
  </conditionalFormatting>
  <conditionalFormatting sqref="D35">
    <cfRule type="cellIs" priority="9" dxfId="0" operator="greaterThan" stopIfTrue="1">
      <formula>$D$37</formula>
    </cfRule>
  </conditionalFormatting>
  <conditionalFormatting sqref="C35">
    <cfRule type="cellIs" priority="10" dxfId="0" operator="greaterThan" stopIfTrue="1">
      <formula>$C$37</formula>
    </cfRule>
  </conditionalFormatting>
  <conditionalFormatting sqref="C36 C78">
    <cfRule type="cellIs" priority="11" dxfId="0" operator="lessThan" stopIfTrue="1">
      <formula>0</formula>
    </cfRule>
  </conditionalFormatting>
  <conditionalFormatting sqref="C75">
    <cfRule type="cellIs" priority="12" dxfId="0" operator="greaterThan" stopIfTrue="1">
      <formula>$C$77*0.1</formula>
    </cfRule>
  </conditionalFormatting>
  <conditionalFormatting sqref="D77">
    <cfRule type="cellIs" priority="13" dxfId="0" operator="greaterThan" stopIfTrue="1">
      <formula>$D$79</formula>
    </cfRule>
  </conditionalFormatting>
  <conditionalFormatting sqref="C77">
    <cfRule type="cellIs" priority="14" dxfId="0" operator="greaterThan" stopIfTrue="1">
      <formula>$C$79</formula>
    </cfRule>
  </conditionalFormatting>
  <conditionalFormatting sqref="D75">
    <cfRule type="cellIs" priority="15" dxfId="0" operator="greaterThan" stopIfTrue="1">
      <formula>$D$77*0.1</formula>
    </cfRule>
  </conditionalFormatting>
  <conditionalFormatting sqref="D21">
    <cfRule type="cellIs" priority="16" dxfId="0" operator="greaterThan" stopIfTrue="1">
      <formula>$D$23*0.1</formula>
    </cfRule>
  </conditionalFormatting>
  <conditionalFormatting sqref="C21">
    <cfRule type="cellIs" priority="17" dxfId="0" operator="greaterThan" stopIfTrue="1">
      <formula>$C$23*0.1</formula>
    </cfRule>
  </conditionalFormatting>
  <conditionalFormatting sqref="D63">
    <cfRule type="cellIs" priority="18" dxfId="0" operator="greaterThan" stopIfTrue="1">
      <formula>$D$65*0.1</formula>
    </cfRule>
  </conditionalFormatting>
  <conditionalFormatting sqref="C63">
    <cfRule type="cellIs" priority="19" dxfId="0" operator="greaterThan" stopIfTrue="1">
      <formula>$C$65*0.1</formula>
    </cfRule>
  </conditionalFormatting>
  <conditionalFormatting sqref="E63">
    <cfRule type="cellIs" priority="20" dxfId="338" operator="greaterThan" stopIfTrue="1">
      <formula>$E$65*0.1+E84</formula>
    </cfRule>
  </conditionalFormatting>
  <conditionalFormatting sqref="E21">
    <cfRule type="cellIs" priority="21" dxfId="338" operator="greaterThan" stopIfTrue="1">
      <formula>$E$23*0.1+E42</formula>
    </cfRule>
  </conditionalFormatting>
  <conditionalFormatting sqref="D78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126"/>
  <sheetViews>
    <sheetView zoomScalePageLayoutView="0" workbookViewId="0" topLeftCell="A1">
      <selection activeCell="Q155" sqref="Q155"/>
    </sheetView>
  </sheetViews>
  <sheetFormatPr defaultColWidth="8.796875" defaultRowHeight="15"/>
  <cols>
    <col min="1" max="1" width="15.796875" style="41" customWidth="1"/>
    <col min="2" max="2" width="20.796875" style="41" customWidth="1"/>
    <col min="3" max="3" width="9.796875" style="41" customWidth="1"/>
    <col min="4" max="4" width="15.09765625" style="41" customWidth="1"/>
    <col min="5" max="5" width="15.796875" style="41" customWidth="1"/>
    <col min="6" max="6" width="1.8984375" style="41" customWidth="1"/>
    <col min="7" max="7" width="18.69921875" style="41" customWidth="1"/>
    <col min="8" max="16384" width="8.8984375" style="41" customWidth="1"/>
  </cols>
  <sheetData>
    <row r="1" spans="1:5" ht="15.75">
      <c r="A1" s="845" t="s">
        <v>1001</v>
      </c>
      <c r="B1" s="846"/>
      <c r="C1" s="846"/>
      <c r="D1" s="846"/>
      <c r="E1" s="846"/>
    </row>
    <row r="2" spans="1:5" ht="15.75">
      <c r="A2" s="44"/>
      <c r="B2" s="43"/>
      <c r="C2" s="43"/>
      <c r="D2" s="45"/>
      <c r="E2" s="43"/>
    </row>
    <row r="3" spans="1:5" ht="15.75">
      <c r="A3" s="748" t="s">
        <v>1002</v>
      </c>
      <c r="B3" s="43"/>
      <c r="C3" s="43"/>
      <c r="D3" s="698"/>
      <c r="E3" s="699"/>
    </row>
    <row r="4" spans="1:5" ht="15.75">
      <c r="A4" s="748" t="s">
        <v>1003</v>
      </c>
      <c r="B4" s="43"/>
      <c r="C4" s="43"/>
      <c r="D4" s="698"/>
      <c r="E4" s="699"/>
    </row>
    <row r="5" spans="1:5" ht="15.75">
      <c r="A5" s="749"/>
      <c r="B5" s="43"/>
      <c r="C5" s="43"/>
      <c r="D5" s="45"/>
      <c r="E5" s="43"/>
    </row>
    <row r="6" spans="1:5" ht="15.75">
      <c r="A6" s="748" t="s">
        <v>1004</v>
      </c>
      <c r="B6" s="43"/>
      <c r="C6" s="46"/>
      <c r="D6" s="45"/>
      <c r="E6" s="43"/>
    </row>
    <row r="7" spans="1:5" ht="15.75">
      <c r="A7" s="43"/>
      <c r="B7" s="43"/>
      <c r="C7" s="43"/>
      <c r="D7" s="43"/>
      <c r="E7" s="43"/>
    </row>
    <row r="8" spans="1:5" ht="15.75">
      <c r="A8" s="847" t="s">
        <v>1005</v>
      </c>
      <c r="B8" s="847"/>
      <c r="C8" s="847"/>
      <c r="D8" s="847"/>
      <c r="E8" s="847"/>
    </row>
    <row r="9" spans="1:8" ht="15.75" customHeight="1">
      <c r="A9" s="847"/>
      <c r="B9" s="847"/>
      <c r="C9" s="847"/>
      <c r="D9" s="847"/>
      <c r="E9" s="847"/>
      <c r="F9" s="43"/>
      <c r="G9" s="848" t="s">
        <v>1006</v>
      </c>
      <c r="H9" s="849"/>
    </row>
    <row r="10" spans="1:8" ht="15.75">
      <c r="A10" s="847"/>
      <c r="B10" s="847"/>
      <c r="C10" s="847"/>
      <c r="D10" s="847"/>
      <c r="E10" s="847"/>
      <c r="F10" s="43"/>
      <c r="G10" s="850"/>
      <c r="H10" s="851"/>
    </row>
    <row r="11" spans="1:8" ht="15.75">
      <c r="A11" s="843" t="s">
        <v>1007</v>
      </c>
      <c r="B11" s="844"/>
      <c r="C11" s="844"/>
      <c r="D11" s="844"/>
      <c r="E11" s="844"/>
      <c r="F11" s="43"/>
      <c r="G11" s="850"/>
      <c r="H11" s="851"/>
    </row>
    <row r="12" spans="1:8" ht="15.75">
      <c r="A12" s="43"/>
      <c r="B12" s="43"/>
      <c r="C12" s="43"/>
      <c r="D12" s="43"/>
      <c r="E12" s="43"/>
      <c r="F12" s="43"/>
      <c r="G12" s="850"/>
      <c r="H12" s="851"/>
    </row>
    <row r="13" spans="1:8" ht="15.75">
      <c r="A13" s="751" t="s">
        <v>298</v>
      </c>
      <c r="B13" s="752"/>
      <c r="C13" s="43"/>
      <c r="D13" s="43"/>
      <c r="E13" s="43"/>
      <c r="F13" s="43"/>
      <c r="G13" s="850"/>
      <c r="H13" s="851"/>
    </row>
    <row r="14" spans="1:8" ht="15.75">
      <c r="A14" s="753" t="str">
        <f>CONCATENATE("the ",C6-1," Budget, Certificate Page:")</f>
        <v>the -1 Budget, Certificate Page:</v>
      </c>
      <c r="B14" s="754"/>
      <c r="C14" s="43"/>
      <c r="D14" s="43"/>
      <c r="E14" s="43"/>
      <c r="F14" s="43"/>
      <c r="G14" s="850"/>
      <c r="H14" s="851"/>
    </row>
    <row r="15" spans="1:8" ht="15.75">
      <c r="A15" s="755" t="s">
        <v>361</v>
      </c>
      <c r="B15" s="756"/>
      <c r="C15" s="43"/>
      <c r="D15" s="43"/>
      <c r="E15" s="43"/>
      <c r="F15" s="43"/>
      <c r="G15" s="852"/>
      <c r="H15" s="853"/>
    </row>
    <row r="16" spans="1:8" ht="15.75">
      <c r="A16" s="43"/>
      <c r="B16" s="43"/>
      <c r="C16" s="43"/>
      <c r="D16" s="49">
        <f>C6-1</f>
        <v>-1</v>
      </c>
      <c r="E16" s="49">
        <f>C6-2</f>
        <v>-2</v>
      </c>
      <c r="F16" s="750"/>
      <c r="G16" s="163" t="s">
        <v>815</v>
      </c>
      <c r="H16" s="123" t="s">
        <v>119</v>
      </c>
    </row>
    <row r="17" spans="1:8" ht="15.75">
      <c r="A17" s="44" t="s">
        <v>70</v>
      </c>
      <c r="B17" s="43"/>
      <c r="C17" s="50" t="s">
        <v>71</v>
      </c>
      <c r="D17" s="51" t="s">
        <v>360</v>
      </c>
      <c r="E17" s="51" t="s">
        <v>62</v>
      </c>
      <c r="F17" s="750"/>
      <c r="G17" s="164" t="str">
        <f>CONCATENATE("",E16," Ad Valorem Tax")</f>
        <v>-2 Ad Valorem Tax</v>
      </c>
      <c r="H17" s="564">
        <v>0</v>
      </c>
    </row>
    <row r="18" spans="1:14" ht="15.75">
      <c r="A18" s="43"/>
      <c r="B18" s="52" t="s">
        <v>72</v>
      </c>
      <c r="C18" s="123" t="s">
        <v>214</v>
      </c>
      <c r="D18" s="785"/>
      <c r="E18" s="785"/>
      <c r="F18" s="750"/>
      <c r="G18" s="192">
        <f>IF(H17&gt;0,ROUND(E18-(E18*H17),0),0)</f>
        <v>0</v>
      </c>
      <c r="N18" s="577"/>
    </row>
    <row r="19" spans="1:7" ht="15.75">
      <c r="A19" s="43"/>
      <c r="B19" s="52" t="s">
        <v>44</v>
      </c>
      <c r="C19" s="123" t="s">
        <v>241</v>
      </c>
      <c r="D19" s="785"/>
      <c r="E19" s="785"/>
      <c r="F19" s="750"/>
      <c r="G19" s="192">
        <f>IF(H17&gt;0,ROUND(E19-(E19*H17),0),0)</f>
        <v>0</v>
      </c>
    </row>
    <row r="20" spans="1:7" ht="15.75">
      <c r="A20" s="43"/>
      <c r="B20" s="52" t="s">
        <v>816</v>
      </c>
      <c r="C20" s="123" t="s">
        <v>817</v>
      </c>
      <c r="D20" s="54"/>
      <c r="E20" s="785"/>
      <c r="F20" s="750"/>
      <c r="G20" s="192">
        <f>IF(H17&gt;0,ROUND(E20-(E20*H17),0),0)</f>
        <v>0</v>
      </c>
    </row>
    <row r="21" spans="1:7" ht="15.75">
      <c r="A21" s="44" t="s">
        <v>73</v>
      </c>
      <c r="B21" s="43"/>
      <c r="C21" s="43"/>
      <c r="D21" s="43"/>
      <c r="E21" s="786"/>
      <c r="F21" s="750"/>
      <c r="G21" s="55"/>
    </row>
    <row r="22" spans="1:7" ht="15.75">
      <c r="A22" s="43"/>
      <c r="B22" s="795"/>
      <c r="C22" s="345"/>
      <c r="D22" s="785"/>
      <c r="E22" s="785"/>
      <c r="F22" s="750"/>
      <c r="G22" s="192">
        <f>IF(H17&gt;0,ROUND(E22-(E22*H17),0),0)</f>
        <v>0</v>
      </c>
    </row>
    <row r="23" spans="1:7" ht="15.75">
      <c r="A23" s="43"/>
      <c r="B23" s="794"/>
      <c r="C23" s="345"/>
      <c r="D23" s="54"/>
      <c r="E23" s="785"/>
      <c r="F23" s="750"/>
      <c r="G23" s="192">
        <f>IF(H17&gt;0,ROUND(E23-(E23*H17),0),0)</f>
        <v>0</v>
      </c>
    </row>
    <row r="24" spans="1:7" ht="15.75">
      <c r="A24" s="43"/>
      <c r="B24" s="794"/>
      <c r="C24" s="345"/>
      <c r="D24" s="54"/>
      <c r="E24" s="785"/>
      <c r="F24" s="750"/>
      <c r="G24" s="192">
        <f>IF(H17&gt;0,ROUND(E24-(E24*H17),0),0)</f>
        <v>0</v>
      </c>
    </row>
    <row r="25" spans="1:7" ht="15.75">
      <c r="A25" s="43"/>
      <c r="B25" s="794"/>
      <c r="C25" s="345"/>
      <c r="D25" s="54"/>
      <c r="E25" s="785"/>
      <c r="F25" s="750"/>
      <c r="G25" s="192">
        <f>IF(H17&gt;0,ROUND(E25-(E25*H17),0),0)</f>
        <v>0</v>
      </c>
    </row>
    <row r="26" spans="1:7" ht="15.75">
      <c r="A26" s="43"/>
      <c r="B26" s="794"/>
      <c r="C26" s="345"/>
      <c r="D26" s="54"/>
      <c r="E26" s="785"/>
      <c r="F26" s="750"/>
      <c r="G26" s="192">
        <f>IF(H17&gt;0,ROUND(E26-(E26*H17),0),0)</f>
        <v>0</v>
      </c>
    </row>
    <row r="27" spans="1:7" ht="15.75">
      <c r="A27" s="43"/>
      <c r="B27" s="794"/>
      <c r="C27" s="345"/>
      <c r="D27" s="54"/>
      <c r="E27" s="785"/>
      <c r="F27" s="750"/>
      <c r="G27" s="192">
        <f>IF(H17&gt;0,ROUND(E27-(E27*H17),0),0)</f>
        <v>0</v>
      </c>
    </row>
    <row r="28" spans="1:7" ht="15.75">
      <c r="A28" s="43"/>
      <c r="B28" s="794"/>
      <c r="C28" s="345"/>
      <c r="D28" s="54"/>
      <c r="E28" s="785"/>
      <c r="F28" s="750"/>
      <c r="G28" s="192">
        <f>IF(H17&gt;0,ROUND(E28-(E28*H17),0),0)</f>
        <v>0</v>
      </c>
    </row>
    <row r="29" spans="1:7" ht="15.75">
      <c r="A29" s="43"/>
      <c r="B29" s="794"/>
      <c r="C29" s="345"/>
      <c r="D29" s="54"/>
      <c r="E29" s="785"/>
      <c r="F29" s="750"/>
      <c r="G29" s="192">
        <f>IF(H17&gt;0,ROUND(E29-(E29*H17),0),0)</f>
        <v>0</v>
      </c>
    </row>
    <row r="30" spans="1:14" ht="15.75">
      <c r="A30" s="43"/>
      <c r="B30" s="794"/>
      <c r="C30" s="345"/>
      <c r="D30" s="54"/>
      <c r="E30" s="785"/>
      <c r="F30" s="750"/>
      <c r="G30" s="192">
        <f>IF(H17&gt;0,ROUND(E30-(E30*H17),0),0)</f>
        <v>0</v>
      </c>
      <c r="N30" s="577"/>
    </row>
    <row r="31" spans="1:7" ht="15.75">
      <c r="A31" s="43"/>
      <c r="B31" s="794"/>
      <c r="C31" s="345"/>
      <c r="D31" s="54"/>
      <c r="E31" s="785"/>
      <c r="F31" s="750"/>
      <c r="G31" s="192">
        <f>IF(H17&gt;0,ROUND(E31-(E31*H17),0),0)</f>
        <v>0</v>
      </c>
    </row>
    <row r="32" spans="1:5" ht="15.75">
      <c r="A32" s="57" t="str">
        <f>CONCATENATE("Total Tax Levy Funds for ",C6-1," Budgeted Year")</f>
        <v>Total Tax Levy Funds for -1 Budgeted Year</v>
      </c>
      <c r="B32" s="58"/>
      <c r="C32" s="59"/>
      <c r="D32" s="60"/>
      <c r="E32" s="61">
        <f>SUM(E18:E31)</f>
        <v>0</v>
      </c>
    </row>
    <row r="33" spans="1:5" ht="15.75">
      <c r="A33" s="62"/>
      <c r="B33" s="63"/>
      <c r="C33" s="63"/>
      <c r="D33" s="64"/>
      <c r="E33" s="55"/>
    </row>
    <row r="34" spans="1:5" ht="15.75">
      <c r="A34" s="44" t="s">
        <v>246</v>
      </c>
      <c r="B34" s="43"/>
      <c r="C34" s="43"/>
      <c r="D34" s="43"/>
      <c r="E34" s="43"/>
    </row>
    <row r="35" spans="1:5" ht="15.75">
      <c r="A35" s="43"/>
      <c r="B35" s="53" t="s">
        <v>201</v>
      </c>
      <c r="C35" s="43"/>
      <c r="D35" s="54"/>
      <c r="E35" s="43"/>
    </row>
    <row r="36" spans="1:5" ht="15.75">
      <c r="A36" s="43"/>
      <c r="B36" s="56"/>
      <c r="C36" s="43"/>
      <c r="D36" s="54"/>
      <c r="E36" s="43"/>
    </row>
    <row r="37" spans="1:5" ht="15.75">
      <c r="A37" s="43"/>
      <c r="B37" s="56"/>
      <c r="C37" s="43"/>
      <c r="D37" s="54"/>
      <c r="E37" s="43"/>
    </row>
    <row r="38" spans="1:5" ht="15.75">
      <c r="A38" s="43"/>
      <c r="B38" s="56"/>
      <c r="C38" s="43"/>
      <c r="D38" s="54"/>
      <c r="E38" s="43"/>
    </row>
    <row r="39" spans="1:5" ht="15.75">
      <c r="A39" s="43"/>
      <c r="B39" s="56"/>
      <c r="C39" s="43"/>
      <c r="D39" s="54"/>
      <c r="E39" s="43"/>
    </row>
    <row r="40" spans="1:5" ht="15.75">
      <c r="A40" s="43"/>
      <c r="B40" s="56"/>
      <c r="C40" s="43"/>
      <c r="D40" s="54"/>
      <c r="E40" s="43"/>
    </row>
    <row r="41" spans="1:5" ht="15.75">
      <c r="A41" s="43"/>
      <c r="B41" s="56"/>
      <c r="C41" s="43"/>
      <c r="D41" s="54"/>
      <c r="E41" s="43"/>
    </row>
    <row r="42" spans="1:5" ht="15.75">
      <c r="A42" s="43"/>
      <c r="B42" s="56"/>
      <c r="C42" s="43"/>
      <c r="D42" s="54"/>
      <c r="E42" s="43"/>
    </row>
    <row r="43" spans="1:5" ht="15.75">
      <c r="A43" s="43"/>
      <c r="B43" s="56"/>
      <c r="C43" s="43"/>
      <c r="D43" s="54"/>
      <c r="E43" s="43"/>
    </row>
    <row r="44" spans="1:5" ht="15.75">
      <c r="A44" s="43"/>
      <c r="B44" s="56"/>
      <c r="C44" s="43"/>
      <c r="D44" s="54"/>
      <c r="E44" s="43"/>
    </row>
    <row r="45" spans="1:5" ht="15.75">
      <c r="A45" s="43"/>
      <c r="B45" s="65"/>
      <c r="C45" s="43"/>
      <c r="D45" s="54"/>
      <c r="E45" s="43"/>
    </row>
    <row r="46" spans="1:5" ht="15.75">
      <c r="A46" s="43"/>
      <c r="B46" s="65"/>
      <c r="C46" s="43"/>
      <c r="D46" s="54"/>
      <c r="E46" s="43"/>
    </row>
    <row r="47" spans="1:5" ht="15.75">
      <c r="A47" s="43"/>
      <c r="B47" s="65"/>
      <c r="C47" s="43"/>
      <c r="D47" s="54"/>
      <c r="E47" s="43"/>
    </row>
    <row r="48" spans="1:5" ht="15.75">
      <c r="A48" s="43"/>
      <c r="B48" s="65"/>
      <c r="C48" s="43"/>
      <c r="D48" s="54"/>
      <c r="E48" s="43"/>
    </row>
    <row r="49" spans="1:5" ht="15.75">
      <c r="A49" s="43"/>
      <c r="B49" s="65"/>
      <c r="C49" s="43"/>
      <c r="D49" s="54"/>
      <c r="E49" s="43"/>
    </row>
    <row r="50" spans="1:5" ht="15.75">
      <c r="A50" s="43"/>
      <c r="B50" s="65"/>
      <c r="C50" s="43"/>
      <c r="D50" s="54"/>
      <c r="E50" s="43"/>
    </row>
    <row r="51" spans="1:5" ht="15.75">
      <c r="A51" s="43" t="s">
        <v>271</v>
      </c>
      <c r="B51" s="763"/>
      <c r="C51" s="43"/>
      <c r="D51" s="43"/>
      <c r="E51" s="43"/>
    </row>
    <row r="52" spans="1:5" ht="15.75">
      <c r="A52" s="43">
        <v>1</v>
      </c>
      <c r="B52" s="762"/>
      <c r="C52" s="43"/>
      <c r="D52" s="54"/>
      <c r="E52" s="43"/>
    </row>
    <row r="53" spans="1:5" ht="15.75">
      <c r="A53" s="43">
        <v>2</v>
      </c>
      <c r="B53" s="65"/>
      <c r="C53" s="43"/>
      <c r="D53" s="54"/>
      <c r="E53" s="43"/>
    </row>
    <row r="54" spans="1:5" ht="15.75">
      <c r="A54" s="43">
        <v>3</v>
      </c>
      <c r="B54" s="65"/>
      <c r="C54" s="43"/>
      <c r="D54" s="54"/>
      <c r="E54" s="43"/>
    </row>
    <row r="55" spans="1:5" ht="15.75">
      <c r="A55" s="43">
        <v>4</v>
      </c>
      <c r="B55" s="65"/>
      <c r="C55" s="43"/>
      <c r="D55" s="54"/>
      <c r="E55" s="43"/>
    </row>
    <row r="56" spans="1:5" ht="15.75">
      <c r="A56" s="57" t="str">
        <f>CONCATENATE("Total Expenditures for ",C6-1," Budgeted Year")</f>
        <v>Total Expenditures for -1 Budgeted Year</v>
      </c>
      <c r="B56" s="763"/>
      <c r="C56" s="66"/>
      <c r="D56" s="67">
        <f>SUM(D18:D20,D22:D31,D35:D50,D52:D55)</f>
        <v>0</v>
      </c>
      <c r="E56" s="43"/>
    </row>
    <row r="57" spans="1:5" ht="15.75">
      <c r="A57" s="43" t="s">
        <v>272</v>
      </c>
      <c r="B57" s="763"/>
      <c r="C57" s="43"/>
      <c r="D57" s="43"/>
      <c r="E57" s="43"/>
    </row>
    <row r="58" spans="1:5" ht="15.75">
      <c r="A58" s="43">
        <v>1</v>
      </c>
      <c r="B58" s="762"/>
      <c r="C58" s="43"/>
      <c r="D58" s="43"/>
      <c r="E58" s="43"/>
    </row>
    <row r="59" spans="1:5" ht="15.75">
      <c r="A59" s="43">
        <v>2</v>
      </c>
      <c r="B59" s="65"/>
      <c r="C59" s="43"/>
      <c r="D59" s="43"/>
      <c r="E59" s="43"/>
    </row>
    <row r="60" spans="1:5" ht="15.75">
      <c r="A60" s="43">
        <v>3</v>
      </c>
      <c r="B60" s="65"/>
      <c r="C60" s="43"/>
      <c r="D60" s="43"/>
      <c r="E60" s="43"/>
    </row>
    <row r="61" spans="1:5" ht="15.75">
      <c r="A61" s="43">
        <v>4</v>
      </c>
      <c r="B61" s="65"/>
      <c r="C61" s="43"/>
      <c r="D61" s="43"/>
      <c r="E61" s="43"/>
    </row>
    <row r="62" spans="1:5" ht="15.75">
      <c r="A62" s="43">
        <v>5</v>
      </c>
      <c r="B62" s="65"/>
      <c r="C62" s="43"/>
      <c r="D62" s="43"/>
      <c r="E62" s="43"/>
    </row>
    <row r="63" spans="1:5" ht="15.75">
      <c r="A63" s="43" t="s">
        <v>273</v>
      </c>
      <c r="B63" s="763"/>
      <c r="C63" s="43"/>
      <c r="D63" s="43"/>
      <c r="E63" s="43"/>
    </row>
    <row r="64" spans="1:5" ht="15.75">
      <c r="A64" s="43">
        <v>1</v>
      </c>
      <c r="B64" s="762"/>
      <c r="C64" s="43"/>
      <c r="D64" s="43"/>
      <c r="E64" s="43"/>
    </row>
    <row r="65" spans="1:5" ht="15.75">
      <c r="A65" s="43">
        <v>2</v>
      </c>
      <c r="B65" s="65"/>
      <c r="C65" s="43"/>
      <c r="D65" s="43"/>
      <c r="E65" s="43"/>
    </row>
    <row r="66" spans="1:5" ht="15.75">
      <c r="A66" s="43">
        <v>3</v>
      </c>
      <c r="B66" s="65"/>
      <c r="C66" s="43"/>
      <c r="D66" s="43"/>
      <c r="E66" s="43"/>
    </row>
    <row r="67" spans="1:5" ht="15.75">
      <c r="A67" s="43">
        <v>4</v>
      </c>
      <c r="B67" s="65"/>
      <c r="C67" s="43"/>
      <c r="D67" s="43"/>
      <c r="E67" s="43"/>
    </row>
    <row r="68" spans="1:5" ht="15.75">
      <c r="A68" s="43">
        <v>5</v>
      </c>
      <c r="B68" s="65"/>
      <c r="C68" s="43"/>
      <c r="D68" s="43"/>
      <c r="E68" s="43"/>
    </row>
    <row r="69" spans="1:5" ht="15.75">
      <c r="A69" s="43" t="s">
        <v>274</v>
      </c>
      <c r="B69" s="763"/>
      <c r="C69" s="43"/>
      <c r="D69" s="43"/>
      <c r="E69" s="43"/>
    </row>
    <row r="70" spans="1:5" ht="15.75">
      <c r="A70" s="43">
        <v>1</v>
      </c>
      <c r="B70" s="762"/>
      <c r="C70" s="43"/>
      <c r="D70" s="43"/>
      <c r="E70" s="43"/>
    </row>
    <row r="71" spans="1:5" ht="15.75">
      <c r="A71" s="43">
        <v>2</v>
      </c>
      <c r="B71" s="65"/>
      <c r="C71" s="43"/>
      <c r="D71" s="43"/>
      <c r="E71" s="43"/>
    </row>
    <row r="72" spans="1:5" ht="15.75">
      <c r="A72" s="43">
        <v>3</v>
      </c>
      <c r="B72" s="65"/>
      <c r="C72" s="43"/>
      <c r="D72" s="43"/>
      <c r="E72" s="43"/>
    </row>
    <row r="73" spans="1:5" ht="15.75">
      <c r="A73" s="43">
        <v>4</v>
      </c>
      <c r="B73" s="65"/>
      <c r="C73" s="43"/>
      <c r="D73" s="43"/>
      <c r="E73" s="43"/>
    </row>
    <row r="74" spans="1:5" ht="15.75">
      <c r="A74" s="43">
        <v>5</v>
      </c>
      <c r="B74" s="65"/>
      <c r="C74" s="43"/>
      <c r="D74" s="43"/>
      <c r="E74" s="43"/>
    </row>
    <row r="75" spans="1:5" ht="15.75">
      <c r="A75" s="43" t="s">
        <v>275</v>
      </c>
      <c r="B75" s="763"/>
      <c r="C75" s="43"/>
      <c r="D75" s="43"/>
      <c r="E75" s="43"/>
    </row>
    <row r="76" spans="1:5" ht="15.75">
      <c r="A76" s="43">
        <v>1</v>
      </c>
      <c r="B76" s="762"/>
      <c r="C76" s="43"/>
      <c r="D76" s="43"/>
      <c r="E76" s="43"/>
    </row>
    <row r="77" spans="1:5" ht="15.75">
      <c r="A77" s="43">
        <v>2</v>
      </c>
      <c r="B77" s="65"/>
      <c r="C77" s="43"/>
      <c r="D77" s="43"/>
      <c r="E77" s="43"/>
    </row>
    <row r="78" spans="1:5" ht="15.75">
      <c r="A78" s="43">
        <v>3</v>
      </c>
      <c r="B78" s="65"/>
      <c r="C78" s="43"/>
      <c r="D78" s="43"/>
      <c r="E78" s="43"/>
    </row>
    <row r="79" spans="1:5" ht="15.75">
      <c r="A79" s="43">
        <v>4</v>
      </c>
      <c r="B79" s="65"/>
      <c r="C79" s="43"/>
      <c r="D79" s="43"/>
      <c r="E79" s="43"/>
    </row>
    <row r="80" spans="1:5" ht="15.75">
      <c r="A80" s="43">
        <v>5</v>
      </c>
      <c r="B80" s="65"/>
      <c r="C80" s="43"/>
      <c r="D80" s="43"/>
      <c r="E80" s="43"/>
    </row>
    <row r="81" spans="1:5" ht="15.75">
      <c r="A81" s="62"/>
      <c r="B81" s="63"/>
      <c r="C81" s="63"/>
      <c r="D81" s="63"/>
      <c r="E81" s="68"/>
    </row>
    <row r="82" spans="1:5" ht="15.75">
      <c r="A82" s="43"/>
      <c r="B82" s="43"/>
      <c r="C82" s="43"/>
      <c r="D82" s="43"/>
      <c r="E82" s="43"/>
    </row>
    <row r="83" spans="1:5" ht="15.75">
      <c r="A83" s="43"/>
      <c r="B83" s="43"/>
      <c r="C83" s="43"/>
      <c r="D83" s="760" t="str">
        <f>CONCATENATE("",C6-3," Tax Rate")</f>
        <v>-3 Tax Rate</v>
      </c>
      <c r="E83" s="43"/>
    </row>
    <row r="84" spans="1:5" ht="15.75">
      <c r="A84" s="758" t="str">
        <f>CONCATENATE("From the ",C6-1," Budget, Budget Summary Page")</f>
        <v>From the -1 Budget, Budget Summary Page</v>
      </c>
      <c r="B84" s="759"/>
      <c r="C84" s="43"/>
      <c r="D84" s="761" t="str">
        <f>CONCATENATE("(",C6-2," Column)")</f>
        <v>(-2 Column)</v>
      </c>
      <c r="E84" s="43"/>
    </row>
    <row r="85" spans="1:5" ht="15.75">
      <c r="A85" s="43"/>
      <c r="B85" s="757" t="str">
        <f>B18</f>
        <v>General</v>
      </c>
      <c r="C85" s="43"/>
      <c r="D85" s="65"/>
      <c r="E85" s="43"/>
    </row>
    <row r="86" spans="1:5" ht="15.75">
      <c r="A86" s="43"/>
      <c r="B86" s="69" t="str">
        <f>B19</f>
        <v>Debt Service</v>
      </c>
      <c r="C86" s="43"/>
      <c r="D86" s="65"/>
      <c r="E86" s="43"/>
    </row>
    <row r="87" spans="1:5" ht="15.75">
      <c r="A87" s="43"/>
      <c r="B87" s="69" t="str">
        <f>B20</f>
        <v>Library</v>
      </c>
      <c r="C87" s="43"/>
      <c r="D87" s="65"/>
      <c r="E87" s="43"/>
    </row>
    <row r="88" spans="1:5" ht="15.75">
      <c r="A88" s="43"/>
      <c r="B88" s="69">
        <f aca="true" t="shared" si="0" ref="B88:B97">B22</f>
        <v>0</v>
      </c>
      <c r="C88" s="43"/>
      <c r="D88" s="65"/>
      <c r="E88" s="43"/>
    </row>
    <row r="89" spans="1:5" ht="15.75">
      <c r="A89" s="43"/>
      <c r="B89" s="69">
        <f t="shared" si="0"/>
        <v>0</v>
      </c>
      <c r="C89" s="43"/>
      <c r="D89" s="65"/>
      <c r="E89" s="43"/>
    </row>
    <row r="90" spans="1:5" ht="15.75">
      <c r="A90" s="43"/>
      <c r="B90" s="69">
        <f t="shared" si="0"/>
        <v>0</v>
      </c>
      <c r="C90" s="43"/>
      <c r="D90" s="65"/>
      <c r="E90" s="43"/>
    </row>
    <row r="91" spans="1:5" ht="15.75">
      <c r="A91" s="43"/>
      <c r="B91" s="69">
        <f t="shared" si="0"/>
        <v>0</v>
      </c>
      <c r="C91" s="43"/>
      <c r="D91" s="65"/>
      <c r="E91" s="43"/>
    </row>
    <row r="92" spans="1:5" ht="15.75">
      <c r="A92" s="43"/>
      <c r="B92" s="69">
        <f t="shared" si="0"/>
        <v>0</v>
      </c>
      <c r="C92" s="43"/>
      <c r="D92" s="65"/>
      <c r="E92" s="43"/>
    </row>
    <row r="93" spans="1:5" ht="15.75">
      <c r="A93" s="43"/>
      <c r="B93" s="69">
        <f t="shared" si="0"/>
        <v>0</v>
      </c>
      <c r="C93" s="43"/>
      <c r="D93" s="65"/>
      <c r="E93" s="43"/>
    </row>
    <row r="94" spans="1:5" ht="15.75">
      <c r="A94" s="43"/>
      <c r="B94" s="69">
        <f t="shared" si="0"/>
        <v>0</v>
      </c>
      <c r="C94" s="43"/>
      <c r="D94" s="65"/>
      <c r="E94" s="43"/>
    </row>
    <row r="95" spans="1:5" ht="15.75">
      <c r="A95" s="43"/>
      <c r="B95" s="69">
        <f t="shared" si="0"/>
        <v>0</v>
      </c>
      <c r="C95" s="43"/>
      <c r="D95" s="65"/>
      <c r="E95" s="43"/>
    </row>
    <row r="96" spans="1:5" ht="15.75">
      <c r="A96" s="43"/>
      <c r="B96" s="69">
        <f t="shared" si="0"/>
        <v>0</v>
      </c>
      <c r="C96" s="43"/>
      <c r="D96" s="65"/>
      <c r="E96" s="43"/>
    </row>
    <row r="97" spans="1:5" ht="15.75">
      <c r="A97" s="43"/>
      <c r="B97" s="69">
        <f t="shared" si="0"/>
        <v>0</v>
      </c>
      <c r="C97" s="120"/>
      <c r="D97" s="65"/>
      <c r="E97" s="43"/>
    </row>
    <row r="98" spans="1:5" ht="15.75">
      <c r="A98" s="57" t="s">
        <v>74</v>
      </c>
      <c r="B98" s="58"/>
      <c r="C98" s="66"/>
      <c r="D98" s="70">
        <f>SUM(D85:D97)</f>
        <v>0</v>
      </c>
      <c r="E98" s="43"/>
    </row>
    <row r="99" spans="1:5" ht="15.75">
      <c r="A99" s="43"/>
      <c r="B99" s="43"/>
      <c r="C99" s="43"/>
      <c r="D99" s="43"/>
      <c r="E99" s="43"/>
    </row>
    <row r="100" spans="1:5" ht="15.75">
      <c r="A100" s="764" t="str">
        <f>CONCATENATE("Total Tax Levied (",C6-2," budget column)")</f>
        <v>Total Tax Levied (-2 budget column)</v>
      </c>
      <c r="B100" s="765"/>
      <c r="C100" s="58"/>
      <c r="D100" s="66"/>
      <c r="E100" s="54"/>
    </row>
    <row r="101" spans="1:5" ht="15.75">
      <c r="A101" s="764" t="str">
        <f>CONCATENATE("Assessed Valuation  (",C6-2," budget column)")</f>
        <v>Assessed Valuation  (-2 budget column)</v>
      </c>
      <c r="B101" s="765"/>
      <c r="C101" s="59"/>
      <c r="D101" s="71"/>
      <c r="E101" s="54"/>
    </row>
    <row r="102" spans="1:5" ht="15.75">
      <c r="A102" s="62"/>
      <c r="B102" s="63"/>
      <c r="C102" s="63"/>
      <c r="D102" s="63"/>
      <c r="E102" s="68"/>
    </row>
    <row r="103" spans="1:5" ht="15.75">
      <c r="A103" s="766" t="str">
        <f>CONCATENATE("From the ",C6-1," Budget, Budget Summary Page")</f>
        <v>From the -1 Budget, Budget Summary Page</v>
      </c>
      <c r="B103" s="767"/>
      <c r="C103" s="43"/>
      <c r="D103" s="72"/>
      <c r="E103" s="73"/>
    </row>
    <row r="104" spans="1:5" ht="15.75">
      <c r="A104" s="768" t="s">
        <v>3</v>
      </c>
      <c r="B104" s="769"/>
      <c r="C104" s="74"/>
      <c r="D104" s="75">
        <f>C6-3</f>
        <v>-3</v>
      </c>
      <c r="E104" s="76">
        <f>C6-2</f>
        <v>-2</v>
      </c>
    </row>
    <row r="105" spans="1:5" ht="15.75">
      <c r="A105" s="770" t="s">
        <v>242</v>
      </c>
      <c r="B105" s="771"/>
      <c r="C105" s="77"/>
      <c r="D105" s="78"/>
      <c r="E105" s="78"/>
    </row>
    <row r="106" spans="1:5" ht="15.75">
      <c r="A106" s="772" t="s">
        <v>243</v>
      </c>
      <c r="B106" s="773"/>
      <c r="C106" s="80"/>
      <c r="D106" s="78"/>
      <c r="E106" s="78"/>
    </row>
    <row r="107" spans="1:5" ht="15.75">
      <c r="A107" s="772" t="s">
        <v>244</v>
      </c>
      <c r="B107" s="773"/>
      <c r="C107" s="80"/>
      <c r="D107" s="78"/>
      <c r="E107" s="78"/>
    </row>
    <row r="108" spans="1:5" ht="15.75">
      <c r="A108" s="772" t="s">
        <v>245</v>
      </c>
      <c r="B108" s="773"/>
      <c r="C108" s="80"/>
      <c r="D108" s="78"/>
      <c r="E108" s="78"/>
    </row>
    <row r="109" spans="1:5" ht="15.75">
      <c r="A109" s="81"/>
      <c r="B109" s="81"/>
      <c r="C109" s="81"/>
      <c r="D109" s="81"/>
      <c r="E109" s="81"/>
    </row>
    <row r="110" spans="1:5" ht="15.75">
      <c r="A110" s="81"/>
      <c r="B110" s="81"/>
      <c r="C110" s="81"/>
      <c r="D110" s="81"/>
      <c r="E110" s="81"/>
    </row>
    <row r="111" spans="1:5" ht="15.75">
      <c r="A111" s="81"/>
      <c r="B111" s="81"/>
      <c r="C111" s="81"/>
      <c r="D111" s="81"/>
      <c r="E111" s="81"/>
    </row>
    <row r="112" spans="1:5" ht="15.75">
      <c r="A112" s="81"/>
      <c r="B112" s="81"/>
      <c r="C112" s="81"/>
      <c r="D112" s="81"/>
      <c r="E112" s="81"/>
    </row>
    <row r="113" spans="1:5" ht="15.75">
      <c r="A113" s="81"/>
      <c r="B113" s="81"/>
      <c r="C113" s="81"/>
      <c r="D113" s="81"/>
      <c r="E113" s="81"/>
    </row>
    <row r="114" spans="1:5" ht="15.75">
      <c r="A114" s="81"/>
      <c r="B114" s="81"/>
      <c r="C114" s="81"/>
      <c r="D114" s="81"/>
      <c r="E114" s="81"/>
    </row>
    <row r="115" s="81" customFormat="1" ht="15"/>
    <row r="116" spans="1:5" ht="15.75">
      <c r="A116" s="81"/>
      <c r="B116" s="81"/>
      <c r="C116" s="81"/>
      <c r="D116" s="81"/>
      <c r="E116" s="81"/>
    </row>
    <row r="117" spans="1:5" ht="15.75">
      <c r="A117" s="81"/>
      <c r="B117" s="81"/>
      <c r="C117" s="81"/>
      <c r="D117" s="81"/>
      <c r="E117" s="81"/>
    </row>
    <row r="118" spans="1:5" ht="15.75">
      <c r="A118" s="81"/>
      <c r="B118" s="81"/>
      <c r="C118" s="81"/>
      <c r="D118" s="81"/>
      <c r="E118" s="81"/>
    </row>
    <row r="119" spans="1:5" ht="15.75">
      <c r="A119" s="81"/>
      <c r="B119" s="81"/>
      <c r="C119" s="81"/>
      <c r="D119" s="81"/>
      <c r="E119" s="81"/>
    </row>
    <row r="120" spans="1:5" ht="15.75">
      <c r="A120" s="81"/>
      <c r="B120" s="81"/>
      <c r="C120" s="81"/>
      <c r="D120" s="81"/>
      <c r="E120" s="81"/>
    </row>
    <row r="121" spans="1:5" ht="15.75">
      <c r="A121" s="81"/>
      <c r="B121" s="81"/>
      <c r="C121" s="81"/>
      <c r="D121" s="81"/>
      <c r="E121" s="81"/>
    </row>
    <row r="122" spans="1:5" ht="15.75">
      <c r="A122" s="81"/>
      <c r="B122" s="81"/>
      <c r="C122" s="81"/>
      <c r="D122" s="81"/>
      <c r="E122" s="81"/>
    </row>
    <row r="123" spans="1:5" ht="15.75">
      <c r="A123" s="81"/>
      <c r="B123" s="81"/>
      <c r="C123" s="81"/>
      <c r="D123" s="81"/>
      <c r="E123" s="81"/>
    </row>
    <row r="124" spans="1:5" ht="15.75">
      <c r="A124" s="81"/>
      <c r="B124" s="81"/>
      <c r="C124" s="81"/>
      <c r="D124" s="81"/>
      <c r="E124" s="81"/>
    </row>
    <row r="125" spans="1:5" ht="15.75">
      <c r="A125" s="81"/>
      <c r="B125" s="81"/>
      <c r="C125" s="81"/>
      <c r="D125" s="81"/>
      <c r="E125" s="81"/>
    </row>
    <row r="126" spans="1:5" ht="15.75">
      <c r="A126" s="81"/>
      <c r="B126" s="81"/>
      <c r="C126" s="81"/>
      <c r="D126" s="81"/>
      <c r="E126" s="81"/>
    </row>
  </sheetData>
  <sheetProtection sheet="1"/>
  <mergeCells count="4">
    <mergeCell ref="A11:E11"/>
    <mergeCell ref="A1:E1"/>
    <mergeCell ref="A8:E10"/>
    <mergeCell ref="G9:H15"/>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G84" sqref="G84:J84"/>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61">
        <f>(inputPrYr!D3)</f>
        <v>0</v>
      </c>
      <c r="C1" s="43"/>
      <c r="D1" s="43"/>
      <c r="E1" s="212">
        <f>inputPrYr!C6</f>
        <v>0</v>
      </c>
    </row>
    <row r="2" spans="2:5" ht="15.75">
      <c r="B2" s="43"/>
      <c r="C2" s="43"/>
      <c r="D2" s="43"/>
      <c r="E2" s="135"/>
    </row>
    <row r="3" spans="2:5" ht="15.75">
      <c r="B3" s="213" t="s">
        <v>168</v>
      </c>
      <c r="C3" s="165"/>
      <c r="D3" s="165"/>
      <c r="E3" s="251"/>
    </row>
    <row r="4" spans="2:5" ht="15.75">
      <c r="B4" s="44" t="s">
        <v>101</v>
      </c>
      <c r="C4" s="663" t="s">
        <v>892</v>
      </c>
      <c r="D4" s="664" t="s">
        <v>893</v>
      </c>
      <c r="E4" s="111" t="s">
        <v>894</v>
      </c>
    </row>
    <row r="5" spans="2:5" ht="15.75">
      <c r="B5" s="489">
        <f>inputPrYr!B30</f>
        <v>0</v>
      </c>
      <c r="C5" s="189" t="str">
        <f>CONCATENATE("Actual for ",E1-2,"")</f>
        <v>Actual for -2</v>
      </c>
      <c r="D5" s="189" t="str">
        <f>CONCATENATE("Estimate for ",E1-1,"")</f>
        <v>Estimate for -1</v>
      </c>
      <c r="E5" s="172" t="str">
        <f>CONCATENATE("Year for ",E1,"")</f>
        <v>Year for 0</v>
      </c>
    </row>
    <row r="6" spans="2:5" ht="15.75">
      <c r="B6" s="216" t="s">
        <v>210</v>
      </c>
      <c r="C6" s="221"/>
      <c r="D6" s="219">
        <f>C36</f>
        <v>0</v>
      </c>
      <c r="E6" s="192">
        <f>D36</f>
        <v>0</v>
      </c>
    </row>
    <row r="7" spans="2:5" ht="15.75">
      <c r="B7" s="220" t="s">
        <v>212</v>
      </c>
      <c r="C7" s="126"/>
      <c r="D7" s="126"/>
      <c r="E7" s="69"/>
    </row>
    <row r="8" spans="2:5" ht="15.75">
      <c r="B8" s="117" t="s">
        <v>102</v>
      </c>
      <c r="C8" s="221"/>
      <c r="D8" s="219">
        <f>IF(inputPrYr!H17&gt;0,inputPrYr!G30,inputPrYr!E30)</f>
        <v>0</v>
      </c>
      <c r="E8" s="249" t="s">
        <v>91</v>
      </c>
    </row>
    <row r="9" spans="2:5" ht="15.75">
      <c r="B9" s="117" t="s">
        <v>103</v>
      </c>
      <c r="C9" s="221"/>
      <c r="D9" s="221"/>
      <c r="E9" s="54"/>
    </row>
    <row r="10" spans="2:5" ht="15.75">
      <c r="B10" s="117" t="s">
        <v>104</v>
      </c>
      <c r="C10" s="221"/>
      <c r="D10" s="221"/>
      <c r="E10" s="192" t="str">
        <f>mvalloc!D18</f>
        <v>  </v>
      </c>
    </row>
    <row r="11" spans="2:5" ht="15.75">
      <c r="B11" s="117" t="s">
        <v>105</v>
      </c>
      <c r="C11" s="221"/>
      <c r="D11" s="221"/>
      <c r="E11" s="192" t="str">
        <f>mvalloc!E18</f>
        <v> </v>
      </c>
    </row>
    <row r="12" spans="2:5" ht="15.75">
      <c r="B12" s="126" t="s">
        <v>199</v>
      </c>
      <c r="C12" s="221"/>
      <c r="D12" s="221"/>
      <c r="E12" s="192" t="str">
        <f>mvalloc!F18</f>
        <v> </v>
      </c>
    </row>
    <row r="13" spans="2:5" ht="15.75">
      <c r="B13" s="793" t="s">
        <v>1020</v>
      </c>
      <c r="C13" s="221"/>
      <c r="D13" s="221"/>
      <c r="E13" s="192" t="str">
        <f>mvalloc!G18</f>
        <v> </v>
      </c>
    </row>
    <row r="14" spans="2:5" ht="15.75">
      <c r="B14" s="793" t="s">
        <v>1021</v>
      </c>
      <c r="C14" s="221"/>
      <c r="D14" s="221"/>
      <c r="E14" s="192" t="str">
        <f>mvalloc!H18</f>
        <v> </v>
      </c>
    </row>
    <row r="15" spans="2:5" ht="15.75">
      <c r="B15" s="237"/>
      <c r="C15" s="221"/>
      <c r="D15" s="221"/>
      <c r="E15" s="56"/>
    </row>
    <row r="16" spans="2:5" ht="15.75">
      <c r="B16" s="237"/>
      <c r="C16" s="221"/>
      <c r="D16" s="221"/>
      <c r="E16" s="56"/>
    </row>
    <row r="17" spans="2:5" ht="15.75">
      <c r="B17" s="237"/>
      <c r="C17" s="221"/>
      <c r="D17" s="221"/>
      <c r="E17" s="54"/>
    </row>
    <row r="18" spans="2:10" ht="15.75">
      <c r="B18" s="237"/>
      <c r="C18" s="221"/>
      <c r="D18" s="221"/>
      <c r="E18" s="54"/>
      <c r="G18" s="906" t="str">
        <f>CONCATENATE("Desired Carryover Into ",E1+1,"")</f>
        <v>Desired Carryover Into 1</v>
      </c>
      <c r="H18" s="898"/>
      <c r="I18" s="898"/>
      <c r="J18" s="899"/>
    </row>
    <row r="19" spans="2:10" ht="15.75">
      <c r="B19" s="225" t="s">
        <v>109</v>
      </c>
      <c r="C19" s="221"/>
      <c r="D19" s="221"/>
      <c r="E19" s="54"/>
      <c r="G19" s="600"/>
      <c r="H19" s="601"/>
      <c r="I19" s="602"/>
      <c r="J19" s="603"/>
    </row>
    <row r="20" spans="2:10" ht="15.75">
      <c r="B20" s="238" t="s">
        <v>12</v>
      </c>
      <c r="C20" s="221"/>
      <c r="D20" s="221"/>
      <c r="E20" s="839">
        <f>nhood!E17*-1</f>
        <v>0</v>
      </c>
      <c r="G20" s="604" t="s">
        <v>722</v>
      </c>
      <c r="H20" s="602"/>
      <c r="I20" s="602"/>
      <c r="J20" s="605">
        <v>0</v>
      </c>
    </row>
    <row r="21" spans="2:10" ht="15.75">
      <c r="B21" s="126" t="s">
        <v>13</v>
      </c>
      <c r="C21" s="221"/>
      <c r="D21" s="221"/>
      <c r="E21" s="54"/>
      <c r="G21" s="600" t="s">
        <v>723</v>
      </c>
      <c r="H21" s="601"/>
      <c r="I21" s="601"/>
      <c r="J21" s="606">
        <f>IF(J20=0,"",ROUND((J20+E42-G33)/inputOth!E7*1000,3)-G38)</f>
      </c>
    </row>
    <row r="22" spans="2:10" ht="15.75">
      <c r="B22" s="216" t="s">
        <v>734</v>
      </c>
      <c r="C22" s="226">
        <f>IF(C23*0.1&lt;C21,"Exceed 10% Rule","")</f>
      </c>
      <c r="D22" s="226">
        <f>IF(D23*0.1&lt;D21,"Exceed 10% Rule","")</f>
      </c>
      <c r="E22" s="262">
        <f>IF(E23*0.1+E42&lt;E21,"Exceed 10% Rule","")</f>
      </c>
      <c r="G22" s="607" t="str">
        <f>CONCATENATE("",E1," Tot Exp/Non-Appr Must Be:")</f>
        <v>0 Tot Exp/Non-Appr Must Be:</v>
      </c>
      <c r="H22" s="608"/>
      <c r="I22" s="609"/>
      <c r="J22" s="610">
        <f>IF(J20&gt;0,IF(E39&lt;E23,IF(J20=G33,E39,((J20-G33)*(1-D41))+E23),E39+(J20-G33)),0)</f>
        <v>0</v>
      </c>
    </row>
    <row r="23" spans="2:10" ht="15.75">
      <c r="B23" s="228" t="s">
        <v>110</v>
      </c>
      <c r="C23" s="230">
        <f>SUM(C8:C21)</f>
        <v>0</v>
      </c>
      <c r="D23" s="230">
        <f>SUM(D8:D21)</f>
        <v>0</v>
      </c>
      <c r="E23" s="231">
        <f>SUM(E8:E21)</f>
        <v>0</v>
      </c>
      <c r="G23" s="611" t="s">
        <v>835</v>
      </c>
      <c r="H23" s="612"/>
      <c r="I23" s="612"/>
      <c r="J23" s="613">
        <f>IF(J20&gt;0,J22-E39,0)</f>
        <v>0</v>
      </c>
    </row>
    <row r="24" spans="2:10" ht="15.75">
      <c r="B24" s="228" t="s">
        <v>111</v>
      </c>
      <c r="C24" s="230">
        <f>C6+C23</f>
        <v>0</v>
      </c>
      <c r="D24" s="230">
        <f>D6+D23</f>
        <v>0</v>
      </c>
      <c r="E24" s="231">
        <f>E6+E23</f>
        <v>0</v>
      </c>
      <c r="J24" s="2"/>
    </row>
    <row r="25" spans="2:10" ht="15.75">
      <c r="B25" s="117" t="s">
        <v>113</v>
      </c>
      <c r="C25" s="238"/>
      <c r="D25" s="238"/>
      <c r="E25" s="53"/>
      <c r="G25" s="906" t="str">
        <f>CONCATENATE("Projected Carryover Into ",E1+1,"")</f>
        <v>Projected Carryover Into 1</v>
      </c>
      <c r="H25" s="910"/>
      <c r="I25" s="910"/>
      <c r="J25" s="908"/>
    </row>
    <row r="26" spans="2:10" ht="15.75">
      <c r="B26" s="237"/>
      <c r="C26" s="221"/>
      <c r="D26" s="221"/>
      <c r="E26" s="54"/>
      <c r="G26" s="600"/>
      <c r="H26" s="602"/>
      <c r="I26" s="602"/>
      <c r="J26" s="615"/>
    </row>
    <row r="27" spans="2:10" ht="15.75">
      <c r="B27" s="237"/>
      <c r="C27" s="221"/>
      <c r="D27" s="221"/>
      <c r="E27" s="54"/>
      <c r="G27" s="616">
        <f>D36</f>
        <v>0</v>
      </c>
      <c r="H27" s="583" t="str">
        <f>CONCATENATE("",E1-1," Ending Cash Balance (est.)")</f>
        <v>-1 Ending Cash Balance (est.)</v>
      </c>
      <c r="I27" s="617"/>
      <c r="J27" s="615"/>
    </row>
    <row r="28" spans="2:10" ht="15.75">
      <c r="B28" s="237"/>
      <c r="C28" s="221"/>
      <c r="D28" s="221"/>
      <c r="E28" s="54"/>
      <c r="G28" s="616">
        <f>E22</f>
      </c>
      <c r="H28" s="602" t="str">
        <f>CONCATENATE("",E1," Non-AV Receipts (est.)")</f>
        <v>0 Non-AV Receipts (est.)</v>
      </c>
      <c r="I28" s="617"/>
      <c r="J28" s="615"/>
    </row>
    <row r="29" spans="2:11" ht="15.75">
      <c r="B29" s="237"/>
      <c r="C29" s="221"/>
      <c r="D29" s="221"/>
      <c r="E29" s="54"/>
      <c r="G29" s="618">
        <f>IF(E41&gt;0,E40,E42)</f>
        <v>0</v>
      </c>
      <c r="H29" s="602" t="str">
        <f>CONCATENATE("",E1," Ad Valorem Tax (est.)")</f>
        <v>0 Ad Valorem Tax (est.)</v>
      </c>
      <c r="I29" s="617"/>
      <c r="J29" s="596"/>
      <c r="K29" s="592">
        <f>IF(G29=E42,"","Note: Does not include Delinquent Taxes")</f>
      </c>
    </row>
    <row r="30" spans="2:10" ht="15.75">
      <c r="B30" s="237"/>
      <c r="C30" s="221"/>
      <c r="D30" s="221"/>
      <c r="E30" s="54"/>
      <c r="G30" s="616">
        <f>SUM(G27:G29)</f>
        <v>0</v>
      </c>
      <c r="H30" s="602" t="str">
        <f>CONCATENATE("Total ",E1," Resources Available")</f>
        <v>Total 0 Resources Available</v>
      </c>
      <c r="I30" s="617"/>
      <c r="J30" s="615"/>
    </row>
    <row r="31" spans="2:10" ht="15.75">
      <c r="B31" s="237"/>
      <c r="C31" s="221"/>
      <c r="D31" s="221"/>
      <c r="E31" s="54"/>
      <c r="G31" s="653"/>
      <c r="H31" s="602"/>
      <c r="I31" s="602"/>
      <c r="J31" s="615"/>
    </row>
    <row r="32" spans="2:10" ht="15.75">
      <c r="B32" s="238" t="str">
        <f>CONCATENATE("Cash Forward (",E1," column)")</f>
        <v>Cash Forward (0 column)</v>
      </c>
      <c r="C32" s="221"/>
      <c r="D32" s="221"/>
      <c r="E32" s="54"/>
      <c r="G32" s="618">
        <f>ROUND(C35*0.05+C35,0)</f>
        <v>0</v>
      </c>
      <c r="H32" s="602" t="str">
        <f>CONCATENATE("Less ",E1-2," Expenditures + 5%")</f>
        <v>Less -2 Expenditures + 5%</v>
      </c>
      <c r="I32" s="617"/>
      <c r="J32" s="615"/>
    </row>
    <row r="33" spans="2:10" ht="15.75">
      <c r="B33" s="238" t="s">
        <v>13</v>
      </c>
      <c r="C33" s="221"/>
      <c r="D33" s="221"/>
      <c r="E33" s="54"/>
      <c r="G33" s="654">
        <f>G30-G32</f>
        <v>0</v>
      </c>
      <c r="H33" s="655" t="str">
        <f>CONCATENATE("Projected ",E1+1," carryover (est.)")</f>
        <v>Projected 1 carryover (est.)</v>
      </c>
      <c r="I33" s="656"/>
      <c r="J33" s="628"/>
    </row>
    <row r="34" spans="2:10" ht="15.75">
      <c r="B34" s="238" t="s">
        <v>735</v>
      </c>
      <c r="C34" s="226">
        <f>IF(C35*0.1&lt;C33,"Exceed 10% Rule","")</f>
      </c>
      <c r="D34" s="226">
        <f>IF(D35*0.1&lt;D33,"Exceed 10% Rule","")</f>
      </c>
      <c r="E34" s="262">
        <f>IF(E35*0.1&lt;E33,"Exceed 10% Rule","")</f>
      </c>
      <c r="G34" s="2"/>
      <c r="H34" s="2"/>
      <c r="I34" s="2"/>
      <c r="J34" s="2"/>
    </row>
    <row r="35" spans="2:10" ht="15.75">
      <c r="B35" s="228" t="s">
        <v>117</v>
      </c>
      <c r="C35" s="230">
        <f>SUM(C27:C33)</f>
        <v>0</v>
      </c>
      <c r="D35" s="230">
        <f>SUM(D27:D33)</f>
        <v>0</v>
      </c>
      <c r="E35" s="231">
        <f>SUM(E27:E33)</f>
        <v>0</v>
      </c>
      <c r="G35" s="900" t="s">
        <v>834</v>
      </c>
      <c r="H35" s="901"/>
      <c r="I35" s="901"/>
      <c r="J35" s="902"/>
    </row>
    <row r="36" spans="2:10" ht="15.75">
      <c r="B36" s="117" t="s">
        <v>211</v>
      </c>
      <c r="C36" s="234">
        <f>C24-C35</f>
        <v>0</v>
      </c>
      <c r="D36" s="234">
        <f>D24-D35</f>
        <v>0</v>
      </c>
      <c r="E36" s="249" t="s">
        <v>91</v>
      </c>
      <c r="G36" s="582"/>
      <c r="H36" s="583"/>
      <c r="I36" s="584"/>
      <c r="J36" s="585"/>
    </row>
    <row r="37" spans="2:10" ht="15.75">
      <c r="B37" s="137" t="str">
        <f>CONCATENATE("",E1-2,"/",E1-1,"/",E1," Budget Authority Amount:")</f>
        <v>-2/-1/0 Budget Authority Amount:</v>
      </c>
      <c r="C37" s="669">
        <f>inputOth!B73</f>
        <v>0</v>
      </c>
      <c r="D37" s="669">
        <f>inputPrYr!D30</f>
        <v>0</v>
      </c>
      <c r="E37" s="192">
        <f>E35</f>
        <v>0</v>
      </c>
      <c r="F37" s="239"/>
      <c r="G37" s="586" t="str">
        <f>summ!H26</f>
        <v>  </v>
      </c>
      <c r="H37" s="583" t="str">
        <f>CONCATENATE("",E1," Fund Mill Rate")</f>
        <v>0 Fund Mill Rate</v>
      </c>
      <c r="I37" s="584"/>
      <c r="J37" s="585"/>
    </row>
    <row r="38" spans="2:10" ht="15.75">
      <c r="B38" s="103"/>
      <c r="C38" s="892" t="s">
        <v>623</v>
      </c>
      <c r="D38" s="893"/>
      <c r="E38" s="54"/>
      <c r="F38" s="687">
        <f>IF(E35/0.95-E35&lt;E38,"Exceeds 5%","")</f>
      </c>
      <c r="G38" s="587" t="str">
        <f>summ!E26</f>
        <v>  </v>
      </c>
      <c r="H38" s="583" t="str">
        <f>CONCATENATE("",E1-1," Fund Mill Rate")</f>
        <v>-1 Fund Mill Rate</v>
      </c>
      <c r="I38" s="584"/>
      <c r="J38" s="585"/>
    </row>
    <row r="39" spans="2:10" ht="15.75">
      <c r="B39" s="485" t="str">
        <f>CONCATENATE(C98,"     ",D98)</f>
        <v>     </v>
      </c>
      <c r="C39" s="894" t="s">
        <v>624</v>
      </c>
      <c r="D39" s="895"/>
      <c r="E39" s="192">
        <f>E35+E38</f>
        <v>0</v>
      </c>
      <c r="G39" s="588">
        <f>summ!H52</f>
        <v>0</v>
      </c>
      <c r="H39" s="583" t="str">
        <f>CONCATENATE("Total ",E1," Mill Rate")</f>
        <v>Total 0 Mill Rate</v>
      </c>
      <c r="I39" s="584"/>
      <c r="J39" s="585"/>
    </row>
    <row r="40" spans="2:10" ht="15.75">
      <c r="B40" s="485" t="str">
        <f>CONCATENATE(C99,"     ",D99)</f>
        <v>     </v>
      </c>
      <c r="C40" s="240"/>
      <c r="D40" s="135" t="s">
        <v>118</v>
      </c>
      <c r="E40" s="67">
        <f>IF(E39-E24&gt;0,E39-E24,0)</f>
        <v>0</v>
      </c>
      <c r="G40" s="587">
        <f>summ!E52</f>
        <v>0</v>
      </c>
      <c r="H40" s="589" t="str">
        <f>CONCATENATE("Total ",E1-1," Mill Rate")</f>
        <v>Total -1 Mill Rate</v>
      </c>
      <c r="I40" s="590"/>
      <c r="J40" s="591"/>
    </row>
    <row r="41" spans="2:5" ht="15.75">
      <c r="B41" s="135"/>
      <c r="C41" s="346" t="s">
        <v>622</v>
      </c>
      <c r="D41" s="677">
        <f>inputOth!$E$49</f>
        <v>0</v>
      </c>
      <c r="E41" s="192">
        <f>ROUND(IF(D41&gt;0,(E40*D41),0),0)</f>
        <v>0</v>
      </c>
    </row>
    <row r="42" spans="2:10" ht="16.5" thickBot="1">
      <c r="B42" s="43"/>
      <c r="C42" s="896" t="str">
        <f>CONCATENATE("Amount of  ",$E$1-1," Ad Valorem Tax")</f>
        <v>Amount of  -1 Ad Valorem Tax</v>
      </c>
      <c r="D42" s="897"/>
      <c r="E42" s="599">
        <f>E40+E41</f>
        <v>0</v>
      </c>
      <c r="G42" s="808"/>
      <c r="H42" s="827"/>
      <c r="I42" s="807"/>
      <c r="J42" s="826"/>
    </row>
    <row r="43" spans="2:10" ht="16.5" thickTop="1">
      <c r="B43" s="43"/>
      <c r="C43" s="43"/>
      <c r="D43" s="43"/>
      <c r="E43" s="43"/>
      <c r="G43" s="806" t="str">
        <f>CONCATENATE("Computed ",E1," tax levy limit amount")</f>
        <v>Computed 0 tax levy limit amount</v>
      </c>
      <c r="H43" s="797"/>
      <c r="I43" s="797"/>
      <c r="J43" s="803">
        <f>computation!J47</f>
        <v>0</v>
      </c>
    </row>
    <row r="44" spans="2:10" ht="15.75">
      <c r="B44" s="44"/>
      <c r="C44" s="109"/>
      <c r="D44" s="109"/>
      <c r="E44" s="109"/>
      <c r="G44" s="804" t="str">
        <f>CONCATENATE("Total ",E1," tax levy amount")</f>
        <v>Total 0 tax levy amount</v>
      </c>
      <c r="H44" s="579"/>
      <c r="I44" s="579"/>
      <c r="J44" s="802">
        <f>summ!G52</f>
        <v>0</v>
      </c>
    </row>
    <row r="45" spans="2:5" ht="15.75">
      <c r="B45" s="44" t="s">
        <v>101</v>
      </c>
      <c r="C45" s="663" t="s">
        <v>892</v>
      </c>
      <c r="D45" s="664" t="s">
        <v>893</v>
      </c>
      <c r="E45" s="111" t="s">
        <v>894</v>
      </c>
    </row>
    <row r="46" spans="2:5" ht="15.75">
      <c r="B46" s="489">
        <f>inputPrYr!B31</f>
        <v>0</v>
      </c>
      <c r="C46" s="189" t="str">
        <f>CONCATENATE("Actual for ",E1-2,"")</f>
        <v>Actual for -2</v>
      </c>
      <c r="D46" s="189" t="str">
        <f>CONCATENATE("Estimate for ",E1-1,"")</f>
        <v>Estimate for -1</v>
      </c>
      <c r="E46" s="172" t="str">
        <f>CONCATENATE("Year for ",E1,"")</f>
        <v>Year for 0</v>
      </c>
    </row>
    <row r="47" spans="2:5" ht="15.75">
      <c r="B47" s="216" t="s">
        <v>210</v>
      </c>
      <c r="C47" s="221"/>
      <c r="D47" s="219">
        <f>C78</f>
        <v>0</v>
      </c>
      <c r="E47" s="192">
        <f>D78</f>
        <v>0</v>
      </c>
    </row>
    <row r="48" spans="2:5" ht="15.75">
      <c r="B48" s="220" t="s">
        <v>212</v>
      </c>
      <c r="C48" s="126"/>
      <c r="D48" s="126"/>
      <c r="E48" s="69"/>
    </row>
    <row r="49" spans="2:5" ht="15.75">
      <c r="B49" s="117" t="s">
        <v>102</v>
      </c>
      <c r="C49" s="221"/>
      <c r="D49" s="219">
        <f>IF(inputPrYr!H17&gt;0,inputPrYr!G31,inputPrYr!E31)</f>
        <v>0</v>
      </c>
      <c r="E49" s="249" t="s">
        <v>91</v>
      </c>
    </row>
    <row r="50" spans="2:5" ht="15.75">
      <c r="B50" s="117" t="s">
        <v>103</v>
      </c>
      <c r="C50" s="221"/>
      <c r="D50" s="221"/>
      <c r="E50" s="54"/>
    </row>
    <row r="51" spans="2:5" ht="15.75">
      <c r="B51" s="117" t="s">
        <v>104</v>
      </c>
      <c r="C51" s="221"/>
      <c r="D51" s="221"/>
      <c r="E51" s="192" t="str">
        <f>mvalloc!D19</f>
        <v>  </v>
      </c>
    </row>
    <row r="52" spans="2:5" ht="15.75">
      <c r="B52" s="117" t="s">
        <v>105</v>
      </c>
      <c r="C52" s="221"/>
      <c r="D52" s="221"/>
      <c r="E52" s="192" t="str">
        <f>mvalloc!E19</f>
        <v> </v>
      </c>
    </row>
    <row r="53" spans="2:5" ht="15.75">
      <c r="B53" s="126" t="s">
        <v>199</v>
      </c>
      <c r="C53" s="221"/>
      <c r="D53" s="221"/>
      <c r="E53" s="192" t="str">
        <f>mvalloc!F19</f>
        <v> </v>
      </c>
    </row>
    <row r="54" spans="2:5" ht="15.75">
      <c r="B54" s="793" t="s">
        <v>1020</v>
      </c>
      <c r="C54" s="221"/>
      <c r="D54" s="221"/>
      <c r="E54" s="192" t="str">
        <f>mvalloc!G19</f>
        <v> </v>
      </c>
    </row>
    <row r="55" spans="2:5" ht="15.75">
      <c r="B55" s="793" t="s">
        <v>1021</v>
      </c>
      <c r="C55" s="221"/>
      <c r="D55" s="221"/>
      <c r="E55" s="192" t="str">
        <f>mvalloc!H19</f>
        <v> </v>
      </c>
    </row>
    <row r="56" spans="2:5" ht="15.75">
      <c r="B56" s="237"/>
      <c r="C56" s="221"/>
      <c r="D56" s="221"/>
      <c r="E56" s="56"/>
    </row>
    <row r="57" spans="2:5" ht="15.75">
      <c r="B57" s="237"/>
      <c r="C57" s="221"/>
      <c r="D57" s="221"/>
      <c r="E57" s="56"/>
    </row>
    <row r="58" spans="2:5" ht="15.75">
      <c r="B58" s="237"/>
      <c r="C58" s="221"/>
      <c r="D58" s="221"/>
      <c r="E58" s="54"/>
    </row>
    <row r="59" spans="2:5" ht="15.75">
      <c r="B59" s="237"/>
      <c r="C59" s="221"/>
      <c r="D59" s="221"/>
      <c r="E59" s="54"/>
    </row>
    <row r="60" spans="2:10" ht="15.75">
      <c r="B60" s="237"/>
      <c r="C60" s="221"/>
      <c r="D60" s="221"/>
      <c r="E60" s="54"/>
      <c r="G60" s="906" t="str">
        <f>CONCATENATE("Desired Carryover Into ",E1+1,"")</f>
        <v>Desired Carryover Into 1</v>
      </c>
      <c r="H60" s="898"/>
      <c r="I60" s="898"/>
      <c r="J60" s="899"/>
    </row>
    <row r="61" spans="2:10" ht="15.75">
      <c r="B61" s="225" t="s">
        <v>109</v>
      </c>
      <c r="C61" s="221"/>
      <c r="D61" s="221"/>
      <c r="E61" s="54"/>
      <c r="G61" s="600"/>
      <c r="H61" s="601"/>
      <c r="I61" s="602"/>
      <c r="J61" s="603"/>
    </row>
    <row r="62" spans="2:10" ht="15.75">
      <c r="B62" s="238" t="s">
        <v>12</v>
      </c>
      <c r="C62" s="221"/>
      <c r="D62" s="221"/>
      <c r="E62" s="839">
        <f>nhood!E18*-1</f>
        <v>0</v>
      </c>
      <c r="G62" s="604" t="s">
        <v>722</v>
      </c>
      <c r="H62" s="602"/>
      <c r="I62" s="602"/>
      <c r="J62" s="605">
        <v>0</v>
      </c>
    </row>
    <row r="63" spans="2:10" ht="15.75">
      <c r="B63" s="126" t="s">
        <v>13</v>
      </c>
      <c r="C63" s="221"/>
      <c r="D63" s="221"/>
      <c r="E63" s="54"/>
      <c r="G63" s="600" t="s">
        <v>723</v>
      </c>
      <c r="H63" s="601"/>
      <c r="I63" s="601"/>
      <c r="J63" s="606">
        <f>IF(J62=0,"",ROUND((J62+E84-G75)/inputOth!E7*1000,3)-G80)</f>
      </c>
    </row>
    <row r="64" spans="2:10" ht="15.75">
      <c r="B64" s="216" t="s">
        <v>734</v>
      </c>
      <c r="C64" s="226">
        <f>IF(C65*0.1&lt;C63,"Exceed 10% Rule","")</f>
      </c>
      <c r="D64" s="226">
        <f>IF(D65*0.1&lt;D63,"Exceed 10% Rule","")</f>
      </c>
      <c r="E64" s="262">
        <f>IF(E65*0.1+E84&lt;E63,"Exceed 10% Rule","")</f>
      </c>
      <c r="G64" s="607" t="str">
        <f>CONCATENATE("",E1," Tot Exp/Non-Appr Must Be:")</f>
        <v>0 Tot Exp/Non-Appr Must Be:</v>
      </c>
      <c r="H64" s="608"/>
      <c r="I64" s="609"/>
      <c r="J64" s="610">
        <f>IF(J62&gt;0,IF(E81&lt;E66,IF(J62=G75,E81,((J62-G75)*(1-D83))+E66),E81+(J62-G75)),0)</f>
        <v>0</v>
      </c>
    </row>
    <row r="65" spans="2:10" ht="15.75">
      <c r="B65" s="228" t="s">
        <v>110</v>
      </c>
      <c r="C65" s="230">
        <f>SUM(C49:C63)</f>
        <v>0</v>
      </c>
      <c r="D65" s="230">
        <f>SUM(D49:D63)</f>
        <v>0</v>
      </c>
      <c r="E65" s="231">
        <f>SUM(E49:E63)</f>
        <v>0</v>
      </c>
      <c r="G65" s="611" t="s">
        <v>835</v>
      </c>
      <c r="H65" s="612"/>
      <c r="I65" s="612"/>
      <c r="J65" s="613">
        <f>IF(J62&gt;0,J64-E81,0)</f>
        <v>0</v>
      </c>
    </row>
    <row r="66" spans="2:10" ht="15.75">
      <c r="B66" s="228" t="s">
        <v>111</v>
      </c>
      <c r="C66" s="230">
        <f>C47+C65</f>
        <v>0</v>
      </c>
      <c r="D66" s="230">
        <f>D47+D65</f>
        <v>0</v>
      </c>
      <c r="E66" s="231">
        <f>E47+E65</f>
        <v>0</v>
      </c>
      <c r="J66" s="2"/>
    </row>
    <row r="67" spans="2:10" ht="15.75">
      <c r="B67" s="117" t="s">
        <v>113</v>
      </c>
      <c r="C67" s="238"/>
      <c r="D67" s="238"/>
      <c r="E67" s="53"/>
      <c r="G67" s="906" t="str">
        <f>CONCATENATE("Projected Carryover Into ",E1+1,"")</f>
        <v>Projected Carryover Into 1</v>
      </c>
      <c r="H67" s="907"/>
      <c r="I67" s="907"/>
      <c r="J67" s="908"/>
    </row>
    <row r="68" spans="2:10" ht="15.75">
      <c r="B68" s="237"/>
      <c r="C68" s="221"/>
      <c r="D68" s="221"/>
      <c r="E68" s="54"/>
      <c r="G68" s="614"/>
      <c r="H68" s="601"/>
      <c r="I68" s="601"/>
      <c r="J68" s="621"/>
    </row>
    <row r="69" spans="2:10" ht="15.75">
      <c r="B69" s="237"/>
      <c r="C69" s="221"/>
      <c r="D69" s="221"/>
      <c r="E69" s="54"/>
      <c r="G69" s="616">
        <f>D78</f>
        <v>0</v>
      </c>
      <c r="H69" s="583" t="str">
        <f>CONCATENATE("",E1-1," Ending Cash Balance (est.)")</f>
        <v>-1 Ending Cash Balance (est.)</v>
      </c>
      <c r="I69" s="617"/>
      <c r="J69" s="621"/>
    </row>
    <row r="70" spans="2:10" ht="15.75">
      <c r="B70" s="237"/>
      <c r="C70" s="221"/>
      <c r="D70" s="221"/>
      <c r="E70" s="54"/>
      <c r="G70" s="616">
        <f>E65</f>
        <v>0</v>
      </c>
      <c r="H70" s="602" t="str">
        <f>CONCATENATE("",E1," Non-AV Receipts (est.)")</f>
        <v>0 Non-AV Receipts (est.)</v>
      </c>
      <c r="I70" s="617"/>
      <c r="J70" s="621"/>
    </row>
    <row r="71" spans="2:11" ht="15.75">
      <c r="B71" s="237"/>
      <c r="C71" s="221"/>
      <c r="D71" s="221"/>
      <c r="E71" s="54"/>
      <c r="G71" s="618">
        <f>IF(D83&gt;0,E82,E84)</f>
        <v>0</v>
      </c>
      <c r="H71" s="602" t="str">
        <f>CONCATENATE("",E1," Ad Valorem Tax (est.)")</f>
        <v>0 Ad Valorem Tax (est.)</v>
      </c>
      <c r="I71" s="617"/>
      <c r="J71" s="621"/>
      <c r="K71" s="592">
        <f>IF(G71=E84,"","Note: Does not include Delinquent Taxes")</f>
      </c>
    </row>
    <row r="72" spans="2:10" ht="15.75">
      <c r="B72" s="237"/>
      <c r="C72" s="221"/>
      <c r="D72" s="221"/>
      <c r="E72" s="54"/>
      <c r="G72" s="620">
        <f>SUM(G69:G71)</f>
        <v>0</v>
      </c>
      <c r="H72" s="602" t="str">
        <f>CONCATENATE("Total ",E1," Resources Available")</f>
        <v>Total 0 Resources Available</v>
      </c>
      <c r="I72" s="621"/>
      <c r="J72" s="621"/>
    </row>
    <row r="73" spans="2:10" ht="15.75">
      <c r="B73" s="237"/>
      <c r="C73" s="221"/>
      <c r="D73" s="221"/>
      <c r="E73" s="54"/>
      <c r="G73" s="622"/>
      <c r="H73" s="623"/>
      <c r="I73" s="601"/>
      <c r="J73" s="621"/>
    </row>
    <row r="74" spans="2:10" ht="15.75">
      <c r="B74" s="238" t="str">
        <f>CONCATENATE("Cash Forward (",E1," column)")</f>
        <v>Cash Forward (0 column)</v>
      </c>
      <c r="C74" s="221"/>
      <c r="D74" s="221"/>
      <c r="E74" s="54"/>
      <c r="G74" s="624">
        <f>ROUND(C77*0.05+C77,0)</f>
        <v>0</v>
      </c>
      <c r="H74" s="623" t="str">
        <f>CONCATENATE("Less ",E1-2," Expenditures + 5%")</f>
        <v>Less -2 Expenditures + 5%</v>
      </c>
      <c r="I74" s="621"/>
      <c r="J74" s="621"/>
    </row>
    <row r="75" spans="2:10" ht="15.75">
      <c r="B75" s="238" t="s">
        <v>13</v>
      </c>
      <c r="C75" s="221"/>
      <c r="D75" s="221"/>
      <c r="E75" s="54"/>
      <c r="G75" s="625">
        <f>G72-G74</f>
        <v>0</v>
      </c>
      <c r="H75" s="626" t="str">
        <f>CONCATENATE("Projected ",E1+1," carryover (est.)")</f>
        <v>Projected 1 carryover (est.)</v>
      </c>
      <c r="I75" s="627"/>
      <c r="J75" s="628"/>
    </row>
    <row r="76" spans="2:9" ht="15.75">
      <c r="B76" s="238" t="s">
        <v>735</v>
      </c>
      <c r="C76" s="226">
        <f>IF(C77*0.1&lt;C75,"Exceed 10% Rule","")</f>
      </c>
      <c r="D76" s="226">
        <f>IF(D77*0.1&lt;D75,"Exceed 10% Rule","")</f>
      </c>
      <c r="E76" s="262">
        <f>IF(E77*0.1&lt;E75,"Exceed 10% Rule","")</f>
      </c>
      <c r="G76" s="2"/>
      <c r="H76" s="2"/>
      <c r="I76" s="2"/>
    </row>
    <row r="77" spans="2:10" ht="15.75">
      <c r="B77" s="228" t="s">
        <v>117</v>
      </c>
      <c r="C77" s="230">
        <f>SUM(C68:C75)</f>
        <v>0</v>
      </c>
      <c r="D77" s="230">
        <f>SUM(D68:D75)</f>
        <v>0</v>
      </c>
      <c r="E77" s="231">
        <f>SUM(E68:E75)</f>
        <v>0</v>
      </c>
      <c r="G77" s="900" t="s">
        <v>834</v>
      </c>
      <c r="H77" s="901"/>
      <c r="I77" s="901"/>
      <c r="J77" s="902"/>
    </row>
    <row r="78" spans="2:10" ht="15.75">
      <c r="B78" s="117" t="s">
        <v>211</v>
      </c>
      <c r="C78" s="234">
        <f>C66-C77</f>
        <v>0</v>
      </c>
      <c r="D78" s="234">
        <f>D66-D77</f>
        <v>0</v>
      </c>
      <c r="E78" s="249" t="s">
        <v>91</v>
      </c>
      <c r="G78" s="582"/>
      <c r="H78" s="583"/>
      <c r="I78" s="584"/>
      <c r="J78" s="585"/>
    </row>
    <row r="79" spans="2:10" ht="15.75">
      <c r="B79" s="137" t="str">
        <f>CONCATENATE("",E1-2,"/",E1-1,"/",E1," Budget Authority Amount:")</f>
        <v>-2/-1/0 Budget Authority Amount:</v>
      </c>
      <c r="C79" s="669">
        <f>inputOth!B74</f>
        <v>0</v>
      </c>
      <c r="D79" s="669">
        <f>inputPrYr!D31</f>
        <v>0</v>
      </c>
      <c r="E79" s="192">
        <f>E77</f>
        <v>0</v>
      </c>
      <c r="F79" s="239"/>
      <c r="G79" s="586" t="str">
        <f>summ!H27</f>
        <v>  </v>
      </c>
      <c r="H79" s="583" t="str">
        <f>CONCATENATE("",E1," Fund Mill Rate")</f>
        <v>0 Fund Mill Rate</v>
      </c>
      <c r="I79" s="584"/>
      <c r="J79" s="585"/>
    </row>
    <row r="80" spans="2:10" ht="15.75">
      <c r="B80" s="103"/>
      <c r="C80" s="892" t="s">
        <v>623</v>
      </c>
      <c r="D80" s="893"/>
      <c r="E80" s="54"/>
      <c r="F80" s="687">
        <f>IF(E77/0.95-E77&lt;E80,"Exceeds 5%","")</f>
      </c>
      <c r="G80" s="587" t="str">
        <f>summ!E27</f>
        <v>  </v>
      </c>
      <c r="H80" s="583" t="str">
        <f>CONCATENATE("",E1-1," Fund Mill Rate")</f>
        <v>-1 Fund Mill Rate</v>
      </c>
      <c r="I80" s="584"/>
      <c r="J80" s="585"/>
    </row>
    <row r="81" spans="2:10" ht="15.75">
      <c r="B81" s="485" t="str">
        <f>CONCATENATE(C100,"     ",D100)</f>
        <v>     </v>
      </c>
      <c r="C81" s="894" t="s">
        <v>624</v>
      </c>
      <c r="D81" s="895"/>
      <c r="E81" s="192">
        <f>E77+E80</f>
        <v>0</v>
      </c>
      <c r="G81" s="588">
        <f>summ!H52</f>
        <v>0</v>
      </c>
      <c r="H81" s="583" t="str">
        <f>CONCATENATE("Total ",E1," Mill Rate")</f>
        <v>Total 0 Mill Rate</v>
      </c>
      <c r="I81" s="584"/>
      <c r="J81" s="585"/>
    </row>
    <row r="82" spans="2:10" ht="15.75">
      <c r="B82" s="485" t="str">
        <f>CONCATENATE(C101,"     ",D101)</f>
        <v>     </v>
      </c>
      <c r="C82" s="240"/>
      <c r="D82" s="135" t="s">
        <v>118</v>
      </c>
      <c r="E82" s="67">
        <f>IF(E81-E66&gt;0,E81-E66,0)</f>
        <v>0</v>
      </c>
      <c r="G82" s="587">
        <f>summ!E52</f>
        <v>0</v>
      </c>
      <c r="H82" s="589" t="str">
        <f>CONCATENATE("Total ",E1-1," Mill Rate")</f>
        <v>Total -1 Mill Rate</v>
      </c>
      <c r="I82" s="590"/>
      <c r="J82" s="591"/>
    </row>
    <row r="83" spans="2:5" ht="15.75">
      <c r="B83" s="103"/>
      <c r="C83" s="346" t="s">
        <v>622</v>
      </c>
      <c r="D83" s="677">
        <f>inputOth!$E$49</f>
        <v>0</v>
      </c>
      <c r="E83" s="192">
        <f>ROUND(IF(D83&gt;0,(E82*D83),0),0)</f>
        <v>0</v>
      </c>
    </row>
    <row r="84" spans="2:10" ht="16.5" thickBot="1">
      <c r="B84" s="135"/>
      <c r="C84" s="896" t="str">
        <f>CONCATENATE("Amount of  ",$E$1-1," Ad Valorem Tax")</f>
        <v>Amount of  -1 Ad Valorem Tax</v>
      </c>
      <c r="D84" s="897"/>
      <c r="E84" s="599">
        <f>E82+E83</f>
        <v>0</v>
      </c>
      <c r="G84" s="808"/>
      <c r="H84" s="827"/>
      <c r="I84" s="807"/>
      <c r="J84" s="826"/>
    </row>
    <row r="85" spans="2:10" ht="16.5" thickTop="1">
      <c r="B85" s="43"/>
      <c r="C85" s="43"/>
      <c r="D85" s="43"/>
      <c r="E85" s="43"/>
      <c r="G85" s="806" t="str">
        <f>CONCATENATE("Computed ",E1," tax levy limit amount")</f>
        <v>Computed 0 tax levy limit amount</v>
      </c>
      <c r="H85" s="797"/>
      <c r="I85" s="797"/>
      <c r="J85" s="803">
        <f>computation!J47</f>
        <v>0</v>
      </c>
    </row>
    <row r="86" spans="2:10" ht="15.75">
      <c r="B86" s="364" t="s">
        <v>120</v>
      </c>
      <c r="C86" s="743"/>
      <c r="D86" s="43"/>
      <c r="E86" s="43"/>
      <c r="G86" s="804" t="str">
        <f>CONCATENATE("Total ",E1," tax levy amount")</f>
        <v>Total 0 tax levy amount</v>
      </c>
      <c r="H86" s="579"/>
      <c r="I86" s="579"/>
      <c r="J86" s="802">
        <f>summ!G52</f>
        <v>0</v>
      </c>
    </row>
    <row r="87" ht="15.75">
      <c r="B87" s="74"/>
    </row>
    <row r="98" spans="3:4" ht="15.75" hidden="1">
      <c r="C98" s="484">
        <f>IF(C35&gt;C37,"See Tab A","")</f>
      </c>
      <c r="D98" s="484">
        <f>IF(D33&gt;D37,"See Tab C","")</f>
      </c>
    </row>
    <row r="99" spans="3:4" ht="15.75" hidden="1">
      <c r="C99" s="484">
        <f>IF(C36&lt;0,"See Tab B","")</f>
      </c>
      <c r="D99" s="484">
        <f>IF(D36&lt;0,"See Tab D","")</f>
      </c>
    </row>
    <row r="100" spans="3:4" ht="15.75" hidden="1">
      <c r="C100" s="484">
        <f>IF(C75&gt;C79,"See Tab A","")</f>
      </c>
      <c r="D100" s="484">
        <f>IF(D75&gt;D79,"See Tab C","")</f>
      </c>
    </row>
    <row r="101" spans="3:4" ht="15.75" hidden="1">
      <c r="C101" s="484">
        <f>IF(C78&lt;0,"See Tab B","")</f>
      </c>
      <c r="D101" s="484">
        <f>IF(D78&lt;0,"See Tab D","")</f>
      </c>
    </row>
  </sheetData>
  <sheetProtection sheet="1"/>
  <mergeCells count="12">
    <mergeCell ref="G18:J18"/>
    <mergeCell ref="G25:J25"/>
    <mergeCell ref="G35:J35"/>
    <mergeCell ref="G60:J60"/>
    <mergeCell ref="G67:J67"/>
    <mergeCell ref="G77:J77"/>
    <mergeCell ref="C38:D38"/>
    <mergeCell ref="C39:D39"/>
    <mergeCell ref="C84:D84"/>
    <mergeCell ref="C42:D42"/>
    <mergeCell ref="C80:D80"/>
    <mergeCell ref="C81:D81"/>
  </mergeCells>
  <conditionalFormatting sqref="E33">
    <cfRule type="cellIs" priority="3" dxfId="338" operator="greaterThan" stopIfTrue="1">
      <formula>$E$35*0.1</formula>
    </cfRule>
  </conditionalFormatting>
  <conditionalFormatting sqref="E38">
    <cfRule type="cellIs" priority="4" dxfId="338" operator="greaterThan" stopIfTrue="1">
      <formula>$E$35/0.95-$E$35</formula>
    </cfRule>
  </conditionalFormatting>
  <conditionalFormatting sqref="E75">
    <cfRule type="cellIs" priority="5" dxfId="338" operator="greaterThan" stopIfTrue="1">
      <formula>$E$77*0.1</formula>
    </cfRule>
  </conditionalFormatting>
  <conditionalFormatting sqref="E80">
    <cfRule type="cellIs" priority="6" dxfId="338" operator="greaterThan" stopIfTrue="1">
      <formula>$E$77/0.95-$E$77</formula>
    </cfRule>
  </conditionalFormatting>
  <conditionalFormatting sqref="C33">
    <cfRule type="cellIs" priority="7" dxfId="0" operator="greaterThan" stopIfTrue="1">
      <formula>$C$35*0.1</formula>
    </cfRule>
  </conditionalFormatting>
  <conditionalFormatting sqref="D33">
    <cfRule type="cellIs" priority="8" dxfId="0" operator="greaterThan" stopIfTrue="1">
      <formula>$D$35*0.1</formula>
    </cfRule>
  </conditionalFormatting>
  <conditionalFormatting sqref="D35">
    <cfRule type="cellIs" priority="9" dxfId="0" operator="greaterThan" stopIfTrue="1">
      <formula>$D$37</formula>
    </cfRule>
  </conditionalFormatting>
  <conditionalFormatting sqref="C35">
    <cfRule type="cellIs" priority="10" dxfId="0" operator="greaterThan" stopIfTrue="1">
      <formula>$C$37</formula>
    </cfRule>
  </conditionalFormatting>
  <conditionalFormatting sqref="C36 C78">
    <cfRule type="cellIs" priority="11" dxfId="0" operator="lessThan" stopIfTrue="1">
      <formula>0</formula>
    </cfRule>
  </conditionalFormatting>
  <conditionalFormatting sqref="C75">
    <cfRule type="cellIs" priority="12" dxfId="0" operator="greaterThan" stopIfTrue="1">
      <formula>$C$77*0.1</formula>
    </cfRule>
  </conditionalFormatting>
  <conditionalFormatting sqref="D75">
    <cfRule type="cellIs" priority="13" dxfId="0" operator="greaterThan" stopIfTrue="1">
      <formula>$D$77*0.1</formula>
    </cfRule>
  </conditionalFormatting>
  <conditionalFormatting sqref="D77">
    <cfRule type="cellIs" priority="14" dxfId="0" operator="greaterThan" stopIfTrue="1">
      <formula>$D$79</formula>
    </cfRule>
  </conditionalFormatting>
  <conditionalFormatting sqref="C77">
    <cfRule type="cellIs" priority="15" dxfId="0" operator="greaterThan" stopIfTrue="1">
      <formula>$C$79</formula>
    </cfRule>
  </conditionalFormatting>
  <conditionalFormatting sqref="D21">
    <cfRule type="cellIs" priority="16" dxfId="0" operator="greaterThan" stopIfTrue="1">
      <formula>$D$23*0.1</formula>
    </cfRule>
  </conditionalFormatting>
  <conditionalFormatting sqref="C21">
    <cfRule type="cellIs" priority="17" dxfId="0" operator="greaterThan" stopIfTrue="1">
      <formula>$C$23*0.1</formula>
    </cfRule>
  </conditionalFormatting>
  <conditionalFormatting sqref="D63">
    <cfRule type="cellIs" priority="18" dxfId="0" operator="greaterThan" stopIfTrue="1">
      <formula>$D$65*0.1</formula>
    </cfRule>
  </conditionalFormatting>
  <conditionalFormatting sqref="C63">
    <cfRule type="cellIs" priority="19" dxfId="0" operator="greaterThan" stopIfTrue="1">
      <formula>$C$65*0.1</formula>
    </cfRule>
  </conditionalFormatting>
  <conditionalFormatting sqref="E63">
    <cfRule type="cellIs" priority="20" dxfId="338" operator="greaterThan" stopIfTrue="1">
      <formula>$E$65*0.1+E84</formula>
    </cfRule>
  </conditionalFormatting>
  <conditionalFormatting sqref="E21">
    <cfRule type="cellIs" priority="21" dxfId="338" operator="greaterThan" stopIfTrue="1">
      <formula>$E$23*0.1+E42</formula>
    </cfRule>
  </conditionalFormatting>
  <conditionalFormatting sqref="D78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25" sqref="Q125"/>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16384" width="8.8984375" style="41"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t="str">
        <f>(inputPrYr!B35)</f>
        <v>Special Highway</v>
      </c>
      <c r="C5" s="189" t="str">
        <f>CONCATENATE("Actual for ",E1-2,"")</f>
        <v>Actual for -2</v>
      </c>
      <c r="D5" s="189" t="str">
        <f>CONCATENATE("Estimate for ",E1-1,"")</f>
        <v>Estimate for -1</v>
      </c>
      <c r="E5" s="172" t="str">
        <f>CONCATENATE("Year for ",E1,"")</f>
        <v>Year for 0</v>
      </c>
    </row>
    <row r="6" spans="2:5" ht="15.75">
      <c r="B6" s="216" t="s">
        <v>210</v>
      </c>
      <c r="C6" s="54"/>
      <c r="D6" s="192">
        <f>C31</f>
        <v>0</v>
      </c>
      <c r="E6" s="192">
        <f>D31</f>
        <v>0</v>
      </c>
    </row>
    <row r="7" spans="2:5" ht="15.75">
      <c r="B7" s="220" t="s">
        <v>212</v>
      </c>
      <c r="C7" s="69"/>
      <c r="D7" s="69"/>
      <c r="E7" s="69"/>
    </row>
    <row r="8" spans="2:5" ht="15.75">
      <c r="B8" s="238" t="s">
        <v>202</v>
      </c>
      <c r="C8" s="54"/>
      <c r="D8" s="255">
        <f>inputOth!E54</f>
        <v>0</v>
      </c>
      <c r="E8" s="192">
        <f>inputOth!E52</f>
        <v>0</v>
      </c>
    </row>
    <row r="9" spans="2:5" ht="15.75">
      <c r="B9" s="256" t="s">
        <v>249</v>
      </c>
      <c r="C9" s="54"/>
      <c r="D9" s="255">
        <f>inputOth!E55</f>
        <v>0</v>
      </c>
      <c r="E9" s="255">
        <f>inputOth!E53</f>
        <v>0</v>
      </c>
    </row>
    <row r="10" spans="2:5" ht="15.75">
      <c r="B10" s="237"/>
      <c r="C10" s="54"/>
      <c r="D10" s="54"/>
      <c r="E10" s="54"/>
    </row>
    <row r="11" spans="2:5" ht="15.75">
      <c r="B11" s="237"/>
      <c r="C11" s="54"/>
      <c r="D11" s="54"/>
      <c r="E11" s="54"/>
    </row>
    <row r="12" spans="2:5" ht="15.75">
      <c r="B12" s="237"/>
      <c r="C12" s="54"/>
      <c r="D12" s="54"/>
      <c r="E12" s="54"/>
    </row>
    <row r="13" spans="2:5" ht="15.75">
      <c r="B13" s="237"/>
      <c r="C13" s="54"/>
      <c r="D13" s="54"/>
      <c r="E13" s="54"/>
    </row>
    <row r="14" spans="2:5" ht="15.75">
      <c r="B14" s="225" t="s">
        <v>109</v>
      </c>
      <c r="C14" s="54"/>
      <c r="D14" s="54"/>
      <c r="E14" s="54"/>
    </row>
    <row r="15" spans="2:5" ht="15.75">
      <c r="B15" s="126" t="s">
        <v>13</v>
      </c>
      <c r="C15" s="54"/>
      <c r="D15" s="222"/>
      <c r="E15" s="222"/>
    </row>
    <row r="16" spans="2:5" ht="15.75">
      <c r="B16" s="216" t="s">
        <v>734</v>
      </c>
      <c r="C16" s="262">
        <f>IF(C17*0.1&lt;C15,"Exceed 10% Rule","")</f>
      </c>
      <c r="D16" s="227">
        <f>IF(D17*0.1&lt;D15,"Exceed 10% Rule","")</f>
      </c>
      <c r="E16" s="227">
        <f>IF(E17*0.1&lt;E15,"Exceed 10% Rule","")</f>
      </c>
    </row>
    <row r="17" spans="2:5" ht="15.75">
      <c r="B17" s="228" t="s">
        <v>110</v>
      </c>
      <c r="C17" s="231">
        <f>SUM(C8:C15)</f>
        <v>0</v>
      </c>
      <c r="D17" s="231">
        <f>SUM(D8:D15)</f>
        <v>0</v>
      </c>
      <c r="E17" s="231">
        <f>SUM(E8:E15)</f>
        <v>0</v>
      </c>
    </row>
    <row r="18" spans="2:5" ht="15.75">
      <c r="B18" s="228" t="s">
        <v>111</v>
      </c>
      <c r="C18" s="231">
        <f>C6+C17</f>
        <v>0</v>
      </c>
      <c r="D18" s="231">
        <f>D6+D17</f>
        <v>0</v>
      </c>
      <c r="E18" s="231">
        <f>E6+E17</f>
        <v>0</v>
      </c>
    </row>
    <row r="19" spans="2:5" ht="15.75">
      <c r="B19" s="117" t="s">
        <v>113</v>
      </c>
      <c r="C19" s="192"/>
      <c r="D19" s="192"/>
      <c r="E19" s="192"/>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7"/>
      <c r="C25" s="54"/>
      <c r="D25" s="54"/>
      <c r="E25" s="54"/>
    </row>
    <row r="26" spans="2:5" ht="15.75">
      <c r="B26" s="237"/>
      <c r="C26" s="54"/>
      <c r="D26" s="54"/>
      <c r="E26" s="54"/>
    </row>
    <row r="27" spans="2:5" ht="15.75">
      <c r="B27" s="238" t="str">
        <f>CONCATENATE("Cash Forward (",E1," column)")</f>
        <v>Cash Forward (0 column)</v>
      </c>
      <c r="C27" s="54"/>
      <c r="D27" s="54"/>
      <c r="E27" s="54"/>
    </row>
    <row r="28" spans="2:5" ht="15.75">
      <c r="B28" s="238" t="s">
        <v>13</v>
      </c>
      <c r="C28" s="54"/>
      <c r="D28" s="222"/>
      <c r="E28" s="222"/>
    </row>
    <row r="29" spans="2:5" ht="15.75">
      <c r="B29" s="238" t="s">
        <v>735</v>
      </c>
      <c r="C29" s="262">
        <f>IF(C30*0.1&lt;C28,"Exceed 10% Rule","")</f>
      </c>
      <c r="D29" s="227">
        <f>IF(D30*0.1&lt;D28,"Exceed 10% Rule","")</f>
      </c>
      <c r="E29" s="227">
        <f>IF(E30*0.1&lt;E28,"Exceed 10% Rule","")</f>
      </c>
    </row>
    <row r="30" spans="2:5" ht="15.75">
      <c r="B30" s="228" t="s">
        <v>117</v>
      </c>
      <c r="C30" s="231">
        <f>SUM(C20:C28)</f>
        <v>0</v>
      </c>
      <c r="D30" s="231">
        <f>SUM(D20:D28)</f>
        <v>0</v>
      </c>
      <c r="E30" s="231">
        <f>SUM(E20:E28)</f>
        <v>0</v>
      </c>
    </row>
    <row r="31" spans="2:5" ht="15.75">
      <c r="B31" s="117" t="s">
        <v>211</v>
      </c>
      <c r="C31" s="67">
        <f>C18-C30</f>
        <v>0</v>
      </c>
      <c r="D31" s="67">
        <f>D18-D30</f>
        <v>0</v>
      </c>
      <c r="E31" s="67">
        <f>E18-E30</f>
        <v>0</v>
      </c>
    </row>
    <row r="32" spans="2:5" ht="15.75">
      <c r="B32" s="137" t="str">
        <f>CONCATENATE("",E1-2,"/",E1-1,"/",E1," Budget Authority Amount:")</f>
        <v>-2/-1/0 Budget Authority Amount:</v>
      </c>
      <c r="C32" s="669">
        <f>inputOth!B75</f>
        <v>0</v>
      </c>
      <c r="D32" s="669">
        <f>inputPrYr!D35</f>
        <v>0</v>
      </c>
      <c r="E32" s="696">
        <f>E30</f>
        <v>0</v>
      </c>
    </row>
    <row r="33" spans="2:5" ht="15.75">
      <c r="B33" s="103"/>
      <c r="C33" s="240">
        <f>IF(C30&gt;C32,"See Tab A","")</f>
      </c>
      <c r="D33" s="240">
        <f>IF(D30&gt;D32,"See Tab C","")</f>
      </c>
      <c r="E33" s="697">
        <f>IF(E31&lt;0,"See Tab E","")</f>
      </c>
    </row>
    <row r="34" spans="2:5" ht="15.75">
      <c r="B34" s="103"/>
      <c r="C34" s="240">
        <f>IF(C31&lt;0,"See Tab B","")</f>
      </c>
      <c r="D34" s="240">
        <f>IF(D31&lt;0,"See Tab D","")</f>
      </c>
      <c r="E34" s="73"/>
    </row>
    <row r="35" spans="2:5" ht="15.75">
      <c r="B35" s="43"/>
      <c r="C35" s="73"/>
      <c r="D35" s="73"/>
      <c r="E35" s="73"/>
    </row>
    <row r="36" spans="2:5" ht="15.75">
      <c r="B36" s="44" t="s">
        <v>101</v>
      </c>
      <c r="C36" s="257"/>
      <c r="D36" s="257"/>
      <c r="E36" s="257"/>
    </row>
    <row r="37" spans="2:5" ht="15.75">
      <c r="B37" s="43"/>
      <c r="C37" s="663" t="s">
        <v>892</v>
      </c>
      <c r="D37" s="664" t="s">
        <v>893</v>
      </c>
      <c r="E37" s="111" t="s">
        <v>894</v>
      </c>
    </row>
    <row r="38" spans="2:5" ht="15.75">
      <c r="B38" s="489">
        <f>(inputPrYr!B36)</f>
        <v>0</v>
      </c>
      <c r="C38" s="189" t="str">
        <f>CONCATENATE("Actual for ",$E$1-2,"")</f>
        <v>Actual for -2</v>
      </c>
      <c r="D38" s="189" t="str">
        <f>CONCATENATE("Estimate for ",$E$1-1,"")</f>
        <v>Estimate for -1</v>
      </c>
      <c r="E38" s="172" t="str">
        <f>CONCATENATE("Year for ",$E$1,"")</f>
        <v>Year for 0</v>
      </c>
    </row>
    <row r="39" spans="2:5" ht="15.75">
      <c r="B39" s="216" t="s">
        <v>210</v>
      </c>
      <c r="C39" s="54"/>
      <c r="D39" s="192">
        <f>C62</f>
        <v>0</v>
      </c>
      <c r="E39" s="192">
        <f>D62</f>
        <v>0</v>
      </c>
    </row>
    <row r="40" spans="2:5" ht="15.75">
      <c r="B40" s="220" t="s">
        <v>212</v>
      </c>
      <c r="C40" s="69"/>
      <c r="D40" s="69"/>
      <c r="E40" s="69"/>
    </row>
    <row r="41" spans="2:5" ht="15.75">
      <c r="B41" s="237"/>
      <c r="C41" s="54"/>
      <c r="D41" s="54"/>
      <c r="E41" s="54"/>
    </row>
    <row r="42" spans="2:5" ht="15.75">
      <c r="B42" s="237"/>
      <c r="C42" s="54"/>
      <c r="D42" s="54"/>
      <c r="E42" s="54"/>
    </row>
    <row r="43" spans="2:5" ht="15.75">
      <c r="B43" s="237"/>
      <c r="C43" s="54"/>
      <c r="D43" s="54"/>
      <c r="E43" s="54"/>
    </row>
    <row r="44" spans="2:5" ht="15.75">
      <c r="B44" s="237"/>
      <c r="C44" s="54"/>
      <c r="D44" s="54"/>
      <c r="E44" s="54"/>
    </row>
    <row r="45" spans="2:5" ht="15.75">
      <c r="B45" s="225" t="s">
        <v>109</v>
      </c>
      <c r="C45" s="54"/>
      <c r="D45" s="54"/>
      <c r="E45" s="54"/>
    </row>
    <row r="46" spans="2:5" ht="15.75">
      <c r="B46" s="126" t="s">
        <v>13</v>
      </c>
      <c r="C46" s="54"/>
      <c r="D46" s="222"/>
      <c r="E46" s="222"/>
    </row>
    <row r="47" spans="2:5" ht="15.75">
      <c r="B47" s="216" t="s">
        <v>734</v>
      </c>
      <c r="C47" s="262">
        <f>IF(C48*0.1&lt;C46,"Exceed 10% Rule","")</f>
      </c>
      <c r="D47" s="227">
        <f>IF(D48*0.1&lt;D46,"Exceed 10% Rule","")</f>
      </c>
      <c r="E47" s="227">
        <f>IF(E48*0.1&lt;E46,"Exceed 10% Rule","")</f>
      </c>
    </row>
    <row r="48" spans="2:5" ht="15.75">
      <c r="B48" s="228" t="s">
        <v>110</v>
      </c>
      <c r="C48" s="231">
        <f>SUM(C41:C46)</f>
        <v>0</v>
      </c>
      <c r="D48" s="231">
        <f>SUM(D41:D46)</f>
        <v>0</v>
      </c>
      <c r="E48" s="231">
        <f>SUM(E41:E46)</f>
        <v>0</v>
      </c>
    </row>
    <row r="49" spans="2:5" ht="15.75">
      <c r="B49" s="228" t="s">
        <v>111</v>
      </c>
      <c r="C49" s="231">
        <f>C39+C48</f>
        <v>0</v>
      </c>
      <c r="D49" s="231">
        <f>D39+D48</f>
        <v>0</v>
      </c>
      <c r="E49" s="231">
        <f>E39+E48</f>
        <v>0</v>
      </c>
    </row>
    <row r="50" spans="2:5" ht="15.75">
      <c r="B50" s="117" t="s">
        <v>113</v>
      </c>
      <c r="C50" s="192"/>
      <c r="D50" s="192"/>
      <c r="E50" s="192"/>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7"/>
      <c r="C56" s="54"/>
      <c r="D56" s="54"/>
      <c r="E56" s="54"/>
    </row>
    <row r="57" spans="2:5" ht="15.75">
      <c r="B57" s="237"/>
      <c r="C57" s="54"/>
      <c r="D57" s="54"/>
      <c r="E57" s="54"/>
    </row>
    <row r="58" spans="2:5" ht="15.75">
      <c r="B58" s="238" t="str">
        <f>CONCATENATE("Cash Forward (",E1," column)")</f>
        <v>Cash Forward (0 column)</v>
      </c>
      <c r="C58" s="54"/>
      <c r="D58" s="54"/>
      <c r="E58" s="54"/>
    </row>
    <row r="59" spans="2:5" ht="15.75">
      <c r="B59" s="238" t="s">
        <v>13</v>
      </c>
      <c r="C59" s="54"/>
      <c r="D59" s="222"/>
      <c r="E59" s="222"/>
    </row>
    <row r="60" spans="2:5" ht="15.75">
      <c r="B60" s="238" t="s">
        <v>735</v>
      </c>
      <c r="C60" s="262">
        <f>IF(C61*0.1&lt;C59,"Exceed 10% Rule","")</f>
      </c>
      <c r="D60" s="227">
        <f>IF(D61*0.1&lt;D59,"Exceed 10% Rule","")</f>
      </c>
      <c r="E60" s="227">
        <f>IF(E61*0.1&lt;E59,"Exceed 10% Rule","")</f>
      </c>
    </row>
    <row r="61" spans="2:5" ht="15.75">
      <c r="B61" s="228" t="s">
        <v>117</v>
      </c>
      <c r="C61" s="231">
        <f>SUM(C51:C59)</f>
        <v>0</v>
      </c>
      <c r="D61" s="231">
        <f>SUM(D51:D59)</f>
        <v>0</v>
      </c>
      <c r="E61" s="231">
        <f>SUM(E51:E59)</f>
        <v>0</v>
      </c>
    </row>
    <row r="62" spans="2:5" ht="15.75">
      <c r="B62" s="117" t="s">
        <v>211</v>
      </c>
      <c r="C62" s="67">
        <f>C49-C61</f>
        <v>0</v>
      </c>
      <c r="D62" s="67">
        <f>D49-D61</f>
        <v>0</v>
      </c>
      <c r="E62" s="67">
        <f>E49-E61</f>
        <v>0</v>
      </c>
    </row>
    <row r="63" spans="2:5" ht="15.75">
      <c r="B63" s="137" t="str">
        <f>CONCATENATE("",E1-2,"/",E1-1,"/",E1," Budget Authority Amount:")</f>
        <v>-2/-1/0 Budget Authority Amount:</v>
      </c>
      <c r="C63" s="669">
        <f>inputOth!B76</f>
        <v>0</v>
      </c>
      <c r="D63" s="669">
        <f>inputPrYr!D36</f>
        <v>0</v>
      </c>
      <c r="E63" s="696">
        <f>E61</f>
        <v>0</v>
      </c>
    </row>
    <row r="64" spans="2:5" ht="15.75">
      <c r="B64" s="103"/>
      <c r="C64" s="240">
        <f>IF(C61&gt;C63,"See Tab A","")</f>
      </c>
      <c r="D64" s="240">
        <f>IF(D61&gt;D63,"See Tab C","")</f>
      </c>
      <c r="E64" s="697">
        <f>IF(E62&lt;0,"See Tab E","")</f>
      </c>
    </row>
    <row r="65" spans="2:5" ht="15.75">
      <c r="B65" s="103"/>
      <c r="C65" s="240">
        <f>IF(C62&lt;0,"See Tab B","")</f>
      </c>
      <c r="D65" s="240">
        <f>IF(D62&lt;0,"See Tab D","")</f>
      </c>
      <c r="E65" s="43"/>
    </row>
    <row r="66" spans="2:5" ht="15.75">
      <c r="B66" s="43"/>
      <c r="C66" s="43"/>
      <c r="D66" s="43"/>
      <c r="E66" s="43"/>
    </row>
    <row r="67" spans="2:5" ht="15.75">
      <c r="B67" s="364" t="s">
        <v>120</v>
      </c>
      <c r="C67" s="743"/>
      <c r="D67" s="43"/>
      <c r="E67" s="43"/>
    </row>
  </sheetData>
  <sheetProtection sheet="1"/>
  <conditionalFormatting sqref="C15">
    <cfRule type="cellIs" priority="5" dxfId="338" operator="greaterThan" stopIfTrue="1">
      <formula>$C$17*0.1</formula>
    </cfRule>
  </conditionalFormatting>
  <conditionalFormatting sqref="D15">
    <cfRule type="cellIs" priority="6" dxfId="338" operator="greaterThan" stopIfTrue="1">
      <formula>$D$17*0.1</formula>
    </cfRule>
  </conditionalFormatting>
  <conditionalFormatting sqref="E15">
    <cfRule type="cellIs" priority="7" dxfId="338" operator="greaterThan" stopIfTrue="1">
      <formula>$E$17*0.1</formula>
    </cfRule>
  </conditionalFormatting>
  <conditionalFormatting sqref="C28">
    <cfRule type="cellIs" priority="8" dxfId="338" operator="greaterThan" stopIfTrue="1">
      <formula>$C$30*0.1</formula>
    </cfRule>
  </conditionalFormatting>
  <conditionalFormatting sqref="D28">
    <cfRule type="cellIs" priority="9" dxfId="338" operator="greaterThan" stopIfTrue="1">
      <formula>$D$30*0.1</formula>
    </cfRule>
  </conditionalFormatting>
  <conditionalFormatting sqref="E28">
    <cfRule type="cellIs" priority="10" dxfId="338" operator="greaterThan" stopIfTrue="1">
      <formula>$E$30*0.1</formula>
    </cfRule>
  </conditionalFormatting>
  <conditionalFormatting sqref="C46">
    <cfRule type="cellIs" priority="11" dxfId="338" operator="greaterThan" stopIfTrue="1">
      <formula>$C$48*0.1</formula>
    </cfRule>
  </conditionalFormatting>
  <conditionalFormatting sqref="D46">
    <cfRule type="cellIs" priority="12" dxfId="338" operator="greaterThan" stopIfTrue="1">
      <formula>$D$48*0.1</formula>
    </cfRule>
  </conditionalFormatting>
  <conditionalFormatting sqref="E46">
    <cfRule type="cellIs" priority="13" dxfId="338" operator="greaterThan" stopIfTrue="1">
      <formula>$E$48*0.1</formula>
    </cfRule>
  </conditionalFormatting>
  <conditionalFormatting sqref="C59">
    <cfRule type="cellIs" priority="14" dxfId="338" operator="greaterThan" stopIfTrue="1">
      <formula>$C$61*0.1</formula>
    </cfRule>
  </conditionalFormatting>
  <conditionalFormatting sqref="D59">
    <cfRule type="cellIs" priority="15" dxfId="338" operator="greaterThan" stopIfTrue="1">
      <formula>$D$61*0.1</formula>
    </cfRule>
  </conditionalFormatting>
  <conditionalFormatting sqref="E59">
    <cfRule type="cellIs" priority="16" dxfId="338" operator="greaterThan" stopIfTrue="1">
      <formula>$E$61*0.1</formula>
    </cfRule>
  </conditionalFormatting>
  <conditionalFormatting sqref="D61">
    <cfRule type="cellIs" priority="17" dxfId="0" operator="greaterThan" stopIfTrue="1">
      <formula>$D$63</formula>
    </cfRule>
  </conditionalFormatting>
  <conditionalFormatting sqref="C61">
    <cfRule type="cellIs" priority="18" dxfId="0" operator="greaterThan" stopIfTrue="1">
      <formula>$C$63</formula>
    </cfRule>
  </conditionalFormatting>
  <conditionalFormatting sqref="C62 E62 C31 E31">
    <cfRule type="cellIs" priority="19" dxfId="0" operator="lessThan" stopIfTrue="1">
      <formula>0</formula>
    </cfRule>
  </conditionalFormatting>
  <conditionalFormatting sqref="D30">
    <cfRule type="cellIs" priority="20" dxfId="0" operator="greaterThan" stopIfTrue="1">
      <formula>$D$32</formula>
    </cfRule>
  </conditionalFormatting>
  <conditionalFormatting sqref="C30">
    <cfRule type="cellIs" priority="21" dxfId="0" operator="greaterThan" stopIfTrue="1">
      <formula>$C$32</formula>
    </cfRule>
  </conditionalFormatting>
  <conditionalFormatting sqref="D31">
    <cfRule type="cellIs" priority="4" dxfId="1" operator="lessThan" stopIfTrue="1">
      <formula>0</formula>
    </cfRule>
  </conditionalFormatting>
  <conditionalFormatting sqref="D62">
    <cfRule type="cellIs" priority="3" dxfId="1" operator="lessThan" stopIfTrue="1">
      <formula>0</formula>
    </cfRule>
  </conditionalFormatting>
  <conditionalFormatting sqref="E63">
    <cfRule type="cellIs" priority="1" dxfId="0" operator="lessThan" stopIfTrue="1">
      <formula>0</formula>
    </cfRule>
  </conditionalFormatting>
  <conditionalFormatting sqref="E3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86" sqref="Q86"/>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16384" width="8.8984375" style="41"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f>(inputPrYr!B37)</f>
        <v>0</v>
      </c>
      <c r="C5" s="189" t="str">
        <f>CONCATENATE("Actual for ",E1-2,"")</f>
        <v>Actual for -2</v>
      </c>
      <c r="D5" s="189" t="str">
        <f>CONCATENATE("Estimate for ",E1-1,"")</f>
        <v>Estimate for -1</v>
      </c>
      <c r="E5" s="172" t="str">
        <f>CONCATENATE("Year for ",E1,"")</f>
        <v>Year for 0</v>
      </c>
    </row>
    <row r="6" spans="2:5" ht="15.75">
      <c r="B6" s="216" t="s">
        <v>210</v>
      </c>
      <c r="C6" s="54"/>
      <c r="D6" s="192">
        <f>C29</f>
        <v>0</v>
      </c>
      <c r="E6" s="192">
        <f>D29</f>
        <v>0</v>
      </c>
    </row>
    <row r="7" spans="2:5" ht="15.75">
      <c r="B7" s="220" t="s">
        <v>212</v>
      </c>
      <c r="C7" s="69"/>
      <c r="D7" s="69"/>
      <c r="E7" s="69"/>
    </row>
    <row r="8" spans="2:5" ht="15.75">
      <c r="B8" s="237"/>
      <c r="C8" s="54"/>
      <c r="D8" s="54"/>
      <c r="E8" s="54"/>
    </row>
    <row r="9" spans="2:5" ht="15.75">
      <c r="B9" s="237"/>
      <c r="C9" s="54"/>
      <c r="D9" s="54"/>
      <c r="E9" s="54"/>
    </row>
    <row r="10" spans="2:5" ht="15.75">
      <c r="B10" s="237"/>
      <c r="C10" s="54"/>
      <c r="D10" s="54"/>
      <c r="E10" s="54"/>
    </row>
    <row r="11" spans="2:5" ht="15.75">
      <c r="B11" s="237"/>
      <c r="C11" s="54"/>
      <c r="D11" s="54"/>
      <c r="E11" s="54"/>
    </row>
    <row r="12" spans="2:5" ht="15.75">
      <c r="B12" s="225" t="s">
        <v>109</v>
      </c>
      <c r="C12" s="54"/>
      <c r="D12" s="54"/>
      <c r="E12" s="54"/>
    </row>
    <row r="13" spans="2:5" ht="15.75">
      <c r="B13" s="126" t="s">
        <v>13</v>
      </c>
      <c r="C13" s="54"/>
      <c r="D13" s="222"/>
      <c r="E13" s="222"/>
    </row>
    <row r="14" spans="2:5" ht="15.75">
      <c r="B14" s="216" t="s">
        <v>734</v>
      </c>
      <c r="C14" s="262">
        <f>IF(C15*0.1&lt;C13,"Exceed 10% Rule","")</f>
      </c>
      <c r="D14" s="227">
        <f>IF(D15*0.1&lt;D13,"Exceed 10% Rule","")</f>
      </c>
      <c r="E14" s="227">
        <f>IF(E15*0.1&lt;E13,"Exceed 10% Rule","")</f>
      </c>
    </row>
    <row r="15" spans="2:5" ht="15.75">
      <c r="B15" s="228" t="s">
        <v>110</v>
      </c>
      <c r="C15" s="231">
        <f>SUM(C8:C13)</f>
        <v>0</v>
      </c>
      <c r="D15" s="231">
        <f>SUM(D8:D13)</f>
        <v>0</v>
      </c>
      <c r="E15" s="231">
        <f>SUM(E8:E13)</f>
        <v>0</v>
      </c>
    </row>
    <row r="16" spans="2:5" ht="15.75">
      <c r="B16" s="228" t="s">
        <v>111</v>
      </c>
      <c r="C16" s="231">
        <f>C6+C15</f>
        <v>0</v>
      </c>
      <c r="D16" s="231">
        <f>D6+D15</f>
        <v>0</v>
      </c>
      <c r="E16" s="231">
        <f>E6+E15</f>
        <v>0</v>
      </c>
    </row>
    <row r="17" spans="2:5" ht="15.75">
      <c r="B17" s="117" t="s">
        <v>113</v>
      </c>
      <c r="C17" s="192"/>
      <c r="D17" s="192"/>
      <c r="E17" s="192"/>
    </row>
    <row r="18" spans="2:5" ht="15.75">
      <c r="B18" s="237"/>
      <c r="C18" s="54"/>
      <c r="D18" s="54"/>
      <c r="E18" s="54"/>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8" t="str">
        <f>CONCATENATE("Cash Forward (",E1," column)")</f>
        <v>Cash Forward (0 column)</v>
      </c>
      <c r="C25" s="54"/>
      <c r="D25" s="54"/>
      <c r="E25" s="54"/>
    </row>
    <row r="26" spans="2:5" ht="15.75">
      <c r="B26" s="238" t="s">
        <v>13</v>
      </c>
      <c r="C26" s="54"/>
      <c r="D26" s="222"/>
      <c r="E26" s="222"/>
    </row>
    <row r="27" spans="2:5" ht="15.75">
      <c r="B27" s="238" t="s">
        <v>735</v>
      </c>
      <c r="C27" s="262">
        <f>IF(C28*0.1&lt;C26,"Exceed 10% Rule","")</f>
      </c>
      <c r="D27" s="227">
        <f>IF(D28*0.1&lt;D26,"Exceed 10% Rule","")</f>
      </c>
      <c r="E27" s="227">
        <f>IF(E28*0.1&lt;E26,"Exceed 10% Rule","")</f>
      </c>
    </row>
    <row r="28" spans="2:5" ht="15.75">
      <c r="B28" s="228" t="s">
        <v>117</v>
      </c>
      <c r="C28" s="231">
        <f>SUM(C18:C26)</f>
        <v>0</v>
      </c>
      <c r="D28" s="231">
        <f>SUM(D18:D26)</f>
        <v>0</v>
      </c>
      <c r="E28" s="231">
        <f>SUM(E18:E26)</f>
        <v>0</v>
      </c>
    </row>
    <row r="29" spans="2:5" ht="15.75">
      <c r="B29" s="117" t="s">
        <v>211</v>
      </c>
      <c r="C29" s="67">
        <f>C16-C28</f>
        <v>0</v>
      </c>
      <c r="D29" s="67">
        <f>D16-D28</f>
        <v>0</v>
      </c>
      <c r="E29" s="67">
        <f>E16-E28</f>
        <v>0</v>
      </c>
    </row>
    <row r="30" spans="2:5" ht="15.75">
      <c r="B30" s="137" t="str">
        <f>CONCATENATE("",E1-2,"/",E1-1,"/",E1," Budget Authority Amount:")</f>
        <v>-2/-1/0 Budget Authority Amount:</v>
      </c>
      <c r="C30" s="669">
        <f>inputOth!B77</f>
        <v>0</v>
      </c>
      <c r="D30" s="669">
        <f>inputPrYr!D37</f>
        <v>0</v>
      </c>
      <c r="E30" s="696">
        <f>E28</f>
        <v>0</v>
      </c>
    </row>
    <row r="31" spans="2:5" ht="15.75">
      <c r="B31" s="103"/>
      <c r="C31" s="240">
        <f>IF(C28&gt;C30,"See Tab A","")</f>
      </c>
      <c r="D31" s="240">
        <f>IF(D28&gt;D30,"See Tab C","")</f>
      </c>
      <c r="E31" s="697">
        <f>IF(E29&lt;0,"See Tab E","")</f>
      </c>
    </row>
    <row r="32" spans="2:5" ht="15.75">
      <c r="B32" s="103"/>
      <c r="C32" s="240">
        <f>IF(C29&lt;0,"See Tab B","")</f>
      </c>
      <c r="D32" s="240">
        <f>IF(D29&lt;0,"See Tab D","")</f>
      </c>
      <c r="E32" s="73"/>
    </row>
    <row r="33" spans="2:5" ht="15.75">
      <c r="B33" s="43"/>
      <c r="C33" s="73"/>
      <c r="D33" s="73"/>
      <c r="E33" s="73"/>
    </row>
    <row r="34" spans="2:5" ht="15.75">
      <c r="B34" s="44" t="s">
        <v>101</v>
      </c>
      <c r="C34" s="257"/>
      <c r="D34" s="257"/>
      <c r="E34" s="257"/>
    </row>
    <row r="35" spans="2:5" ht="15.75">
      <c r="B35" s="43"/>
      <c r="C35" s="663" t="s">
        <v>892</v>
      </c>
      <c r="D35" s="664" t="s">
        <v>893</v>
      </c>
      <c r="E35" s="111" t="s">
        <v>894</v>
      </c>
    </row>
    <row r="36" spans="2:5" ht="15.75">
      <c r="B36" s="489">
        <f>(inputPrYr!B38)</f>
        <v>0</v>
      </c>
      <c r="C36" s="189" t="str">
        <f>CONCATENATE("Actual for ",$E$1-2,"")</f>
        <v>Actual for -2</v>
      </c>
      <c r="D36" s="189" t="str">
        <f>CONCATENATE("Estimate for ",$E$1-1,"")</f>
        <v>Estimate for -1</v>
      </c>
      <c r="E36" s="172" t="str">
        <f>CONCATENATE("Year for ",$E$1,"")</f>
        <v>Year for 0</v>
      </c>
    </row>
    <row r="37" spans="2:5" ht="15.75">
      <c r="B37" s="216" t="s">
        <v>210</v>
      </c>
      <c r="C37" s="54"/>
      <c r="D37" s="192">
        <f>C60</f>
        <v>0</v>
      </c>
      <c r="E37" s="192">
        <f>D60</f>
        <v>0</v>
      </c>
    </row>
    <row r="38" spans="2:5" ht="15.75">
      <c r="B38" s="220" t="s">
        <v>212</v>
      </c>
      <c r="C38" s="69"/>
      <c r="D38" s="69"/>
      <c r="E38" s="69"/>
    </row>
    <row r="39" spans="2:5" ht="15.75">
      <c r="B39" s="237"/>
      <c r="C39" s="54"/>
      <c r="D39" s="54"/>
      <c r="E39" s="54"/>
    </row>
    <row r="40" spans="2:5" ht="15.75">
      <c r="B40" s="237"/>
      <c r="C40" s="54"/>
      <c r="D40" s="54"/>
      <c r="E40" s="54"/>
    </row>
    <row r="41" spans="2:5" ht="15.75">
      <c r="B41" s="237"/>
      <c r="C41" s="54"/>
      <c r="D41" s="54"/>
      <c r="E41" s="54"/>
    </row>
    <row r="42" spans="2:5" ht="15.75">
      <c r="B42" s="237"/>
      <c r="C42" s="54"/>
      <c r="D42" s="54"/>
      <c r="E42" s="54"/>
    </row>
    <row r="43" spans="2:5" ht="15.75">
      <c r="B43" s="225" t="s">
        <v>109</v>
      </c>
      <c r="C43" s="54"/>
      <c r="D43" s="54"/>
      <c r="E43" s="54"/>
    </row>
    <row r="44" spans="2:5" ht="15.75">
      <c r="B44" s="126" t="s">
        <v>13</v>
      </c>
      <c r="C44" s="54"/>
      <c r="D44" s="222"/>
      <c r="E44" s="222"/>
    </row>
    <row r="45" spans="2:5" ht="15.75">
      <c r="B45" s="216" t="s">
        <v>734</v>
      </c>
      <c r="C45" s="262">
        <f>IF(C46*0.1&lt;C44,"Exceed 10% Rule","")</f>
      </c>
      <c r="D45" s="227">
        <f>IF(D46*0.1&lt;D44,"Exceed 10% Rule","")</f>
      </c>
      <c r="E45" s="227">
        <f>IF(E46*0.1&lt;E44,"Exceed 10% Rule","")</f>
      </c>
    </row>
    <row r="46" spans="2:5" ht="15.75">
      <c r="B46" s="228" t="s">
        <v>110</v>
      </c>
      <c r="C46" s="231">
        <f>SUM(C39:C44)</f>
        <v>0</v>
      </c>
      <c r="D46" s="231">
        <f>SUM(D39:D44)</f>
        <v>0</v>
      </c>
      <c r="E46" s="231">
        <f>SUM(E39:E44)</f>
        <v>0</v>
      </c>
    </row>
    <row r="47" spans="2:5" ht="15.75">
      <c r="B47" s="228" t="s">
        <v>111</v>
      </c>
      <c r="C47" s="231">
        <f>C37+C46</f>
        <v>0</v>
      </c>
      <c r="D47" s="231">
        <f>D37+D46</f>
        <v>0</v>
      </c>
      <c r="E47" s="231">
        <f>E37+E46</f>
        <v>0</v>
      </c>
    </row>
    <row r="48" spans="2:5" ht="15.75">
      <c r="B48" s="117" t="s">
        <v>113</v>
      </c>
      <c r="C48" s="192"/>
      <c r="D48" s="192"/>
      <c r="E48" s="192"/>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8" t="str">
        <f>CONCATENATE("Cash Forward (",E1," column)")</f>
        <v>Cash Forward (0 column)</v>
      </c>
      <c r="C56" s="54"/>
      <c r="D56" s="54"/>
      <c r="E56" s="54"/>
    </row>
    <row r="57" spans="2:5" ht="15.75">
      <c r="B57" s="238" t="s">
        <v>13</v>
      </c>
      <c r="C57" s="54"/>
      <c r="D57" s="222"/>
      <c r="E57" s="222"/>
    </row>
    <row r="58" spans="2:5" ht="15.75">
      <c r="B58" s="238" t="s">
        <v>735</v>
      </c>
      <c r="C58" s="262">
        <f>IF(C59*0.1&lt;C57,"Exceed 10% Rule","")</f>
      </c>
      <c r="D58" s="227">
        <f>IF(D59*0.1&lt;D57,"Exceed 10% Rule","")</f>
      </c>
      <c r="E58" s="227">
        <f>IF(E59*0.1&lt;E57,"Exceed 10% Rule","")</f>
      </c>
    </row>
    <row r="59" spans="2:5" ht="15.75">
      <c r="B59" s="228" t="s">
        <v>117</v>
      </c>
      <c r="C59" s="231">
        <f>SUM(C49:C57)</f>
        <v>0</v>
      </c>
      <c r="D59" s="231">
        <f>SUM(D49:D57)</f>
        <v>0</v>
      </c>
      <c r="E59" s="231">
        <f>SUM(E49:E57)</f>
        <v>0</v>
      </c>
    </row>
    <row r="60" spans="2:5" ht="15.75">
      <c r="B60" s="117" t="s">
        <v>211</v>
      </c>
      <c r="C60" s="67">
        <f>C47-C59</f>
        <v>0</v>
      </c>
      <c r="D60" s="67">
        <f>D47-D59</f>
        <v>0</v>
      </c>
      <c r="E60" s="67">
        <f>E47-E59</f>
        <v>0</v>
      </c>
    </row>
    <row r="61" spans="2:5" ht="15.75">
      <c r="B61" s="137" t="str">
        <f>CONCATENATE("",E1-2,"/",E1-1,"/",E1," Budget Authority Amount:")</f>
        <v>-2/-1/0 Budget Authority Amount:</v>
      </c>
      <c r="C61" s="669">
        <f>inputOth!B78</f>
        <v>0</v>
      </c>
      <c r="D61" s="669">
        <f>inputPrYr!D38</f>
        <v>0</v>
      </c>
      <c r="E61" s="696">
        <f>E59</f>
        <v>0</v>
      </c>
    </row>
    <row r="62" spans="2:5" ht="15.75">
      <c r="B62" s="103"/>
      <c r="C62" s="240">
        <f>IF(C59&gt;C61,"See Tab A","")</f>
      </c>
      <c r="D62" s="240">
        <f>IF(D59&gt;D61,"See Tab C","")</f>
      </c>
      <c r="E62" s="697">
        <f>IF(E60&lt;0,"See Tab E","")</f>
      </c>
    </row>
    <row r="63" spans="2:5" ht="15.75">
      <c r="B63" s="103"/>
      <c r="C63" s="240">
        <f>IF(C60&lt;0,"See Tab B","")</f>
      </c>
      <c r="D63" s="240">
        <f>IF(D60&lt;0,"See Tab D","")</f>
      </c>
      <c r="E63" s="43"/>
    </row>
    <row r="64" spans="2:5" ht="15.75">
      <c r="B64" s="43"/>
      <c r="C64" s="43"/>
      <c r="D64" s="43"/>
      <c r="E64" s="43"/>
    </row>
    <row r="65" spans="2:5" ht="15.75">
      <c r="B65" s="364" t="s">
        <v>120</v>
      </c>
      <c r="C65" s="743"/>
      <c r="D65" s="43"/>
      <c r="E65" s="43"/>
    </row>
  </sheetData>
  <sheetProtection sheet="1"/>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6">
    <cfRule type="cellIs" priority="8" dxfId="338" operator="greaterThan" stopIfTrue="1">
      <formula>$C$28*0.1</formula>
    </cfRule>
  </conditionalFormatting>
  <conditionalFormatting sqref="D26">
    <cfRule type="cellIs" priority="9" dxfId="338" operator="greaterThan" stopIfTrue="1">
      <formula>$D$28*0.1</formula>
    </cfRule>
  </conditionalFormatting>
  <conditionalFormatting sqref="E26">
    <cfRule type="cellIs" priority="10" dxfId="338" operator="greaterThan" stopIfTrue="1">
      <formula>$E$28*0.1</formula>
    </cfRule>
  </conditionalFormatting>
  <conditionalFormatting sqref="C44">
    <cfRule type="cellIs" priority="11" dxfId="338" operator="greaterThan" stopIfTrue="1">
      <formula>$C$46*0.1</formula>
    </cfRule>
  </conditionalFormatting>
  <conditionalFormatting sqref="D44">
    <cfRule type="cellIs" priority="12" dxfId="338" operator="greaterThan" stopIfTrue="1">
      <formula>$D$46*0.1</formula>
    </cfRule>
  </conditionalFormatting>
  <conditionalFormatting sqref="E44">
    <cfRule type="cellIs" priority="13" dxfId="338" operator="greaterThan" stopIfTrue="1">
      <formula>$E$46*0.1</formula>
    </cfRule>
  </conditionalFormatting>
  <conditionalFormatting sqref="C57">
    <cfRule type="cellIs" priority="14" dxfId="338" operator="greaterThan" stopIfTrue="1">
      <formula>$C$59*0.1</formula>
    </cfRule>
  </conditionalFormatting>
  <conditionalFormatting sqref="D57">
    <cfRule type="cellIs" priority="15" dxfId="338" operator="greaterThan" stopIfTrue="1">
      <formula>$D$59*0.1</formula>
    </cfRule>
  </conditionalFormatting>
  <conditionalFormatting sqref="E57">
    <cfRule type="cellIs" priority="16" dxfId="338" operator="greaterThan" stopIfTrue="1">
      <formula>$E$59*0.1</formula>
    </cfRule>
  </conditionalFormatting>
  <conditionalFormatting sqref="D59">
    <cfRule type="cellIs" priority="17" dxfId="0" operator="greaterThan" stopIfTrue="1">
      <formula>$D$61</formula>
    </cfRule>
  </conditionalFormatting>
  <conditionalFormatting sqref="C59">
    <cfRule type="cellIs" priority="18" dxfId="0" operator="greaterThan" stopIfTrue="1">
      <formula>$C$61</formula>
    </cfRule>
  </conditionalFormatting>
  <conditionalFormatting sqref="C60 E60 C29 E29">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61">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86" sqref="Q86"/>
    </sheetView>
  </sheetViews>
  <sheetFormatPr defaultColWidth="8.796875" defaultRowHeight="15"/>
  <cols>
    <col min="1" max="1" width="2.3984375" style="41" customWidth="1"/>
    <col min="2" max="2" width="31.09765625" style="41" customWidth="1"/>
    <col min="3" max="4" width="15.796875" style="41" customWidth="1"/>
    <col min="5" max="5" width="16.09765625" style="41" customWidth="1"/>
    <col min="6" max="16384" width="8.8984375" style="41"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f>(inputPrYr!B39)</f>
        <v>0</v>
      </c>
      <c r="C5" s="189" t="str">
        <f>CONCATENATE("Actual for ",E1-2,"")</f>
        <v>Actual for -2</v>
      </c>
      <c r="D5" s="189" t="str">
        <f>CONCATENATE("Estimate for ",E1-1,"")</f>
        <v>Estimate for -1</v>
      </c>
      <c r="E5" s="172" t="str">
        <f>CONCATENATE("Year for ",E1,"")</f>
        <v>Year for 0</v>
      </c>
    </row>
    <row r="6" spans="2:5" ht="15.75">
      <c r="B6" s="216" t="s">
        <v>210</v>
      </c>
      <c r="C6" s="54"/>
      <c r="D6" s="192">
        <f>C29</f>
        <v>0</v>
      </c>
      <c r="E6" s="192">
        <f>D29</f>
        <v>0</v>
      </c>
    </row>
    <row r="7" spans="2:5" ht="15.75">
      <c r="B7" s="220" t="s">
        <v>212</v>
      </c>
      <c r="C7" s="69"/>
      <c r="D7" s="69"/>
      <c r="E7" s="69"/>
    </row>
    <row r="8" spans="2:5" ht="15.75">
      <c r="B8" s="237"/>
      <c r="C8" s="54"/>
      <c r="D8" s="54"/>
      <c r="E8" s="54"/>
    </row>
    <row r="9" spans="2:5" ht="15.75">
      <c r="B9" s="237"/>
      <c r="C9" s="54"/>
      <c r="D9" s="54"/>
      <c r="E9" s="54"/>
    </row>
    <row r="10" spans="2:5" ht="15.75">
      <c r="B10" s="237"/>
      <c r="C10" s="54"/>
      <c r="D10" s="54"/>
      <c r="E10" s="54"/>
    </row>
    <row r="11" spans="2:5" ht="15.75">
      <c r="B11" s="237"/>
      <c r="C11" s="54"/>
      <c r="D11" s="54"/>
      <c r="E11" s="54"/>
    </row>
    <row r="12" spans="2:5" ht="15.75">
      <c r="B12" s="225" t="s">
        <v>109</v>
      </c>
      <c r="C12" s="54"/>
      <c r="D12" s="54"/>
      <c r="E12" s="54"/>
    </row>
    <row r="13" spans="2:5" ht="15.75">
      <c r="B13" s="126" t="s">
        <v>13</v>
      </c>
      <c r="C13" s="54"/>
      <c r="D13" s="222"/>
      <c r="E13" s="222"/>
    </row>
    <row r="14" spans="2:5" ht="15.75">
      <c r="B14" s="216" t="s">
        <v>734</v>
      </c>
      <c r="C14" s="262">
        <f>IF(C15*0.1&lt;C13,"Exceed 10% Rule","")</f>
      </c>
      <c r="D14" s="227">
        <f>IF(D15*0.1&lt;D13,"Exceed 10% Rule","")</f>
      </c>
      <c r="E14" s="227">
        <f>IF(E15*0.1&lt;E13,"Exceed 10% Rule","")</f>
      </c>
    </row>
    <row r="15" spans="2:5" ht="15.75">
      <c r="B15" s="228" t="s">
        <v>110</v>
      </c>
      <c r="C15" s="231">
        <f>SUM(C8:C13)</f>
        <v>0</v>
      </c>
      <c r="D15" s="231">
        <f>SUM(D8:D13)</f>
        <v>0</v>
      </c>
      <c r="E15" s="231">
        <f>SUM(E8:E13)</f>
        <v>0</v>
      </c>
    </row>
    <row r="16" spans="2:5" ht="15.75">
      <c r="B16" s="228" t="s">
        <v>111</v>
      </c>
      <c r="C16" s="231">
        <f>C6+C15</f>
        <v>0</v>
      </c>
      <c r="D16" s="231">
        <f>D6+D15</f>
        <v>0</v>
      </c>
      <c r="E16" s="231">
        <f>E6+E15</f>
        <v>0</v>
      </c>
    </row>
    <row r="17" spans="2:5" ht="15.75">
      <c r="B17" s="117" t="s">
        <v>113</v>
      </c>
      <c r="C17" s="192"/>
      <c r="D17" s="192"/>
      <c r="E17" s="192"/>
    </row>
    <row r="18" spans="2:5" ht="15.75">
      <c r="B18" s="237"/>
      <c r="C18" s="54"/>
      <c r="D18" s="54"/>
      <c r="E18" s="54"/>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8" t="str">
        <f>CONCATENATE("Cash Forward (",E1," column)")</f>
        <v>Cash Forward (0 column)</v>
      </c>
      <c r="C25" s="54"/>
      <c r="D25" s="54"/>
      <c r="E25" s="54"/>
    </row>
    <row r="26" spans="2:5" ht="15.75">
      <c r="B26" s="238" t="s">
        <v>13</v>
      </c>
      <c r="C26" s="54"/>
      <c r="D26" s="222"/>
      <c r="E26" s="222"/>
    </row>
    <row r="27" spans="2:5" ht="15.75">
      <c r="B27" s="238" t="s">
        <v>735</v>
      </c>
      <c r="C27" s="262">
        <f>IF(C28*0.1&lt;C26,"Exceed 10% Rule","")</f>
      </c>
      <c r="D27" s="227">
        <f>IF(D28*0.1&lt;D26,"Exceed 10% Rule","")</f>
      </c>
      <c r="E27" s="227">
        <f>IF(E28*0.1&lt;E26,"Exceed 10% Rule","")</f>
      </c>
    </row>
    <row r="28" spans="2:5" ht="15.75">
      <c r="B28" s="228" t="s">
        <v>117</v>
      </c>
      <c r="C28" s="231">
        <f>SUM(C18:C26)</f>
        <v>0</v>
      </c>
      <c r="D28" s="231">
        <f>SUM(D18:D26)</f>
        <v>0</v>
      </c>
      <c r="E28" s="231">
        <f>SUM(E18:E26)</f>
        <v>0</v>
      </c>
    </row>
    <row r="29" spans="2:5" ht="15.75">
      <c r="B29" s="117" t="s">
        <v>211</v>
      </c>
      <c r="C29" s="67">
        <f>C16-C28</f>
        <v>0</v>
      </c>
      <c r="D29" s="67">
        <f>D16-D28</f>
        <v>0</v>
      </c>
      <c r="E29" s="67">
        <f>E16-E28</f>
        <v>0</v>
      </c>
    </row>
    <row r="30" spans="2:5" ht="15.75">
      <c r="B30" s="137" t="str">
        <f>CONCATENATE("",E1-2,"/",E1-1,"/",E1," Budget Authority Amount:")</f>
        <v>-2/-1/0 Budget Authority Amount:</v>
      </c>
      <c r="C30" s="669">
        <f>inputOth!B79</f>
        <v>0</v>
      </c>
      <c r="D30" s="669">
        <f>inputPrYr!D39</f>
        <v>0</v>
      </c>
      <c r="E30" s="696">
        <f>E28</f>
        <v>0</v>
      </c>
    </row>
    <row r="31" spans="2:5" ht="15.75">
      <c r="B31" s="103"/>
      <c r="C31" s="240">
        <f>IF(C28&gt;C30,"See Tab A","")</f>
      </c>
      <c r="D31" s="240">
        <f>IF(D28&gt;D30,"See Tab C","")</f>
      </c>
      <c r="E31" s="697">
        <f>IF(E29&lt;0,"See Tab E","")</f>
      </c>
    </row>
    <row r="32" spans="2:5" ht="15.75">
      <c r="B32" s="103"/>
      <c r="C32" s="240">
        <f>IF(C29&lt;0,"See Tab B","")</f>
      </c>
      <c r="D32" s="240">
        <f>IF(D29&lt;0,"See Tab D","")</f>
      </c>
      <c r="E32" s="73"/>
    </row>
    <row r="33" spans="2:5" ht="15.75">
      <c r="B33" s="43"/>
      <c r="C33" s="73"/>
      <c r="D33" s="73"/>
      <c r="E33" s="73"/>
    </row>
    <row r="34" spans="2:5" ht="15.75">
      <c r="B34" s="44" t="s">
        <v>101</v>
      </c>
      <c r="C34" s="257"/>
      <c r="D34" s="257"/>
      <c r="E34" s="257"/>
    </row>
    <row r="35" spans="2:5" ht="15.75">
      <c r="B35" s="43"/>
      <c r="C35" s="663" t="s">
        <v>892</v>
      </c>
      <c r="D35" s="664" t="s">
        <v>893</v>
      </c>
      <c r="E35" s="111" t="s">
        <v>894</v>
      </c>
    </row>
    <row r="36" spans="2:5" ht="15.75">
      <c r="B36" s="489">
        <f>(inputPrYr!B40)</f>
        <v>0</v>
      </c>
      <c r="C36" s="189" t="str">
        <f>CONCATENATE("Actual for ",$E$1-2,"")</f>
        <v>Actual for -2</v>
      </c>
      <c r="D36" s="189" t="str">
        <f>CONCATENATE("Estimate for ",$E$1-1,"")</f>
        <v>Estimate for -1</v>
      </c>
      <c r="E36" s="172" t="str">
        <f>CONCATENATE("Year for ",$E$1,"")</f>
        <v>Year for 0</v>
      </c>
    </row>
    <row r="37" spans="2:5" ht="15.75">
      <c r="B37" s="216" t="s">
        <v>210</v>
      </c>
      <c r="C37" s="54"/>
      <c r="D37" s="192">
        <f>C60</f>
        <v>0</v>
      </c>
      <c r="E37" s="192">
        <f>D60</f>
        <v>0</v>
      </c>
    </row>
    <row r="38" spans="2:5" ht="15.75">
      <c r="B38" s="220" t="s">
        <v>212</v>
      </c>
      <c r="C38" s="69"/>
      <c r="D38" s="69"/>
      <c r="E38" s="69"/>
    </row>
    <row r="39" spans="2:5" ht="15.75">
      <c r="B39" s="237"/>
      <c r="C39" s="54"/>
      <c r="D39" s="54"/>
      <c r="E39" s="54"/>
    </row>
    <row r="40" spans="2:5" ht="15.75">
      <c r="B40" s="237"/>
      <c r="C40" s="54"/>
      <c r="D40" s="54"/>
      <c r="E40" s="54"/>
    </row>
    <row r="41" spans="2:5" ht="15.75">
      <c r="B41" s="237"/>
      <c r="C41" s="54"/>
      <c r="D41" s="54"/>
      <c r="E41" s="54"/>
    </row>
    <row r="42" spans="2:5" ht="15.75">
      <c r="B42" s="237"/>
      <c r="C42" s="54"/>
      <c r="D42" s="54"/>
      <c r="E42" s="54"/>
    </row>
    <row r="43" spans="2:5" ht="15.75">
      <c r="B43" s="225" t="s">
        <v>109</v>
      </c>
      <c r="C43" s="54"/>
      <c r="D43" s="54"/>
      <c r="E43" s="54"/>
    </row>
    <row r="44" spans="2:5" ht="15.75">
      <c r="B44" s="126" t="s">
        <v>13</v>
      </c>
      <c r="C44" s="54"/>
      <c r="D44" s="222"/>
      <c r="E44" s="222"/>
    </row>
    <row r="45" spans="2:5" ht="15.75">
      <c r="B45" s="216" t="s">
        <v>734</v>
      </c>
      <c r="C45" s="262">
        <f>IF(C46*0.1&lt;C44,"Exceed 10% Rule","")</f>
      </c>
      <c r="D45" s="227">
        <f>IF(D46*0.1&lt;D44,"Exceed 10% Rule","")</f>
      </c>
      <c r="E45" s="227">
        <f>IF(E46*0.1&lt;E44,"Exceed 10% Rule","")</f>
      </c>
    </row>
    <row r="46" spans="2:5" ht="15.75">
      <c r="B46" s="228" t="s">
        <v>110</v>
      </c>
      <c r="C46" s="231">
        <f>SUM(C39:C44)</f>
        <v>0</v>
      </c>
      <c r="D46" s="231">
        <f>SUM(D39:D44)</f>
        <v>0</v>
      </c>
      <c r="E46" s="231">
        <f>SUM(E39:E44)</f>
        <v>0</v>
      </c>
    </row>
    <row r="47" spans="2:5" ht="15.75">
      <c r="B47" s="228" t="s">
        <v>111</v>
      </c>
      <c r="C47" s="231">
        <f>C37+C46</f>
        <v>0</v>
      </c>
      <c r="D47" s="231">
        <f>D37+D46</f>
        <v>0</v>
      </c>
      <c r="E47" s="231">
        <f>E37+E46</f>
        <v>0</v>
      </c>
    </row>
    <row r="48" spans="2:5" ht="15.75">
      <c r="B48" s="117" t="s">
        <v>113</v>
      </c>
      <c r="C48" s="192"/>
      <c r="D48" s="192"/>
      <c r="E48" s="192"/>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8" t="str">
        <f>CONCATENATE("Cash Forward (",E1," column)")</f>
        <v>Cash Forward (0 column)</v>
      </c>
      <c r="C56" s="54"/>
      <c r="D56" s="54"/>
      <c r="E56" s="54"/>
    </row>
    <row r="57" spans="2:5" ht="15.75">
      <c r="B57" s="238" t="s">
        <v>13</v>
      </c>
      <c r="C57" s="54"/>
      <c r="D57" s="222"/>
      <c r="E57" s="222"/>
    </row>
    <row r="58" spans="2:5" ht="15.75">
      <c r="B58" s="258" t="s">
        <v>735</v>
      </c>
      <c r="C58" s="262">
        <f>IF(C59*0.1&lt;C57,"Exceed 10% Rule","")</f>
      </c>
      <c r="D58" s="227">
        <f>IF(D59*0.1&lt;D57,"Exceed 10% Rule","")</f>
      </c>
      <c r="E58" s="227">
        <f>IF(E59*0.1&lt;E57,"Exceed 10% Rule","")</f>
      </c>
    </row>
    <row r="59" spans="2:5" ht="15.75">
      <c r="B59" s="228" t="s">
        <v>117</v>
      </c>
      <c r="C59" s="231">
        <f>SUM(C49:C57)</f>
        <v>0</v>
      </c>
      <c r="D59" s="231">
        <f>SUM(D49:D57)</f>
        <v>0</v>
      </c>
      <c r="E59" s="231">
        <f>SUM(E49:E57)</f>
        <v>0</v>
      </c>
    </row>
    <row r="60" spans="2:5" ht="15.75">
      <c r="B60" s="117" t="s">
        <v>211</v>
      </c>
      <c r="C60" s="67">
        <f>C47-C59</f>
        <v>0</v>
      </c>
      <c r="D60" s="67">
        <f>D47-D59</f>
        <v>0</v>
      </c>
      <c r="E60" s="67">
        <f>E47-E59</f>
        <v>0</v>
      </c>
    </row>
    <row r="61" spans="2:5" ht="15.75">
      <c r="B61" s="137" t="str">
        <f>CONCATENATE("",E1-2,"/",E1-1,"/",E1," Budget Authority Amount:")</f>
        <v>-2/-1/0 Budget Authority Amount:</v>
      </c>
      <c r="C61" s="669">
        <f>inputOth!B80</f>
        <v>0</v>
      </c>
      <c r="D61" s="669">
        <f>inputPrYr!D40</f>
        <v>0</v>
      </c>
      <c r="E61" s="696">
        <f>E59</f>
        <v>0</v>
      </c>
    </row>
    <row r="62" spans="2:5" ht="15.75">
      <c r="B62" s="103"/>
      <c r="C62" s="240">
        <f>IF(C59&gt;C61,"See Tab A","")</f>
      </c>
      <c r="D62" s="240">
        <f>IF(D59&gt;D61,"See Tab C","")</f>
      </c>
      <c r="E62" s="697">
        <f>IF(E60&lt;0,"See Tab E","")</f>
      </c>
    </row>
    <row r="63" spans="2:5" ht="15.75">
      <c r="B63" s="103"/>
      <c r="C63" s="240">
        <f>IF(C60&lt;0,"See Tab B","")</f>
      </c>
      <c r="D63" s="240">
        <f>IF(D60&lt;0,"See Tab D","")</f>
      </c>
      <c r="E63" s="43"/>
    </row>
    <row r="64" spans="2:5" ht="15.75">
      <c r="B64" s="43"/>
      <c r="C64" s="43"/>
      <c r="D64" s="43"/>
      <c r="E64" s="43"/>
    </row>
    <row r="65" spans="2:5" ht="15.75">
      <c r="B65" s="364" t="s">
        <v>120</v>
      </c>
      <c r="C65" s="743"/>
      <c r="D65" s="43"/>
      <c r="E65" s="43"/>
    </row>
  </sheetData>
  <sheetProtection sheet="1"/>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6">
    <cfRule type="cellIs" priority="8" dxfId="338" operator="greaterThan" stopIfTrue="1">
      <formula>$C$28*0.1</formula>
    </cfRule>
  </conditionalFormatting>
  <conditionalFormatting sqref="D26">
    <cfRule type="cellIs" priority="9" dxfId="338" operator="greaterThan" stopIfTrue="1">
      <formula>$D$28*0.1</formula>
    </cfRule>
  </conditionalFormatting>
  <conditionalFormatting sqref="E26">
    <cfRule type="cellIs" priority="10" dxfId="338" operator="greaterThan" stopIfTrue="1">
      <formula>$E$28*0.1</formula>
    </cfRule>
  </conditionalFormatting>
  <conditionalFormatting sqref="C44">
    <cfRule type="cellIs" priority="11" dxfId="338" operator="greaterThan" stopIfTrue="1">
      <formula>$C$46*0.1</formula>
    </cfRule>
  </conditionalFormatting>
  <conditionalFormatting sqref="D44">
    <cfRule type="cellIs" priority="12" dxfId="338" operator="greaterThan" stopIfTrue="1">
      <formula>$D$46*0.1</formula>
    </cfRule>
  </conditionalFormatting>
  <conditionalFormatting sqref="E44">
    <cfRule type="cellIs" priority="13" dxfId="338" operator="greaterThan" stopIfTrue="1">
      <formula>$E$46*0.1</formula>
    </cfRule>
  </conditionalFormatting>
  <conditionalFormatting sqref="C57">
    <cfRule type="cellIs" priority="14" dxfId="338" operator="greaterThan" stopIfTrue="1">
      <formula>$C$59*0.1</formula>
    </cfRule>
  </conditionalFormatting>
  <conditionalFormatting sqref="D57">
    <cfRule type="cellIs" priority="15" dxfId="338" operator="greaterThan" stopIfTrue="1">
      <formula>$D$59*0.1</formula>
    </cfRule>
  </conditionalFormatting>
  <conditionalFormatting sqref="E57">
    <cfRule type="cellIs" priority="16" dxfId="338" operator="greaterThan" stopIfTrue="1">
      <formula>$E$59*0.1</formula>
    </cfRule>
  </conditionalFormatting>
  <conditionalFormatting sqref="D59">
    <cfRule type="cellIs" priority="17" dxfId="0" operator="greaterThan" stopIfTrue="1">
      <formula>$D$61</formula>
    </cfRule>
  </conditionalFormatting>
  <conditionalFormatting sqref="C59">
    <cfRule type="cellIs" priority="18" dxfId="0" operator="greaterThan" stopIfTrue="1">
      <formula>$C$61</formula>
    </cfRule>
  </conditionalFormatting>
  <conditionalFormatting sqref="C60 E60 C29 E29">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61">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22" sqref="Q122"/>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16384" width="8.8984375" style="41"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f>inputPrYr!B41</f>
        <v>0</v>
      </c>
      <c r="C5" s="189" t="str">
        <f>CONCATENATE("Actual for ",E1-2,"")</f>
        <v>Actual for -2</v>
      </c>
      <c r="D5" s="189" t="str">
        <f>CONCATENATE("Estimate for ",E1-1,"")</f>
        <v>Estimate for -1</v>
      </c>
      <c r="E5" s="172" t="str">
        <f>CONCATENATE("Year for ",E1,"")</f>
        <v>Year for 0</v>
      </c>
    </row>
    <row r="6" spans="2:5" ht="15.75">
      <c r="B6" s="216" t="s">
        <v>210</v>
      </c>
      <c r="C6" s="54"/>
      <c r="D6" s="192">
        <f>C29</f>
        <v>0</v>
      </c>
      <c r="E6" s="192">
        <f>D29</f>
        <v>0</v>
      </c>
    </row>
    <row r="7" spans="2:5" ht="15.75">
      <c r="B7" s="220" t="s">
        <v>212</v>
      </c>
      <c r="C7" s="69"/>
      <c r="D7" s="69"/>
      <c r="E7" s="69"/>
    </row>
    <row r="8" spans="2:5" ht="15.75">
      <c r="B8" s="237"/>
      <c r="C8" s="54"/>
      <c r="D8" s="54"/>
      <c r="E8" s="54"/>
    </row>
    <row r="9" spans="2:5" ht="15.75">
      <c r="B9" s="237"/>
      <c r="C9" s="54"/>
      <c r="D9" s="54"/>
      <c r="E9" s="54"/>
    </row>
    <row r="10" spans="2:5" ht="15.75">
      <c r="B10" s="237"/>
      <c r="C10" s="54"/>
      <c r="D10" s="54"/>
      <c r="E10" s="54"/>
    </row>
    <row r="11" spans="2:5" ht="15.75">
      <c r="B11" s="237"/>
      <c r="C11" s="54"/>
      <c r="D11" s="54"/>
      <c r="E11" s="54"/>
    </row>
    <row r="12" spans="2:5" ht="15.75">
      <c r="B12" s="225" t="s">
        <v>109</v>
      </c>
      <c r="C12" s="54"/>
      <c r="D12" s="54"/>
      <c r="E12" s="54"/>
    </row>
    <row r="13" spans="2:5" ht="15.75">
      <c r="B13" s="126" t="s">
        <v>13</v>
      </c>
      <c r="C13" s="54"/>
      <c r="D13" s="222"/>
      <c r="E13" s="222"/>
    </row>
    <row r="14" spans="2:5" ht="15.75">
      <c r="B14" s="216" t="s">
        <v>734</v>
      </c>
      <c r="C14" s="262">
        <f>IF(C15*0.1&lt;C13,"Exceed 10% Rule","")</f>
      </c>
      <c r="D14" s="227">
        <f>IF(D15*0.1&lt;D13,"Exceed 10% Rule","")</f>
      </c>
      <c r="E14" s="227">
        <f>IF(E15*0.1&lt;E13,"Exceed 10% Rule","")</f>
      </c>
    </row>
    <row r="15" spans="2:5" ht="15.75">
      <c r="B15" s="228" t="s">
        <v>110</v>
      </c>
      <c r="C15" s="231">
        <f>SUM(C8:C13)</f>
        <v>0</v>
      </c>
      <c r="D15" s="231">
        <f>SUM(D8:D13)</f>
        <v>0</v>
      </c>
      <c r="E15" s="231">
        <f>SUM(E8:E13)</f>
        <v>0</v>
      </c>
    </row>
    <row r="16" spans="2:5" ht="15.75">
      <c r="B16" s="228" t="s">
        <v>111</v>
      </c>
      <c r="C16" s="231">
        <f>C6+C15</f>
        <v>0</v>
      </c>
      <c r="D16" s="231">
        <f>D6+D15</f>
        <v>0</v>
      </c>
      <c r="E16" s="231">
        <f>E6+E15</f>
        <v>0</v>
      </c>
    </row>
    <row r="17" spans="2:5" ht="15.75">
      <c r="B17" s="117" t="s">
        <v>113</v>
      </c>
      <c r="C17" s="192"/>
      <c r="D17" s="192"/>
      <c r="E17" s="192"/>
    </row>
    <row r="18" spans="2:5" ht="15.75">
      <c r="B18" s="237"/>
      <c r="C18" s="54"/>
      <c r="D18" s="54"/>
      <c r="E18" s="54"/>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8" t="str">
        <f>CONCATENATE("Cash Forward (",E1," column)")</f>
        <v>Cash Forward (0 column)</v>
      </c>
      <c r="C25" s="54"/>
      <c r="D25" s="54"/>
      <c r="E25" s="54"/>
    </row>
    <row r="26" spans="2:5" ht="15.75">
      <c r="B26" s="238" t="s">
        <v>13</v>
      </c>
      <c r="C26" s="54"/>
      <c r="D26" s="222"/>
      <c r="E26" s="222"/>
    </row>
    <row r="27" spans="2:5" ht="15.75">
      <c r="B27" s="238" t="s">
        <v>735</v>
      </c>
      <c r="C27" s="262">
        <f>IF(C28*0.1&lt;C26,"Exceed 10% Rule","")</f>
      </c>
      <c r="D27" s="227">
        <f>IF(D28*0.1&lt;D26,"Exceed 10% Rule","")</f>
      </c>
      <c r="E27" s="227">
        <f>IF(E28*0.1&lt;E26,"Exceed 10% Rule","")</f>
      </c>
    </row>
    <row r="28" spans="2:5" ht="15.75">
      <c r="B28" s="228" t="s">
        <v>117</v>
      </c>
      <c r="C28" s="231">
        <f>SUM(C18:C26)</f>
        <v>0</v>
      </c>
      <c r="D28" s="231">
        <f>SUM(D18:D26)</f>
        <v>0</v>
      </c>
      <c r="E28" s="231">
        <f>SUM(E18:E26)</f>
        <v>0</v>
      </c>
    </row>
    <row r="29" spans="2:5" ht="15.75">
      <c r="B29" s="117" t="s">
        <v>211</v>
      </c>
      <c r="C29" s="67">
        <f>C16-C28</f>
        <v>0</v>
      </c>
      <c r="D29" s="67">
        <f>D16-D28</f>
        <v>0</v>
      </c>
      <c r="E29" s="67">
        <f>E16-E28</f>
        <v>0</v>
      </c>
    </row>
    <row r="30" spans="2:5" ht="15.75">
      <c r="B30" s="137" t="str">
        <f>CONCATENATE("",E1-2,"/",E1-1,"/",E1," Budget Authority Amount:")</f>
        <v>-2/-1/0 Budget Authority Amount:</v>
      </c>
      <c r="C30" s="669">
        <f>inputOth!B81</f>
        <v>0</v>
      </c>
      <c r="D30" s="669">
        <f>inputPrYr!D41</f>
        <v>0</v>
      </c>
      <c r="E30" s="696">
        <f>E28</f>
        <v>0</v>
      </c>
    </row>
    <row r="31" spans="2:5" ht="15.75">
      <c r="B31" s="103"/>
      <c r="C31" s="240">
        <f>IF(C28&gt;C30,"See Tab A","")</f>
      </c>
      <c r="D31" s="240">
        <f>IF(D28&gt;D30,"See Tab C","")</f>
      </c>
      <c r="E31" s="697">
        <f>IF(E29&lt;0,"See Tab E","")</f>
      </c>
    </row>
    <row r="32" spans="2:5" ht="15.75">
      <c r="B32" s="103"/>
      <c r="C32" s="240">
        <f>IF(C29&lt;0,"See Tab B","")</f>
      </c>
      <c r="D32" s="240">
        <f>IF(D29&lt;0,"See Tab D","")</f>
      </c>
      <c r="E32" s="73"/>
    </row>
    <row r="33" spans="2:5" ht="15.75">
      <c r="B33" s="43"/>
      <c r="C33" s="73"/>
      <c r="D33" s="73"/>
      <c r="E33" s="73"/>
    </row>
    <row r="34" spans="2:5" ht="15.75">
      <c r="B34" s="44" t="s">
        <v>101</v>
      </c>
      <c r="C34" s="257"/>
      <c r="D34" s="257"/>
      <c r="E34" s="257"/>
    </row>
    <row r="35" spans="2:5" ht="15.75">
      <c r="B35" s="43"/>
      <c r="C35" s="663" t="s">
        <v>892</v>
      </c>
      <c r="D35" s="664" t="s">
        <v>893</v>
      </c>
      <c r="E35" s="111" t="s">
        <v>894</v>
      </c>
    </row>
    <row r="36" spans="2:5" ht="15.75">
      <c r="B36" s="489">
        <f>inputPrYr!B42</f>
        <v>0</v>
      </c>
      <c r="C36" s="189" t="str">
        <f>CONCATENATE("Actual for ",$E$1-2,"")</f>
        <v>Actual for -2</v>
      </c>
      <c r="D36" s="189" t="str">
        <f>CONCATENATE("Estimate for ",$E$1-1,"")</f>
        <v>Estimate for -1</v>
      </c>
      <c r="E36" s="172" t="str">
        <f>CONCATENATE("Year for ",$E$1,"")</f>
        <v>Year for 0</v>
      </c>
    </row>
    <row r="37" spans="2:5" ht="15.75">
      <c r="B37" s="216" t="s">
        <v>210</v>
      </c>
      <c r="C37" s="54"/>
      <c r="D37" s="192">
        <f>C60</f>
        <v>0</v>
      </c>
      <c r="E37" s="192">
        <f>D60</f>
        <v>0</v>
      </c>
    </row>
    <row r="38" spans="2:5" ht="15.75">
      <c r="B38" s="220" t="s">
        <v>212</v>
      </c>
      <c r="C38" s="69"/>
      <c r="D38" s="69"/>
      <c r="E38" s="69"/>
    </row>
    <row r="39" spans="2:5" ht="15.75">
      <c r="B39" s="237"/>
      <c r="C39" s="54"/>
      <c r="D39" s="54"/>
      <c r="E39" s="54"/>
    </row>
    <row r="40" spans="2:5" ht="15.75">
      <c r="B40" s="237"/>
      <c r="C40" s="54"/>
      <c r="D40" s="54"/>
      <c r="E40" s="54"/>
    </row>
    <row r="41" spans="2:5" ht="15.75">
      <c r="B41" s="237"/>
      <c r="C41" s="54"/>
      <c r="D41" s="54"/>
      <c r="E41" s="54"/>
    </row>
    <row r="42" spans="2:5" ht="15.75">
      <c r="B42" s="237"/>
      <c r="C42" s="54"/>
      <c r="D42" s="54"/>
      <c r="E42" s="54"/>
    </row>
    <row r="43" spans="2:5" ht="15.75">
      <c r="B43" s="225" t="s">
        <v>109</v>
      </c>
      <c r="C43" s="54"/>
      <c r="D43" s="54"/>
      <c r="E43" s="54"/>
    </row>
    <row r="44" spans="2:5" ht="15.75">
      <c r="B44" s="126" t="s">
        <v>13</v>
      </c>
      <c r="C44" s="54"/>
      <c r="D44" s="222"/>
      <c r="E44" s="222"/>
    </row>
    <row r="45" spans="2:5" ht="15.75">
      <c r="B45" s="216" t="s">
        <v>734</v>
      </c>
      <c r="C45" s="262">
        <f>IF(C46*0.1&lt;C44,"Exceed 10% Rule","")</f>
      </c>
      <c r="D45" s="227">
        <f>IF(D46*0.1&lt;D44,"Exceed 10% Rule","")</f>
      </c>
      <c r="E45" s="227">
        <f>IF(E46*0.1&lt;E44,"Exceed 10% Rule","")</f>
      </c>
    </row>
    <row r="46" spans="2:5" ht="15.75">
      <c r="B46" s="228" t="s">
        <v>110</v>
      </c>
      <c r="C46" s="231">
        <f>SUM(C39:C44)</f>
        <v>0</v>
      </c>
      <c r="D46" s="231">
        <f>SUM(D39:D44)</f>
        <v>0</v>
      </c>
      <c r="E46" s="231">
        <f>SUM(E39:E44)</f>
        <v>0</v>
      </c>
    </row>
    <row r="47" spans="2:5" ht="15.75">
      <c r="B47" s="228" t="s">
        <v>111</v>
      </c>
      <c r="C47" s="231">
        <f>C37+C46</f>
        <v>0</v>
      </c>
      <c r="D47" s="231">
        <f>D37+D46</f>
        <v>0</v>
      </c>
      <c r="E47" s="231">
        <f>E37+E46</f>
        <v>0</v>
      </c>
    </row>
    <row r="48" spans="2:5" ht="15.75">
      <c r="B48" s="117" t="s">
        <v>113</v>
      </c>
      <c r="C48" s="192"/>
      <c r="D48" s="192"/>
      <c r="E48" s="192"/>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8" t="str">
        <f>CONCATENATE("Cash Forward (",E1," column)")</f>
        <v>Cash Forward (0 column)</v>
      </c>
      <c r="C56" s="54"/>
      <c r="D56" s="54"/>
      <c r="E56" s="54"/>
    </row>
    <row r="57" spans="2:5" ht="15.75">
      <c r="B57" s="238" t="s">
        <v>13</v>
      </c>
      <c r="C57" s="54"/>
      <c r="D57" s="222"/>
      <c r="E57" s="222"/>
    </row>
    <row r="58" spans="2:5" ht="15.75">
      <c r="B58" s="238" t="s">
        <v>735</v>
      </c>
      <c r="C58" s="262">
        <f>IF(C59*0.1&lt;C57,"Exceed 10% Rule","")</f>
      </c>
      <c r="D58" s="227">
        <f>IF(D59*0.1&lt;D57,"Exceed 10% Rule","")</f>
      </c>
      <c r="E58" s="227">
        <f>IF(E59*0.1&lt;E57,"Exceed 10% Rule","")</f>
      </c>
    </row>
    <row r="59" spans="2:5" ht="15.75">
      <c r="B59" s="228" t="s">
        <v>117</v>
      </c>
      <c r="C59" s="231">
        <f>SUM(C49:C57)</f>
        <v>0</v>
      </c>
      <c r="D59" s="231">
        <f>SUM(D49:D57)</f>
        <v>0</v>
      </c>
      <c r="E59" s="231">
        <f>SUM(E49:E57)</f>
        <v>0</v>
      </c>
    </row>
    <row r="60" spans="2:5" ht="15.75">
      <c r="B60" s="117" t="s">
        <v>211</v>
      </c>
      <c r="C60" s="67">
        <f>C47-C59</f>
        <v>0</v>
      </c>
      <c r="D60" s="67">
        <f>D47-D59</f>
        <v>0</v>
      </c>
      <c r="E60" s="67">
        <f>E47-E59</f>
        <v>0</v>
      </c>
    </row>
    <row r="61" spans="2:5" ht="15.75">
      <c r="B61" s="137" t="str">
        <f>CONCATENATE("",E1-2,"/",E1-1,"/",E1," Budget Authority Amount:")</f>
        <v>-2/-1/0 Budget Authority Amount:</v>
      </c>
      <c r="C61" s="669">
        <f>inputOth!B82</f>
        <v>0</v>
      </c>
      <c r="D61" s="669">
        <f>inputPrYr!D42</f>
        <v>0</v>
      </c>
      <c r="E61" s="696">
        <f>E59</f>
        <v>0</v>
      </c>
    </row>
    <row r="62" spans="2:5" ht="15.75">
      <c r="B62" s="103"/>
      <c r="C62" s="240">
        <f>IF(C59&gt;C61,"See Tab A","")</f>
      </c>
      <c r="D62" s="240">
        <f>IF(D59&gt;D61,"See Tab C","")</f>
      </c>
      <c r="E62" s="697">
        <f>IF(E60&lt;0,"See Tab E","")</f>
      </c>
    </row>
    <row r="63" spans="2:5" ht="15.75">
      <c r="B63" s="103"/>
      <c r="C63" s="240">
        <f>IF(C60&lt;0,"See Tab B","")</f>
      </c>
      <c r="D63" s="240">
        <f>IF(D60&lt;0,"See Tab D","")</f>
      </c>
      <c r="E63" s="43"/>
    </row>
    <row r="64" spans="2:5" ht="15.75">
      <c r="B64" s="43"/>
      <c r="C64" s="43"/>
      <c r="D64" s="43"/>
      <c r="E64" s="43"/>
    </row>
    <row r="65" spans="2:5" ht="15.75">
      <c r="B65" s="364" t="s">
        <v>120</v>
      </c>
      <c r="C65" s="743"/>
      <c r="D65" s="43"/>
      <c r="E65" s="43"/>
    </row>
  </sheetData>
  <sheetProtection sheet="1"/>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6">
    <cfRule type="cellIs" priority="8" dxfId="338" operator="greaterThan" stopIfTrue="1">
      <formula>$C$28*0.1</formula>
    </cfRule>
  </conditionalFormatting>
  <conditionalFormatting sqref="D26">
    <cfRule type="cellIs" priority="9" dxfId="338" operator="greaterThan" stopIfTrue="1">
      <formula>$D$28*0.1</formula>
    </cfRule>
  </conditionalFormatting>
  <conditionalFormatting sqref="E26">
    <cfRule type="cellIs" priority="10" dxfId="338" operator="greaterThan" stopIfTrue="1">
      <formula>$E$28*0.1</formula>
    </cfRule>
  </conditionalFormatting>
  <conditionalFormatting sqref="C44">
    <cfRule type="cellIs" priority="11" dxfId="338" operator="greaterThan" stopIfTrue="1">
      <formula>$C$46*0.1</formula>
    </cfRule>
  </conditionalFormatting>
  <conditionalFormatting sqref="D44">
    <cfRule type="cellIs" priority="12" dxfId="338" operator="greaterThan" stopIfTrue="1">
      <formula>$D$46*0.1</formula>
    </cfRule>
  </conditionalFormatting>
  <conditionalFormatting sqref="E44">
    <cfRule type="cellIs" priority="13" dxfId="338" operator="greaterThan" stopIfTrue="1">
      <formula>$E$46*0.1</formula>
    </cfRule>
  </conditionalFormatting>
  <conditionalFormatting sqref="C57">
    <cfRule type="cellIs" priority="14" dxfId="338" operator="greaterThan" stopIfTrue="1">
      <formula>$C$59*0.1</formula>
    </cfRule>
  </conditionalFormatting>
  <conditionalFormatting sqref="D57">
    <cfRule type="cellIs" priority="15" dxfId="338" operator="greaterThan" stopIfTrue="1">
      <formula>$D$59*0.1</formula>
    </cfRule>
  </conditionalFormatting>
  <conditionalFormatting sqref="E57">
    <cfRule type="cellIs" priority="16" dxfId="338" operator="greaterThan" stopIfTrue="1">
      <formula>$E$59*0.1</formula>
    </cfRule>
  </conditionalFormatting>
  <conditionalFormatting sqref="D59">
    <cfRule type="cellIs" priority="17" dxfId="0" operator="greaterThan" stopIfTrue="1">
      <formula>$D$61</formula>
    </cfRule>
  </conditionalFormatting>
  <conditionalFormatting sqref="C59">
    <cfRule type="cellIs" priority="18" dxfId="0" operator="greaterThan" stopIfTrue="1">
      <formula>$C$61</formula>
    </cfRule>
  </conditionalFormatting>
  <conditionalFormatting sqref="C60 E60 C29 E29">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61">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07" sqref="Q107"/>
    </sheetView>
  </sheetViews>
  <sheetFormatPr defaultColWidth="8.796875" defaultRowHeight="15"/>
  <cols>
    <col min="1" max="1" width="2.3984375" style="41" customWidth="1"/>
    <col min="2" max="2" width="31.09765625" style="41" customWidth="1"/>
    <col min="3" max="4" width="15.796875" style="41" customWidth="1"/>
    <col min="5" max="5" width="16.09765625" style="41" customWidth="1"/>
    <col min="6" max="16384" width="8.8984375" style="41"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f>inputPrYr!B43</f>
        <v>0</v>
      </c>
      <c r="C5" s="189" t="str">
        <f>CONCATENATE("Actual for ",E1-2,"")</f>
        <v>Actual for -2</v>
      </c>
      <c r="D5" s="189" t="str">
        <f>CONCATENATE("Estimate for ",E1-1,"")</f>
        <v>Estimate for -1</v>
      </c>
      <c r="E5" s="172" t="str">
        <f>CONCATENATE("Year for ",E1,"")</f>
        <v>Year for 0</v>
      </c>
    </row>
    <row r="6" spans="2:5" ht="15.75">
      <c r="B6" s="216" t="s">
        <v>210</v>
      </c>
      <c r="C6" s="54"/>
      <c r="D6" s="192">
        <f>C29</f>
        <v>0</v>
      </c>
      <c r="E6" s="192">
        <f>D29</f>
        <v>0</v>
      </c>
    </row>
    <row r="7" spans="2:5" ht="15.75">
      <c r="B7" s="220" t="s">
        <v>212</v>
      </c>
      <c r="C7" s="69"/>
      <c r="D7" s="69"/>
      <c r="E7" s="69"/>
    </row>
    <row r="8" spans="2:5" ht="15.75">
      <c r="B8" s="237"/>
      <c r="C8" s="54"/>
      <c r="D8" s="54"/>
      <c r="E8" s="54"/>
    </row>
    <row r="9" spans="2:5" ht="15.75">
      <c r="B9" s="237"/>
      <c r="C9" s="54"/>
      <c r="D9" s="54"/>
      <c r="E9" s="54"/>
    </row>
    <row r="10" spans="2:5" ht="15.75">
      <c r="B10" s="237"/>
      <c r="C10" s="54"/>
      <c r="D10" s="54"/>
      <c r="E10" s="54"/>
    </row>
    <row r="11" spans="2:5" ht="15.75">
      <c r="B11" s="237"/>
      <c r="C11" s="54"/>
      <c r="D11" s="54"/>
      <c r="E11" s="54"/>
    </row>
    <row r="12" spans="2:5" ht="15.75">
      <c r="B12" s="225" t="s">
        <v>109</v>
      </c>
      <c r="C12" s="54"/>
      <c r="D12" s="54"/>
      <c r="E12" s="54"/>
    </row>
    <row r="13" spans="2:5" ht="15.75">
      <c r="B13" s="126" t="s">
        <v>13</v>
      </c>
      <c r="C13" s="176"/>
      <c r="D13" s="176"/>
      <c r="E13" s="176"/>
    </row>
    <row r="14" spans="2:5" ht="15.75">
      <c r="B14" s="216" t="s">
        <v>734</v>
      </c>
      <c r="C14" s="262">
        <f>IF(C15*0.1&lt;C13,"Exceed 10% Rule","")</f>
      </c>
      <c r="D14" s="227">
        <f>IF(D15*0.1&lt;D13,"Exceed 10% Rule","")</f>
      </c>
      <c r="E14" s="227">
        <f>IF(E15*0.1&lt;E13,"Exceed 10% Rule","")</f>
      </c>
    </row>
    <row r="15" spans="2:5" ht="15.75">
      <c r="B15" s="228" t="s">
        <v>110</v>
      </c>
      <c r="C15" s="231">
        <f>SUM(C8:C13)</f>
        <v>0</v>
      </c>
      <c r="D15" s="231">
        <f>SUM(D8:D13)</f>
        <v>0</v>
      </c>
      <c r="E15" s="231">
        <f>SUM(E8:E13)</f>
        <v>0</v>
      </c>
    </row>
    <row r="16" spans="2:5" ht="15.75">
      <c r="B16" s="228" t="s">
        <v>111</v>
      </c>
      <c r="C16" s="231">
        <f>C6+C15</f>
        <v>0</v>
      </c>
      <c r="D16" s="231">
        <f>D6+D15</f>
        <v>0</v>
      </c>
      <c r="E16" s="231">
        <f>E6+E15</f>
        <v>0</v>
      </c>
    </row>
    <row r="17" spans="2:5" ht="15.75">
      <c r="B17" s="117" t="s">
        <v>113</v>
      </c>
      <c r="C17" s="192"/>
      <c r="D17" s="192"/>
      <c r="E17" s="192"/>
    </row>
    <row r="18" spans="2:5" ht="15.75">
      <c r="B18" s="237"/>
      <c r="C18" s="54"/>
      <c r="D18" s="54"/>
      <c r="E18" s="54"/>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8" t="str">
        <f>CONCATENATE("Cash Forward (",E1," column)")</f>
        <v>Cash Forward (0 column)</v>
      </c>
      <c r="C25" s="54"/>
      <c r="D25" s="54"/>
      <c r="E25" s="54"/>
    </row>
    <row r="26" spans="2:5" ht="15.75">
      <c r="B26" s="238" t="s">
        <v>13</v>
      </c>
      <c r="C26" s="54"/>
      <c r="D26" s="222"/>
      <c r="E26" s="222"/>
    </row>
    <row r="27" spans="2:5" ht="15.75">
      <c r="B27" s="238" t="s">
        <v>735</v>
      </c>
      <c r="C27" s="262">
        <f>IF(C28*0.1&lt;C26,"Exceed 10% Rule","")</f>
      </c>
      <c r="D27" s="227">
        <f>IF(D28*0.1&lt;D26,"Exceed 10% Rule","")</f>
      </c>
      <c r="E27" s="227">
        <f>IF(E28*0.1&lt;E26,"Exceed 10% Rule","")</f>
      </c>
    </row>
    <row r="28" spans="2:5" ht="15.75">
      <c r="B28" s="228" t="s">
        <v>117</v>
      </c>
      <c r="C28" s="231">
        <f>SUM(C18:C26)</f>
        <v>0</v>
      </c>
      <c r="D28" s="231">
        <f>SUM(D18:D26)</f>
        <v>0</v>
      </c>
      <c r="E28" s="231">
        <f>SUM(E18:E26)</f>
        <v>0</v>
      </c>
    </row>
    <row r="29" spans="2:5" ht="15.75">
      <c r="B29" s="117" t="s">
        <v>211</v>
      </c>
      <c r="C29" s="67">
        <f>C16-C28</f>
        <v>0</v>
      </c>
      <c r="D29" s="67">
        <f>D16-D28</f>
        <v>0</v>
      </c>
      <c r="E29" s="67">
        <f>E16-E28</f>
        <v>0</v>
      </c>
    </row>
    <row r="30" spans="2:5" ht="15.75">
      <c r="B30" s="137" t="str">
        <f>CONCATENATE("",E1-2,"/",E1-1,"/",E1," Budget Authority Amount:")</f>
        <v>-2/-1/0 Budget Authority Amount:</v>
      </c>
      <c r="C30" s="669">
        <f>inputOth!B83</f>
        <v>0</v>
      </c>
      <c r="D30" s="669">
        <f>inputPrYr!D43</f>
        <v>0</v>
      </c>
      <c r="E30" s="696">
        <f>E28</f>
        <v>0</v>
      </c>
    </row>
    <row r="31" spans="2:5" ht="15.75">
      <c r="B31" s="103"/>
      <c r="C31" s="240">
        <f>IF(C28&gt;C30,"See Tab A","")</f>
      </c>
      <c r="D31" s="240">
        <f>IF(D28&gt;D30,"See Tab C","")</f>
      </c>
      <c r="E31" s="697">
        <f>IF(E29&lt;0,"See Tab E","")</f>
      </c>
    </row>
    <row r="32" spans="2:5" ht="15.75">
      <c r="B32" s="103"/>
      <c r="C32" s="240">
        <f>IF(C29&lt;0,"See Tab B","")</f>
      </c>
      <c r="D32" s="240">
        <f>IF(D29&lt;0,"See Tab D","")</f>
      </c>
      <c r="E32" s="73"/>
    </row>
    <row r="33" spans="2:5" ht="15.75">
      <c r="B33" s="43"/>
      <c r="C33" s="73"/>
      <c r="D33" s="73"/>
      <c r="E33" s="73"/>
    </row>
    <row r="34" spans="2:5" ht="15.75">
      <c r="B34" s="44" t="s">
        <v>101</v>
      </c>
      <c r="C34" s="257"/>
      <c r="D34" s="257"/>
      <c r="E34" s="257"/>
    </row>
    <row r="35" spans="2:5" ht="15.75">
      <c r="B35" s="43"/>
      <c r="C35" s="663" t="s">
        <v>892</v>
      </c>
      <c r="D35" s="664" t="s">
        <v>893</v>
      </c>
      <c r="E35" s="111" t="s">
        <v>894</v>
      </c>
    </row>
    <row r="36" spans="2:5" ht="15.75">
      <c r="B36" s="489">
        <f>inputPrYr!B44</f>
        <v>0</v>
      </c>
      <c r="C36" s="189" t="str">
        <f>CONCATENATE("Actual for ",$E$1-2,"")</f>
        <v>Actual for -2</v>
      </c>
      <c r="D36" s="189" t="str">
        <f>CONCATENATE("Estimate for ",$E$1-1,"")</f>
        <v>Estimate for -1</v>
      </c>
      <c r="E36" s="172" t="str">
        <f>CONCATENATE("Year for ",$E$1,"")</f>
        <v>Year for 0</v>
      </c>
    </row>
    <row r="37" spans="2:5" ht="15.75">
      <c r="B37" s="216" t="s">
        <v>210</v>
      </c>
      <c r="C37" s="54"/>
      <c r="D37" s="192">
        <f>C60</f>
        <v>0</v>
      </c>
      <c r="E37" s="192">
        <f>D60</f>
        <v>0</v>
      </c>
    </row>
    <row r="38" spans="2:5" ht="15.75">
      <c r="B38" s="220" t="s">
        <v>212</v>
      </c>
      <c r="C38" s="69"/>
      <c r="D38" s="69"/>
      <c r="E38" s="69"/>
    </row>
    <row r="39" spans="2:5" ht="15.75">
      <c r="B39" s="237"/>
      <c r="C39" s="54"/>
      <c r="D39" s="54"/>
      <c r="E39" s="54"/>
    </row>
    <row r="40" spans="2:5" ht="15.75">
      <c r="B40" s="237"/>
      <c r="C40" s="54"/>
      <c r="D40" s="54"/>
      <c r="E40" s="54"/>
    </row>
    <row r="41" spans="2:5" ht="15.75">
      <c r="B41" s="237"/>
      <c r="C41" s="54"/>
      <c r="D41" s="54"/>
      <c r="E41" s="54"/>
    </row>
    <row r="42" spans="2:5" ht="15.75">
      <c r="B42" s="237"/>
      <c r="C42" s="54"/>
      <c r="D42" s="54"/>
      <c r="E42" s="54"/>
    </row>
    <row r="43" spans="2:5" ht="15.75">
      <c r="B43" s="225" t="s">
        <v>109</v>
      </c>
      <c r="C43" s="54"/>
      <c r="D43" s="54"/>
      <c r="E43" s="54"/>
    </row>
    <row r="44" spans="2:5" ht="15.75">
      <c r="B44" s="126" t="s">
        <v>13</v>
      </c>
      <c r="C44" s="54"/>
      <c r="D44" s="222"/>
      <c r="E44" s="222"/>
    </row>
    <row r="45" spans="2:5" ht="15.75">
      <c r="B45" s="216" t="s">
        <v>734</v>
      </c>
      <c r="C45" s="262">
        <f>IF(C46*0.1&lt;C44,"Exceed 10% Rule","")</f>
      </c>
      <c r="D45" s="227">
        <f>IF(D46*0.1&lt;D44,"Exceed 10% Rule","")</f>
      </c>
      <c r="E45" s="227">
        <f>IF(E46*0.1&lt;E44,"Exceed 10% Rule","")</f>
      </c>
    </row>
    <row r="46" spans="2:5" ht="15.75">
      <c r="B46" s="228" t="s">
        <v>110</v>
      </c>
      <c r="C46" s="231">
        <f>SUM(C39:C44)</f>
        <v>0</v>
      </c>
      <c r="D46" s="231">
        <f>SUM(D39:D44)</f>
        <v>0</v>
      </c>
      <c r="E46" s="231">
        <f>SUM(E39:E44)</f>
        <v>0</v>
      </c>
    </row>
    <row r="47" spans="2:5" ht="15.75">
      <c r="B47" s="228" t="s">
        <v>111</v>
      </c>
      <c r="C47" s="231">
        <f>C37+C46</f>
        <v>0</v>
      </c>
      <c r="D47" s="231">
        <f>D37+D46</f>
        <v>0</v>
      </c>
      <c r="E47" s="231">
        <f>E37+E46</f>
        <v>0</v>
      </c>
    </row>
    <row r="48" spans="2:5" ht="15.75">
      <c r="B48" s="117" t="s">
        <v>113</v>
      </c>
      <c r="C48" s="192"/>
      <c r="D48" s="192"/>
      <c r="E48" s="192"/>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8" t="str">
        <f>CONCATENATE("Cash Forward (",E1," column)")</f>
        <v>Cash Forward (0 column)</v>
      </c>
      <c r="C56" s="54"/>
      <c r="D56" s="54"/>
      <c r="E56" s="54"/>
    </row>
    <row r="57" spans="2:5" ht="15.75">
      <c r="B57" s="238" t="s">
        <v>13</v>
      </c>
      <c r="C57" s="54"/>
      <c r="D57" s="222"/>
      <c r="E57" s="222"/>
    </row>
    <row r="58" spans="2:5" ht="15.75">
      <c r="B58" s="238" t="s">
        <v>735</v>
      </c>
      <c r="C58" s="262">
        <f>IF(C59*0.1&lt;C57,"Exceed 10% Rule","")</f>
      </c>
      <c r="D58" s="227">
        <f>IF(D59*0.1&lt;D57,"Exceed 10% Rule","")</f>
      </c>
      <c r="E58" s="227">
        <f>IF(E59*0.1&lt;E57,"Exceed 10% Rule","")</f>
      </c>
    </row>
    <row r="59" spans="2:5" ht="15.75">
      <c r="B59" s="228" t="s">
        <v>117</v>
      </c>
      <c r="C59" s="231">
        <f>SUM(C49:C57)</f>
        <v>0</v>
      </c>
      <c r="D59" s="231">
        <f>SUM(D49:D57)</f>
        <v>0</v>
      </c>
      <c r="E59" s="231">
        <f>SUM(E49:E57)</f>
        <v>0</v>
      </c>
    </row>
    <row r="60" spans="2:5" ht="15.75">
      <c r="B60" s="117" t="s">
        <v>211</v>
      </c>
      <c r="C60" s="67">
        <f>C47-C59</f>
        <v>0</v>
      </c>
      <c r="D60" s="67">
        <f>D47-D59</f>
        <v>0</v>
      </c>
      <c r="E60" s="67">
        <f>E47-E59</f>
        <v>0</v>
      </c>
    </row>
    <row r="61" spans="2:5" ht="15.75">
      <c r="B61" s="137" t="str">
        <f>CONCATENATE("",E1-2,"/",E1-1,"/",E1," Budget Authority Amount:")</f>
        <v>-2/-1/0 Budget Authority Amount:</v>
      </c>
      <c r="C61" s="669">
        <f>inputOth!B84</f>
        <v>0</v>
      </c>
      <c r="D61" s="669">
        <f>inputPrYr!D44</f>
        <v>0</v>
      </c>
      <c r="E61" s="696">
        <f>E59</f>
        <v>0</v>
      </c>
    </row>
    <row r="62" spans="2:5" ht="15.75">
      <c r="B62" s="103"/>
      <c r="C62" s="240">
        <f>IF(C59&gt;C61,"See Tab A","")</f>
      </c>
      <c r="D62" s="240">
        <f>IF(D59&gt;D61,"See Tab C","")</f>
      </c>
      <c r="E62" s="697">
        <f>IF(E60&lt;0,"See Tab E","")</f>
      </c>
    </row>
    <row r="63" spans="2:5" ht="15.75">
      <c r="B63" s="103"/>
      <c r="C63" s="240">
        <f>IF(C60&lt;0,"See Tab B","")</f>
      </c>
      <c r="D63" s="240">
        <f>IF(D60&lt;0,"See Tab D","")</f>
      </c>
      <c r="E63" s="43"/>
    </row>
    <row r="64" spans="2:5" ht="15.75">
      <c r="B64" s="43"/>
      <c r="C64" s="43"/>
      <c r="D64" s="43"/>
      <c r="E64" s="43"/>
    </row>
    <row r="65" spans="2:5" ht="15.75">
      <c r="B65" s="364" t="s">
        <v>120</v>
      </c>
      <c r="C65" s="743"/>
      <c r="D65" s="43"/>
      <c r="E65" s="43"/>
    </row>
  </sheetData>
  <sheetProtection sheet="1"/>
  <conditionalFormatting sqref="C13">
    <cfRule type="cellIs" priority="8" dxfId="338" operator="greaterThan" stopIfTrue="1">
      <formula>$C$15*0.1</formula>
    </cfRule>
  </conditionalFormatting>
  <conditionalFormatting sqref="D13">
    <cfRule type="cellIs" priority="9" dxfId="338" operator="greaterThan" stopIfTrue="1">
      <formula>$D$15*0.1</formula>
    </cfRule>
  </conditionalFormatting>
  <conditionalFormatting sqref="E13">
    <cfRule type="cellIs" priority="10" dxfId="338" operator="greaterThan" stopIfTrue="1">
      <formula>$E$15*0.1</formula>
    </cfRule>
  </conditionalFormatting>
  <conditionalFormatting sqref="C26">
    <cfRule type="cellIs" priority="11" dxfId="338" operator="greaterThan" stopIfTrue="1">
      <formula>$C$28*0.1</formula>
    </cfRule>
  </conditionalFormatting>
  <conditionalFormatting sqref="D26">
    <cfRule type="cellIs" priority="12" dxfId="338" operator="greaterThan" stopIfTrue="1">
      <formula>$D$28*0.1</formula>
    </cfRule>
  </conditionalFormatting>
  <conditionalFormatting sqref="E26">
    <cfRule type="cellIs" priority="13" dxfId="338" operator="greaterThan" stopIfTrue="1">
      <formula>$E$28*0.1</formula>
    </cfRule>
  </conditionalFormatting>
  <conditionalFormatting sqref="C44">
    <cfRule type="cellIs" priority="14" dxfId="338" operator="greaterThan" stopIfTrue="1">
      <formula>$C$46*0.1</formula>
    </cfRule>
  </conditionalFormatting>
  <conditionalFormatting sqref="D44">
    <cfRule type="cellIs" priority="15" dxfId="338" operator="greaterThan" stopIfTrue="1">
      <formula>$D$46*0.1</formula>
    </cfRule>
  </conditionalFormatting>
  <conditionalFormatting sqref="E44">
    <cfRule type="cellIs" priority="16" dxfId="338" operator="greaterThan" stopIfTrue="1">
      <formula>$E$46*0.1</formula>
    </cfRule>
  </conditionalFormatting>
  <conditionalFormatting sqref="C57">
    <cfRule type="cellIs" priority="17" dxfId="338" operator="greaterThan" stopIfTrue="1">
      <formula>$C$59*0.1</formula>
    </cfRule>
  </conditionalFormatting>
  <conditionalFormatting sqref="D57">
    <cfRule type="cellIs" priority="18" dxfId="338" operator="greaterThan" stopIfTrue="1">
      <formula>$D$59*0.1</formula>
    </cfRule>
  </conditionalFormatting>
  <conditionalFormatting sqref="E57">
    <cfRule type="cellIs" priority="19" dxfId="338" operator="greaterThan" stopIfTrue="1">
      <formula>$E$59*0.1</formula>
    </cfRule>
  </conditionalFormatting>
  <conditionalFormatting sqref="D59">
    <cfRule type="cellIs" priority="20" dxfId="0" operator="greaterThan" stopIfTrue="1">
      <formula>$D$61</formula>
    </cfRule>
  </conditionalFormatting>
  <conditionalFormatting sqref="C59">
    <cfRule type="cellIs" priority="21" dxfId="0" operator="greaterThan" stopIfTrue="1">
      <formula>$C$61</formula>
    </cfRule>
  </conditionalFormatting>
  <conditionalFormatting sqref="C60 E60 C29 E29">
    <cfRule type="cellIs" priority="22" dxfId="0" operator="lessThan" stopIfTrue="1">
      <formula>0</formula>
    </cfRule>
  </conditionalFormatting>
  <conditionalFormatting sqref="C28">
    <cfRule type="cellIs" priority="24" dxfId="0" operator="greaterThan" stopIfTrue="1">
      <formula>$C$30</formula>
    </cfRule>
  </conditionalFormatting>
  <conditionalFormatting sqref="D60">
    <cfRule type="cellIs" priority="7" dxfId="1" operator="lessThan" stopIfTrue="1">
      <formula>0</formula>
    </cfRule>
  </conditionalFormatting>
  <conditionalFormatting sqref="D29">
    <cfRule type="cellIs" priority="5" dxfId="1" operator="lessThan" stopIfTrue="1">
      <formula>0</formula>
    </cfRule>
  </conditionalFormatting>
  <conditionalFormatting sqref="D28">
    <cfRule type="cellIs" priority="3" dxfId="1" operator="greaterThan" stopIfTrue="1">
      <formula>$D$30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04" sqref="Q104"/>
    </sheetView>
  </sheetViews>
  <sheetFormatPr defaultColWidth="8.796875" defaultRowHeight="15"/>
  <cols>
    <col min="1" max="1" width="2.3984375" style="29" customWidth="1"/>
    <col min="2" max="2" width="31.09765625" style="29" customWidth="1"/>
    <col min="3" max="4" width="15.796875" style="29" customWidth="1"/>
    <col min="5" max="5" width="16.09765625" style="29" customWidth="1"/>
    <col min="6" max="16384" width="8.8984375" style="29"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f>inputPrYr!B45</f>
        <v>0</v>
      </c>
      <c r="C5" s="189" t="str">
        <f>CONCATENATE("Actual for ",E1-2,"")</f>
        <v>Actual for -2</v>
      </c>
      <c r="D5" s="189" t="str">
        <f>CONCATENATE("Estimate for ",E1-1,"")</f>
        <v>Estimate for -1</v>
      </c>
      <c r="E5" s="172" t="str">
        <f>CONCATENATE("Year for ",E1,"")</f>
        <v>Year for 0</v>
      </c>
    </row>
    <row r="6" spans="2:5" ht="15.75">
      <c r="B6" s="216" t="s">
        <v>210</v>
      </c>
      <c r="C6" s="54"/>
      <c r="D6" s="192">
        <f>C29</f>
        <v>0</v>
      </c>
      <c r="E6" s="192">
        <f>D29</f>
        <v>0</v>
      </c>
    </row>
    <row r="7" spans="2:5" s="41" customFormat="1" ht="15.75">
      <c r="B7" s="220" t="s">
        <v>212</v>
      </c>
      <c r="C7" s="69"/>
      <c r="D7" s="69"/>
      <c r="E7" s="69"/>
    </row>
    <row r="8" spans="2:5" ht="15.75">
      <c r="B8" s="237"/>
      <c r="C8" s="54"/>
      <c r="D8" s="54"/>
      <c r="E8" s="54"/>
    </row>
    <row r="9" spans="2:5" ht="15.75">
      <c r="B9" s="237"/>
      <c r="C9" s="54"/>
      <c r="D9" s="54"/>
      <c r="E9" s="54"/>
    </row>
    <row r="10" spans="2:5" ht="15.75">
      <c r="B10" s="237"/>
      <c r="C10" s="54"/>
      <c r="D10" s="54"/>
      <c r="E10" s="54"/>
    </row>
    <row r="11" spans="2:5" ht="15.75">
      <c r="B11" s="237"/>
      <c r="C11" s="54"/>
      <c r="D11" s="54"/>
      <c r="E11" s="54"/>
    </row>
    <row r="12" spans="2:5" ht="15.75">
      <c r="B12" s="225" t="s">
        <v>109</v>
      </c>
      <c r="C12" s="54"/>
      <c r="D12" s="54"/>
      <c r="E12" s="54"/>
    </row>
    <row r="13" spans="2:5" ht="15.75">
      <c r="B13" s="126" t="s">
        <v>13</v>
      </c>
      <c r="C13" s="54"/>
      <c r="D13" s="222"/>
      <c r="E13" s="222"/>
    </row>
    <row r="14" spans="2:5" ht="15.75">
      <c r="B14" s="216" t="s">
        <v>734</v>
      </c>
      <c r="C14" s="262">
        <f>IF(C15*0.1&lt;C13,"Exceed 10% Rule","")</f>
      </c>
      <c r="D14" s="227">
        <f>IF(D15*0.1&lt;D13,"Exceed 10% Rule","")</f>
      </c>
      <c r="E14" s="227">
        <f>IF(E15*0.1&lt;E13,"Exceed 10% Rule","")</f>
      </c>
    </row>
    <row r="15" spans="2:5" ht="15.75">
      <c r="B15" s="228" t="s">
        <v>110</v>
      </c>
      <c r="C15" s="231">
        <f>SUM(C8:C13)</f>
        <v>0</v>
      </c>
      <c r="D15" s="231">
        <f>SUM(D8:D13)</f>
        <v>0</v>
      </c>
      <c r="E15" s="231">
        <f>SUM(E8:E13)</f>
        <v>0</v>
      </c>
    </row>
    <row r="16" spans="2:5" ht="15.75">
      <c r="B16" s="228" t="s">
        <v>111</v>
      </c>
      <c r="C16" s="231">
        <f>C6+C15</f>
        <v>0</v>
      </c>
      <c r="D16" s="231">
        <f>D6+D15</f>
        <v>0</v>
      </c>
      <c r="E16" s="231">
        <f>E6+E15</f>
        <v>0</v>
      </c>
    </row>
    <row r="17" spans="2:5" ht="15.75">
      <c r="B17" s="117" t="s">
        <v>113</v>
      </c>
      <c r="C17" s="192"/>
      <c r="D17" s="192"/>
      <c r="E17" s="192"/>
    </row>
    <row r="18" spans="2:5" ht="15.75">
      <c r="B18" s="237"/>
      <c r="C18" s="54"/>
      <c r="D18" s="54"/>
      <c r="E18" s="54"/>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8" t="str">
        <f>CONCATENATE("Cash Forward (",E1," column)")</f>
        <v>Cash Forward (0 column)</v>
      </c>
      <c r="C25" s="54"/>
      <c r="D25" s="54"/>
      <c r="E25" s="54"/>
    </row>
    <row r="26" spans="2:5" ht="15.75">
      <c r="B26" s="238" t="s">
        <v>13</v>
      </c>
      <c r="C26" s="54"/>
      <c r="D26" s="222"/>
      <c r="E26" s="222"/>
    </row>
    <row r="27" spans="2:5" ht="15.75">
      <c r="B27" s="238" t="s">
        <v>735</v>
      </c>
      <c r="C27" s="262">
        <f>IF(C28*0.1&lt;C26,"Exceed 10% Rule","")</f>
      </c>
      <c r="D27" s="227">
        <f>IF(D28*0.1&lt;D26,"Exceed 10% Rule","")</f>
      </c>
      <c r="E27" s="227">
        <f>IF(E28*0.1&lt;E26,"Exceed 10% Rule","")</f>
      </c>
    </row>
    <row r="28" spans="2:5" ht="15.75">
      <c r="B28" s="228" t="s">
        <v>117</v>
      </c>
      <c r="C28" s="231">
        <f>SUM(C18:C26)</f>
        <v>0</v>
      </c>
      <c r="D28" s="231">
        <f>SUM(D18:D26)</f>
        <v>0</v>
      </c>
      <c r="E28" s="231">
        <f>SUM(E18:E26)</f>
        <v>0</v>
      </c>
    </row>
    <row r="29" spans="2:5" ht="15.75">
      <c r="B29" s="117" t="s">
        <v>211</v>
      </c>
      <c r="C29" s="67">
        <f>C16-C28</f>
        <v>0</v>
      </c>
      <c r="D29" s="67">
        <f>D16-D28</f>
        <v>0</v>
      </c>
      <c r="E29" s="67">
        <f>E16-E28</f>
        <v>0</v>
      </c>
    </row>
    <row r="30" spans="2:5" ht="15.75">
      <c r="B30" s="137" t="str">
        <f>CONCATENATE("",E1-2,"/",E1-1,"/",E1," Budget Authority Amount:")</f>
        <v>-2/-1/0 Budget Authority Amount:</v>
      </c>
      <c r="C30" s="669">
        <f>inputOth!B85</f>
        <v>0</v>
      </c>
      <c r="D30" s="669">
        <f>inputPrYr!D45</f>
        <v>0</v>
      </c>
      <c r="E30" s="696">
        <f>E28</f>
        <v>0</v>
      </c>
    </row>
    <row r="31" spans="2:5" ht="15.75">
      <c r="B31" s="103"/>
      <c r="C31" s="240">
        <f>IF(C28&gt;C30,"See Tab A","")</f>
      </c>
      <c r="D31" s="240">
        <f>IF(D28&gt;D30,"See Tab C","")</f>
      </c>
      <c r="E31" s="697">
        <f>IF(E29&lt;0,"See Tab E","")</f>
      </c>
    </row>
    <row r="32" spans="2:5" ht="15.75">
      <c r="B32" s="103"/>
      <c r="C32" s="240">
        <f>IF(C29&lt;0,"See Tab B","")</f>
      </c>
      <c r="D32" s="240">
        <f>IF(D29&lt;0,"See Tab D","")</f>
      </c>
      <c r="E32" s="73"/>
    </row>
    <row r="33" spans="2:5" ht="15.75">
      <c r="B33" s="43"/>
      <c r="C33" s="73"/>
      <c r="D33" s="73"/>
      <c r="E33" s="73"/>
    </row>
    <row r="34" spans="2:5" ht="15.75">
      <c r="B34" s="44" t="s">
        <v>101</v>
      </c>
      <c r="C34" s="257"/>
      <c r="D34" s="257"/>
      <c r="E34" s="257"/>
    </row>
    <row r="35" spans="2:5" ht="15.75">
      <c r="B35" s="43"/>
      <c r="C35" s="663" t="s">
        <v>892</v>
      </c>
      <c r="D35" s="664" t="s">
        <v>893</v>
      </c>
      <c r="E35" s="111" t="s">
        <v>894</v>
      </c>
    </row>
    <row r="36" spans="2:5" ht="15.75">
      <c r="B36" s="489">
        <f>inputPrYr!B46</f>
        <v>0</v>
      </c>
      <c r="C36" s="189" t="str">
        <f>CONCATENATE("Actual for ",$E$1-2,"")</f>
        <v>Actual for -2</v>
      </c>
      <c r="D36" s="189" t="str">
        <f>CONCATENATE("Estimate for ",$E$1-1,"")</f>
        <v>Estimate for -1</v>
      </c>
      <c r="E36" s="172" t="str">
        <f>CONCATENATE("Year for ",$E$1,"")</f>
        <v>Year for 0</v>
      </c>
    </row>
    <row r="37" spans="2:5" ht="15.75">
      <c r="B37" s="216" t="s">
        <v>210</v>
      </c>
      <c r="C37" s="54"/>
      <c r="D37" s="192">
        <f>C60</f>
        <v>0</v>
      </c>
      <c r="E37" s="192">
        <f>D60</f>
        <v>0</v>
      </c>
    </row>
    <row r="38" spans="2:5" s="41" customFormat="1" ht="15.75">
      <c r="B38" s="220" t="s">
        <v>212</v>
      </c>
      <c r="C38" s="69"/>
      <c r="D38" s="69"/>
      <c r="E38" s="69"/>
    </row>
    <row r="39" spans="2:5" ht="15.75">
      <c r="B39" s="237"/>
      <c r="C39" s="54"/>
      <c r="D39" s="54"/>
      <c r="E39" s="54"/>
    </row>
    <row r="40" spans="2:5" ht="15.75">
      <c r="B40" s="237"/>
      <c r="C40" s="54"/>
      <c r="D40" s="54"/>
      <c r="E40" s="54"/>
    </row>
    <row r="41" spans="2:5" ht="15.75">
      <c r="B41" s="237"/>
      <c r="C41" s="54"/>
      <c r="D41" s="54"/>
      <c r="E41" s="54"/>
    </row>
    <row r="42" spans="2:5" ht="15.75">
      <c r="B42" s="237"/>
      <c r="C42" s="54"/>
      <c r="D42" s="54"/>
      <c r="E42" s="54"/>
    </row>
    <row r="43" spans="2:5" ht="15.75">
      <c r="B43" s="225" t="s">
        <v>109</v>
      </c>
      <c r="C43" s="54"/>
      <c r="D43" s="54"/>
      <c r="E43" s="54"/>
    </row>
    <row r="44" spans="2:5" ht="15.75">
      <c r="B44" s="126" t="s">
        <v>13</v>
      </c>
      <c r="C44" s="54"/>
      <c r="D44" s="222"/>
      <c r="E44" s="222"/>
    </row>
    <row r="45" spans="2:5" ht="15.75">
      <c r="B45" s="216" t="s">
        <v>734</v>
      </c>
      <c r="C45" s="262">
        <f>IF(C46*0.1&lt;C44,"Exceed 10% Rule","")</f>
      </c>
      <c r="D45" s="227">
        <f>IF(D46*0.1&lt;D44,"Exceed 10% Rule","")</f>
      </c>
      <c r="E45" s="227">
        <f>IF(E46*0.1&lt;E44,"Exceed 10% Rule","")</f>
      </c>
    </row>
    <row r="46" spans="2:5" ht="15.75">
      <c r="B46" s="228" t="s">
        <v>110</v>
      </c>
      <c r="C46" s="231">
        <f>SUM(C39:C44)</f>
        <v>0</v>
      </c>
      <c r="D46" s="231">
        <f>SUM(D39:D44)</f>
        <v>0</v>
      </c>
      <c r="E46" s="231">
        <f>SUM(E39:E44)</f>
        <v>0</v>
      </c>
    </row>
    <row r="47" spans="2:5" ht="15.75">
      <c r="B47" s="228" t="s">
        <v>111</v>
      </c>
      <c r="C47" s="231">
        <f>C37+C46</f>
        <v>0</v>
      </c>
      <c r="D47" s="231">
        <f>D37+D46</f>
        <v>0</v>
      </c>
      <c r="E47" s="231">
        <f>E37+E46</f>
        <v>0</v>
      </c>
    </row>
    <row r="48" spans="2:5" ht="15.75">
      <c r="B48" s="117" t="s">
        <v>113</v>
      </c>
      <c r="C48" s="192"/>
      <c r="D48" s="192"/>
      <c r="E48" s="192"/>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8" t="str">
        <f>CONCATENATE("Cash Forward (",E1," column)")</f>
        <v>Cash Forward (0 column)</v>
      </c>
      <c r="C56" s="54"/>
      <c r="D56" s="54"/>
      <c r="E56" s="54"/>
    </row>
    <row r="57" spans="2:5" ht="15.75">
      <c r="B57" s="238" t="s">
        <v>13</v>
      </c>
      <c r="C57" s="54"/>
      <c r="D57" s="222"/>
      <c r="E57" s="222"/>
    </row>
    <row r="58" spans="2:5" ht="15.75">
      <c r="B58" s="238" t="s">
        <v>735</v>
      </c>
      <c r="C58" s="262">
        <f>IF(C59*0.1&lt;C57,"Exceed 10% Rule","")</f>
      </c>
      <c r="D58" s="227">
        <f>IF(D59*0.1&lt;D57,"Exceed 10% Rule","")</f>
      </c>
      <c r="E58" s="227">
        <f>IF(E59*0.1&lt;E57,"Exceed 10% Rule","")</f>
      </c>
    </row>
    <row r="59" spans="2:5" ht="15.75">
      <c r="B59" s="228" t="s">
        <v>117</v>
      </c>
      <c r="C59" s="231">
        <f>SUM(C49:C57)</f>
        <v>0</v>
      </c>
      <c r="D59" s="231">
        <f>SUM(D49:D57)</f>
        <v>0</v>
      </c>
      <c r="E59" s="231">
        <f>SUM(E49:E57)</f>
        <v>0</v>
      </c>
    </row>
    <row r="60" spans="2:5" ht="15.75">
      <c r="B60" s="117" t="s">
        <v>211</v>
      </c>
      <c r="C60" s="67">
        <f>C47-C59</f>
        <v>0</v>
      </c>
      <c r="D60" s="67">
        <f>D47-D59</f>
        <v>0</v>
      </c>
      <c r="E60" s="67">
        <f>E47-E59</f>
        <v>0</v>
      </c>
    </row>
    <row r="61" spans="2:5" ht="15.75">
      <c r="B61" s="137" t="str">
        <f>CONCATENATE("",E1-2,"/",E1-1,"/",E1," Budget Authority Amount:")</f>
        <v>-2/-1/0 Budget Authority Amount:</v>
      </c>
      <c r="C61" s="669">
        <f>inputOth!B86</f>
        <v>0</v>
      </c>
      <c r="D61" s="669">
        <f>inputPrYr!D46</f>
        <v>0</v>
      </c>
      <c r="E61" s="696">
        <f>E59</f>
        <v>0</v>
      </c>
    </row>
    <row r="62" spans="2:5" ht="15.75">
      <c r="B62" s="103"/>
      <c r="C62" s="240">
        <f>IF(C59&gt;C61,"See Tab A","")</f>
      </c>
      <c r="D62" s="240">
        <f>IF(D59&gt;D61,"See Tab C","")</f>
      </c>
      <c r="E62" s="697">
        <f>IF(E60&lt;0,"See Tab E","")</f>
      </c>
    </row>
    <row r="63" spans="2:5" ht="15.75">
      <c r="B63" s="103"/>
      <c r="C63" s="240">
        <f>IF(C60&lt;0,"See Tab B","")</f>
      </c>
      <c r="D63" s="240">
        <f>IF(D60&lt;0,"See Tab D","")</f>
      </c>
      <c r="E63" s="43"/>
    </row>
    <row r="64" spans="2:5" ht="15.75">
      <c r="B64" s="43"/>
      <c r="C64" s="43"/>
      <c r="D64" s="43"/>
      <c r="E64" s="43"/>
    </row>
    <row r="65" spans="2:5" ht="15.75">
      <c r="B65" s="364" t="s">
        <v>120</v>
      </c>
      <c r="C65" s="743"/>
      <c r="D65" s="43"/>
      <c r="E65" s="43"/>
    </row>
  </sheetData>
  <sheetProtection sheet="1"/>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6">
    <cfRule type="cellIs" priority="8" dxfId="338" operator="greaterThan" stopIfTrue="1">
      <formula>$C$28*0.1</formula>
    </cfRule>
  </conditionalFormatting>
  <conditionalFormatting sqref="D26">
    <cfRule type="cellIs" priority="9" dxfId="338" operator="greaterThan" stopIfTrue="1">
      <formula>$D$28*0.1</formula>
    </cfRule>
  </conditionalFormatting>
  <conditionalFormatting sqref="E26">
    <cfRule type="cellIs" priority="10" dxfId="338" operator="greaterThan" stopIfTrue="1">
      <formula>$E$28*0.1</formula>
    </cfRule>
  </conditionalFormatting>
  <conditionalFormatting sqref="C44">
    <cfRule type="cellIs" priority="11" dxfId="338" operator="greaterThan" stopIfTrue="1">
      <formula>$C$46*0.1</formula>
    </cfRule>
  </conditionalFormatting>
  <conditionalFormatting sqref="D44">
    <cfRule type="cellIs" priority="12" dxfId="338" operator="greaterThan" stopIfTrue="1">
      <formula>$D$46*0.1</formula>
    </cfRule>
  </conditionalFormatting>
  <conditionalFormatting sqref="E44">
    <cfRule type="cellIs" priority="13" dxfId="338" operator="greaterThan" stopIfTrue="1">
      <formula>$E$46*0.1</formula>
    </cfRule>
  </conditionalFormatting>
  <conditionalFormatting sqref="C57">
    <cfRule type="cellIs" priority="14" dxfId="338" operator="greaterThan" stopIfTrue="1">
      <formula>$C$59*0.1</formula>
    </cfRule>
  </conditionalFormatting>
  <conditionalFormatting sqref="D57">
    <cfRule type="cellIs" priority="15" dxfId="338" operator="greaterThan" stopIfTrue="1">
      <formula>$D$59*0.1</formula>
    </cfRule>
  </conditionalFormatting>
  <conditionalFormatting sqref="E57">
    <cfRule type="cellIs" priority="16" dxfId="338" operator="greaterThan" stopIfTrue="1">
      <formula>$E$59*0.1</formula>
    </cfRule>
  </conditionalFormatting>
  <conditionalFormatting sqref="C59:D59">
    <cfRule type="cellIs" priority="17" dxfId="0" operator="greaterThan" stopIfTrue="1">
      <formula>$D$61</formula>
    </cfRule>
  </conditionalFormatting>
  <conditionalFormatting sqref="C60 E60 C29 E29">
    <cfRule type="cellIs" priority="18" dxfId="0" operator="lessThan" stopIfTrue="1">
      <formula>0</formula>
    </cfRule>
  </conditionalFormatting>
  <conditionalFormatting sqref="D28">
    <cfRule type="cellIs" priority="19" dxfId="0" operator="greaterThan" stopIfTrue="1">
      <formula>$D$30</formula>
    </cfRule>
  </conditionalFormatting>
  <conditionalFormatting sqref="C28">
    <cfRule type="cellIs" priority="20"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3" sqref="Q113"/>
    </sheetView>
  </sheetViews>
  <sheetFormatPr defaultColWidth="8.796875" defaultRowHeight="15"/>
  <cols>
    <col min="1" max="1" width="2.3984375" style="29" customWidth="1"/>
    <col min="2" max="2" width="31.09765625" style="29" customWidth="1"/>
    <col min="3" max="4" width="15.796875" style="29" customWidth="1"/>
    <col min="5" max="5" width="16.09765625" style="29" customWidth="1"/>
    <col min="6" max="16384" width="8.8984375" style="29"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f>inputPrYr!B47</f>
        <v>0</v>
      </c>
      <c r="C5" s="189" t="str">
        <f>CONCATENATE("Actual for ",E1-2,"")</f>
        <v>Actual for -2</v>
      </c>
      <c r="D5" s="189" t="str">
        <f>CONCATENATE("Estimate for ",E1-1,"")</f>
        <v>Estimate for -1</v>
      </c>
      <c r="E5" s="172" t="str">
        <f>CONCATENATE("Year for ",E1,"")</f>
        <v>Year for 0</v>
      </c>
    </row>
    <row r="6" spans="2:5" ht="15.75">
      <c r="B6" s="216" t="s">
        <v>210</v>
      </c>
      <c r="C6" s="54"/>
      <c r="D6" s="192">
        <f>C29</f>
        <v>0</v>
      </c>
      <c r="E6" s="192">
        <f>D29</f>
        <v>0</v>
      </c>
    </row>
    <row r="7" spans="2:5" s="41" customFormat="1" ht="15.75">
      <c r="B7" s="220" t="s">
        <v>212</v>
      </c>
      <c r="C7" s="69"/>
      <c r="D7" s="69"/>
      <c r="E7" s="69"/>
    </row>
    <row r="8" spans="2:5" ht="15.75">
      <c r="B8" s="237"/>
      <c r="C8" s="54"/>
      <c r="D8" s="54"/>
      <c r="E8" s="54"/>
    </row>
    <row r="9" spans="2:5" ht="15.75">
      <c r="B9" s="237"/>
      <c r="C9" s="54"/>
      <c r="D9" s="54"/>
      <c r="E9" s="54"/>
    </row>
    <row r="10" spans="2:5" ht="15.75">
      <c r="B10" s="237"/>
      <c r="C10" s="54"/>
      <c r="D10" s="54"/>
      <c r="E10" s="54"/>
    </row>
    <row r="11" spans="2:5" ht="15.75">
      <c r="B11" s="237"/>
      <c r="C11" s="54"/>
      <c r="D11" s="54"/>
      <c r="E11" s="54"/>
    </row>
    <row r="12" spans="2:5" ht="15.75">
      <c r="B12" s="225" t="s">
        <v>109</v>
      </c>
      <c r="C12" s="54"/>
      <c r="D12" s="54"/>
      <c r="E12" s="54"/>
    </row>
    <row r="13" spans="2:5" ht="15.75">
      <c r="B13" s="126" t="s">
        <v>13</v>
      </c>
      <c r="C13" s="54"/>
      <c r="D13" s="222"/>
      <c r="E13" s="222"/>
    </row>
    <row r="14" spans="2:5" ht="15.75">
      <c r="B14" s="216" t="s">
        <v>734</v>
      </c>
      <c r="C14" s="262">
        <f>IF(C15*0.1&lt;C13,"Exceed 10% Rule","")</f>
      </c>
      <c r="D14" s="227">
        <f>IF(D15*0.1&lt;D13,"Exceed 10% Rule","")</f>
      </c>
      <c r="E14" s="227">
        <f>IF(E15*0.1&lt;E13,"Exceed 10% Rule","")</f>
      </c>
    </row>
    <row r="15" spans="2:5" ht="15.75">
      <c r="B15" s="228" t="s">
        <v>110</v>
      </c>
      <c r="C15" s="231">
        <f>SUM(C8:C13)</f>
        <v>0</v>
      </c>
      <c r="D15" s="231">
        <f>SUM(D8:D13)</f>
        <v>0</v>
      </c>
      <c r="E15" s="231">
        <f>SUM(E8:E13)</f>
        <v>0</v>
      </c>
    </row>
    <row r="16" spans="2:5" ht="15.75">
      <c r="B16" s="228" t="s">
        <v>111</v>
      </c>
      <c r="C16" s="231">
        <f>C6+C15</f>
        <v>0</v>
      </c>
      <c r="D16" s="231">
        <f>D6+D15</f>
        <v>0</v>
      </c>
      <c r="E16" s="231">
        <f>E6+E15</f>
        <v>0</v>
      </c>
    </row>
    <row r="17" spans="2:5" ht="15.75">
      <c r="B17" s="117" t="s">
        <v>113</v>
      </c>
      <c r="C17" s="192"/>
      <c r="D17" s="192"/>
      <c r="E17" s="192"/>
    </row>
    <row r="18" spans="2:5" ht="15.75">
      <c r="B18" s="237"/>
      <c r="C18" s="54"/>
      <c r="D18" s="54"/>
      <c r="E18" s="54"/>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8" t="str">
        <f>CONCATENATE("Cash Forward (",E1," column)")</f>
        <v>Cash Forward (0 column)</v>
      </c>
      <c r="C25" s="54"/>
      <c r="D25" s="54"/>
      <c r="E25" s="54"/>
    </row>
    <row r="26" spans="2:5" ht="15.75">
      <c r="B26" s="238" t="s">
        <v>13</v>
      </c>
      <c r="C26" s="54"/>
      <c r="D26" s="222"/>
      <c r="E26" s="222"/>
    </row>
    <row r="27" spans="2:5" ht="15.75">
      <c r="B27" s="238" t="s">
        <v>735</v>
      </c>
      <c r="C27" s="262">
        <f>IF(C28*0.1&lt;C26,"Exceed 10% Rule","")</f>
      </c>
      <c r="D27" s="227">
        <f>IF(D28*0.1&lt;D26,"Exceed 10% Rule","")</f>
      </c>
      <c r="E27" s="227">
        <f>IF(E28*0.1&lt;E26,"Exceed 10% Rule","")</f>
      </c>
    </row>
    <row r="28" spans="2:5" ht="15.75">
      <c r="B28" s="228" t="s">
        <v>117</v>
      </c>
      <c r="C28" s="231">
        <f>SUM(C18:C26)</f>
        <v>0</v>
      </c>
      <c r="D28" s="231">
        <f>SUM(D18:D26)</f>
        <v>0</v>
      </c>
      <c r="E28" s="231">
        <f>SUM(E18:E26)</f>
        <v>0</v>
      </c>
    </row>
    <row r="29" spans="2:5" ht="15.75">
      <c r="B29" s="117" t="s">
        <v>211</v>
      </c>
      <c r="C29" s="67">
        <f>C16-C28</f>
        <v>0</v>
      </c>
      <c r="D29" s="67">
        <f>D16-D28</f>
        <v>0</v>
      </c>
      <c r="E29" s="67">
        <f>E16-E28</f>
        <v>0</v>
      </c>
    </row>
    <row r="30" spans="2:5" ht="15.75">
      <c r="B30" s="137" t="str">
        <f>CONCATENATE("",E1-2,"/",E1-1,"/",E1," Budget Authority Amount:")</f>
        <v>-2/-1/0 Budget Authority Amount:</v>
      </c>
      <c r="C30" s="669">
        <f>inputOth!B87</f>
        <v>0</v>
      </c>
      <c r="D30" s="669">
        <f>inputPrYr!D47</f>
        <v>0</v>
      </c>
      <c r="E30" s="696">
        <f>E28</f>
        <v>0</v>
      </c>
    </row>
    <row r="31" spans="2:5" ht="15.75">
      <c r="B31" s="103"/>
      <c r="C31" s="240">
        <f>IF(C28&gt;C30,"See Tab A","")</f>
      </c>
      <c r="D31" s="240">
        <f>IF(D28&gt;D30,"See Tab C","")</f>
      </c>
      <c r="E31" s="697">
        <f>IF(E29&lt;0,"See Tab E","")</f>
      </c>
    </row>
    <row r="32" spans="2:5" ht="15.75">
      <c r="B32" s="103"/>
      <c r="C32" s="240">
        <f>IF(C29&lt;0,"See Tab B","")</f>
      </c>
      <c r="D32" s="240">
        <f>IF(D29&lt;0,"See Tab D","")</f>
      </c>
      <c r="E32" s="73"/>
    </row>
    <row r="33" spans="2:5" ht="15.75">
      <c r="B33" s="43"/>
      <c r="C33" s="73"/>
      <c r="D33" s="73"/>
      <c r="E33" s="73"/>
    </row>
    <row r="34" spans="2:5" ht="15.75">
      <c r="B34" s="44" t="s">
        <v>101</v>
      </c>
      <c r="C34" s="257"/>
      <c r="D34" s="257"/>
      <c r="E34" s="257"/>
    </row>
    <row r="35" spans="2:5" ht="15.75">
      <c r="B35" s="43"/>
      <c r="C35" s="663" t="s">
        <v>892</v>
      </c>
      <c r="D35" s="664" t="s">
        <v>893</v>
      </c>
      <c r="E35" s="111" t="s">
        <v>894</v>
      </c>
    </row>
    <row r="36" spans="2:5" ht="15.75">
      <c r="B36" s="489">
        <f>inputPrYr!B48</f>
        <v>0</v>
      </c>
      <c r="C36" s="189" t="str">
        <f>CONCATENATE("Actual for ",$E$1-2,"")</f>
        <v>Actual for -2</v>
      </c>
      <c r="D36" s="189" t="str">
        <f>CONCATENATE("Estimate for ",$E$1-1,"")</f>
        <v>Estimate for -1</v>
      </c>
      <c r="E36" s="172" t="str">
        <f>CONCATENATE("Year for ",$E$1,"")</f>
        <v>Year for 0</v>
      </c>
    </row>
    <row r="37" spans="2:5" ht="15.75">
      <c r="B37" s="216" t="s">
        <v>210</v>
      </c>
      <c r="C37" s="54"/>
      <c r="D37" s="192">
        <f>C60</f>
        <v>0</v>
      </c>
      <c r="E37" s="192">
        <f>D60</f>
        <v>0</v>
      </c>
    </row>
    <row r="38" spans="2:5" s="41" customFormat="1" ht="15.75">
      <c r="B38" s="220" t="s">
        <v>212</v>
      </c>
      <c r="C38" s="69"/>
      <c r="D38" s="69"/>
      <c r="E38" s="69"/>
    </row>
    <row r="39" spans="2:5" ht="15.75">
      <c r="B39" s="237"/>
      <c r="C39" s="54"/>
      <c r="D39" s="54"/>
      <c r="E39" s="54"/>
    </row>
    <row r="40" spans="2:5" ht="15.75">
      <c r="B40" s="237"/>
      <c r="C40" s="54"/>
      <c r="D40" s="54"/>
      <c r="E40" s="54"/>
    </row>
    <row r="41" spans="2:5" ht="15.75">
      <c r="B41" s="237"/>
      <c r="C41" s="54"/>
      <c r="D41" s="54"/>
      <c r="E41" s="54"/>
    </row>
    <row r="42" spans="2:5" ht="15.75">
      <c r="B42" s="237"/>
      <c r="C42" s="54"/>
      <c r="D42" s="54"/>
      <c r="E42" s="54"/>
    </row>
    <row r="43" spans="2:5" ht="15.75">
      <c r="B43" s="225" t="s">
        <v>109</v>
      </c>
      <c r="C43" s="54"/>
      <c r="D43" s="54"/>
      <c r="E43" s="54"/>
    </row>
    <row r="44" spans="2:5" ht="15.75">
      <c r="B44" s="126" t="s">
        <v>13</v>
      </c>
      <c r="C44" s="54"/>
      <c r="D44" s="222"/>
      <c r="E44" s="222"/>
    </row>
    <row r="45" spans="2:5" ht="15.75">
      <c r="B45" s="216" t="s">
        <v>734</v>
      </c>
      <c r="C45" s="262">
        <f>IF(C46*0.1&lt;C44,"Exceed 10% Rule","")</f>
      </c>
      <c r="D45" s="227">
        <f>IF(D46*0.1&lt;D44,"Exceed 10% Rule","")</f>
      </c>
      <c r="E45" s="227">
        <f>IF(E46*0.1&lt;E44,"Exceed 10% Rule","")</f>
      </c>
    </row>
    <row r="46" spans="2:5" ht="15.75">
      <c r="B46" s="228" t="s">
        <v>110</v>
      </c>
      <c r="C46" s="231">
        <f>SUM(C39:C44)</f>
        <v>0</v>
      </c>
      <c r="D46" s="231">
        <f>SUM(D39:D44)</f>
        <v>0</v>
      </c>
      <c r="E46" s="231">
        <f>SUM(E39:E44)</f>
        <v>0</v>
      </c>
    </row>
    <row r="47" spans="2:5" ht="15.75">
      <c r="B47" s="228" t="s">
        <v>111</v>
      </c>
      <c r="C47" s="231">
        <f>C37+C46</f>
        <v>0</v>
      </c>
      <c r="D47" s="231">
        <f>D37+D46</f>
        <v>0</v>
      </c>
      <c r="E47" s="231">
        <f>E37+E46</f>
        <v>0</v>
      </c>
    </row>
    <row r="48" spans="2:5" ht="15.75">
      <c r="B48" s="117" t="s">
        <v>113</v>
      </c>
      <c r="C48" s="192"/>
      <c r="D48" s="192"/>
      <c r="E48" s="192"/>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8" t="str">
        <f>CONCATENATE("Cash Forward (",E1," column)")</f>
        <v>Cash Forward (0 column)</v>
      </c>
      <c r="C56" s="54"/>
      <c r="D56" s="54"/>
      <c r="E56" s="54"/>
    </row>
    <row r="57" spans="2:5" ht="15.75">
      <c r="B57" s="238" t="s">
        <v>13</v>
      </c>
      <c r="C57" s="54"/>
      <c r="D57" s="222"/>
      <c r="E57" s="222"/>
    </row>
    <row r="58" spans="2:5" ht="15.75">
      <c r="B58" s="238" t="s">
        <v>735</v>
      </c>
      <c r="C58" s="262">
        <f>IF(C59*0.1&lt;C57,"Exceed 10% Rule","")</f>
      </c>
      <c r="D58" s="227">
        <f>IF(D59*0.1&lt;D57,"Exceed 10% Rule","")</f>
      </c>
      <c r="E58" s="227">
        <f>IF(E59*0.1&lt;E57,"Exceed 10% Rule","")</f>
      </c>
    </row>
    <row r="59" spans="2:5" ht="15.75">
      <c r="B59" s="228" t="s">
        <v>117</v>
      </c>
      <c r="C59" s="231">
        <f>SUM(C49:C57)</f>
        <v>0</v>
      </c>
      <c r="D59" s="231">
        <f>SUM(D49:D57)</f>
        <v>0</v>
      </c>
      <c r="E59" s="231">
        <f>SUM(E49:E57)</f>
        <v>0</v>
      </c>
    </row>
    <row r="60" spans="2:5" ht="15.75">
      <c r="B60" s="117" t="s">
        <v>211</v>
      </c>
      <c r="C60" s="67">
        <f>C47-C59</f>
        <v>0</v>
      </c>
      <c r="D60" s="67">
        <f>D47-D59</f>
        <v>0</v>
      </c>
      <c r="E60" s="67">
        <f>E47-E59</f>
        <v>0</v>
      </c>
    </row>
    <row r="61" spans="2:5" ht="15.75">
      <c r="B61" s="137" t="str">
        <f>CONCATENATE("",E1-2,"/",E1-1,"/",E1," Budget Authority Amount:")</f>
        <v>-2/-1/0 Budget Authority Amount:</v>
      </c>
      <c r="C61" s="669">
        <f>inputOth!B88</f>
        <v>0</v>
      </c>
      <c r="D61" s="669">
        <f>inputPrYr!D48</f>
        <v>0</v>
      </c>
      <c r="E61" s="696">
        <f>E59</f>
        <v>0</v>
      </c>
    </row>
    <row r="62" spans="2:5" ht="15.75">
      <c r="B62" s="103"/>
      <c r="C62" s="240">
        <f>IF(C59&gt;C61,"See Tab A","")</f>
      </c>
      <c r="D62" s="240">
        <f>IF(D59&gt;D61,"See Tab C","")</f>
      </c>
      <c r="E62" s="697">
        <f>IF(E60&lt;0,"See Tab E","")</f>
      </c>
    </row>
    <row r="63" spans="2:5" ht="15.75">
      <c r="B63" s="103"/>
      <c r="C63" s="240">
        <f>IF(C60&lt;0,"See Tab B","")</f>
      </c>
      <c r="D63" s="240">
        <f>IF(D60&lt;0,"See Tab D","")</f>
      </c>
      <c r="E63" s="43"/>
    </row>
    <row r="64" spans="2:5" ht="15.75">
      <c r="B64" s="43"/>
      <c r="C64" s="43"/>
      <c r="D64" s="43"/>
      <c r="E64" s="43"/>
    </row>
    <row r="65" spans="2:5" ht="15.75">
      <c r="B65" s="364" t="s">
        <v>120</v>
      </c>
      <c r="C65" s="743"/>
      <c r="D65" s="43"/>
      <c r="E65" s="43"/>
    </row>
  </sheetData>
  <sheetProtection sheet="1"/>
  <conditionalFormatting sqref="C13">
    <cfRule type="cellIs" priority="20" dxfId="338" operator="greaterThan" stopIfTrue="1">
      <formula>$C$15*0.1</formula>
    </cfRule>
  </conditionalFormatting>
  <conditionalFormatting sqref="D13">
    <cfRule type="cellIs" priority="19" dxfId="338" operator="greaterThan" stopIfTrue="1">
      <formula>$D$15*0.1</formula>
    </cfRule>
  </conditionalFormatting>
  <conditionalFormatting sqref="E13">
    <cfRule type="cellIs" priority="18" dxfId="338" operator="greaterThan" stopIfTrue="1">
      <formula>$E$15*0.1</formula>
    </cfRule>
  </conditionalFormatting>
  <conditionalFormatting sqref="C26">
    <cfRule type="cellIs" priority="17" dxfId="338" operator="greaterThan" stopIfTrue="1">
      <formula>$C$28*0.1</formula>
    </cfRule>
  </conditionalFormatting>
  <conditionalFormatting sqref="D26">
    <cfRule type="cellIs" priority="16" dxfId="338" operator="greaterThan" stopIfTrue="1">
      <formula>$D$28*0.1</formula>
    </cfRule>
  </conditionalFormatting>
  <conditionalFormatting sqref="E26">
    <cfRule type="cellIs" priority="15" dxfId="338" operator="greaterThan" stopIfTrue="1">
      <formula>$E$28*0.1</formula>
    </cfRule>
  </conditionalFormatting>
  <conditionalFormatting sqref="C44">
    <cfRule type="cellIs" priority="14" dxfId="338" operator="greaterThan" stopIfTrue="1">
      <formula>$C$46*0.1</formula>
    </cfRule>
  </conditionalFormatting>
  <conditionalFormatting sqref="D44">
    <cfRule type="cellIs" priority="13" dxfId="338" operator="greaterThan" stopIfTrue="1">
      <formula>$D$46*0.1</formula>
    </cfRule>
  </conditionalFormatting>
  <conditionalFormatting sqref="E44">
    <cfRule type="cellIs" priority="12" dxfId="338" operator="greaterThan" stopIfTrue="1">
      <formula>$E$46*0.1</formula>
    </cfRule>
  </conditionalFormatting>
  <conditionalFormatting sqref="C57">
    <cfRule type="cellIs" priority="11" dxfId="338" operator="greaterThan" stopIfTrue="1">
      <formula>$C$59*0.1</formula>
    </cfRule>
  </conditionalFormatting>
  <conditionalFormatting sqref="D57">
    <cfRule type="cellIs" priority="10" dxfId="338" operator="greaterThan" stopIfTrue="1">
      <formula>$D$59*0.1</formula>
    </cfRule>
  </conditionalFormatting>
  <conditionalFormatting sqref="E57">
    <cfRule type="cellIs" priority="9" dxfId="338" operator="greaterThan" stopIfTrue="1">
      <formula>$E$59*0.1</formula>
    </cfRule>
  </conditionalFormatting>
  <conditionalFormatting sqref="C59:D59">
    <cfRule type="cellIs" priority="8" dxfId="0" operator="greaterThan" stopIfTrue="1">
      <formula>$D$61</formula>
    </cfRule>
  </conditionalFormatting>
  <conditionalFormatting sqref="C60 E60 C29 E29">
    <cfRule type="cellIs" priority="7" dxfId="0" operator="lessThan" stopIfTrue="1">
      <formula>0</formula>
    </cfRule>
  </conditionalFormatting>
  <conditionalFormatting sqref="D28">
    <cfRule type="cellIs" priority="6" dxfId="0" operator="greaterThan" stopIfTrue="1">
      <formula>$D$30</formula>
    </cfRule>
  </conditionalFormatting>
  <conditionalFormatting sqref="C28">
    <cfRule type="cellIs" priority="5"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61">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6" sqref="Q116"/>
    </sheetView>
  </sheetViews>
  <sheetFormatPr defaultColWidth="8.796875" defaultRowHeight="15"/>
  <cols>
    <col min="1" max="1" width="2.3984375" style="29" customWidth="1"/>
    <col min="2" max="2" width="31.09765625" style="29" customWidth="1"/>
    <col min="3" max="4" width="15.796875" style="29" customWidth="1"/>
    <col min="5" max="5" width="16.09765625" style="29" customWidth="1"/>
    <col min="6" max="16384" width="8.8984375" style="29" customWidth="1"/>
  </cols>
  <sheetData>
    <row r="1" spans="2:5" ht="15.75">
      <c r="B1" s="161">
        <f>(inputPrYr!D3)</f>
        <v>0</v>
      </c>
      <c r="C1" s="43"/>
      <c r="D1" s="43"/>
      <c r="E1" s="212">
        <f>inputPrYr!C6</f>
        <v>0</v>
      </c>
    </row>
    <row r="2" spans="2:5" ht="15.75">
      <c r="B2" s="43"/>
      <c r="C2" s="43"/>
      <c r="D2" s="43"/>
      <c r="E2" s="135"/>
    </row>
    <row r="3" spans="2:5" ht="15.75">
      <c r="B3" s="213" t="s">
        <v>169</v>
      </c>
      <c r="C3" s="252"/>
      <c r="D3" s="252"/>
      <c r="E3" s="252"/>
    </row>
    <row r="4" spans="2:5" ht="15.75">
      <c r="B4" s="44" t="s">
        <v>101</v>
      </c>
      <c r="C4" s="663" t="s">
        <v>892</v>
      </c>
      <c r="D4" s="664" t="s">
        <v>893</v>
      </c>
      <c r="E4" s="111" t="s">
        <v>894</v>
      </c>
    </row>
    <row r="5" spans="2:5" ht="15.75">
      <c r="B5" s="489">
        <f>inputPrYr!B49</f>
        <v>0</v>
      </c>
      <c r="C5" s="189" t="str">
        <f>CONCATENATE("Actual for ",E1-2,"")</f>
        <v>Actual for -2</v>
      </c>
      <c r="D5" s="189" t="str">
        <f>CONCATENATE("Estimate for ",E1-1,"")</f>
        <v>Estimate for -1</v>
      </c>
      <c r="E5" s="172" t="str">
        <f>CONCATENATE("Year for ",E1,"")</f>
        <v>Year for 0</v>
      </c>
    </row>
    <row r="6" spans="2:5" ht="15.75">
      <c r="B6" s="216" t="s">
        <v>210</v>
      </c>
      <c r="C6" s="54"/>
      <c r="D6" s="192">
        <f>C29</f>
        <v>0</v>
      </c>
      <c r="E6" s="192">
        <f>D29</f>
        <v>0</v>
      </c>
    </row>
    <row r="7" spans="2:5" s="41" customFormat="1" ht="15.75">
      <c r="B7" s="220" t="s">
        <v>212</v>
      </c>
      <c r="C7" s="69"/>
      <c r="D7" s="69"/>
      <c r="E7" s="69"/>
    </row>
    <row r="8" spans="2:5" ht="15.75">
      <c r="B8" s="237"/>
      <c r="C8" s="54"/>
      <c r="D8" s="54"/>
      <c r="E8" s="54"/>
    </row>
    <row r="9" spans="2:5" ht="15.75">
      <c r="B9" s="237"/>
      <c r="C9" s="54"/>
      <c r="D9" s="54"/>
      <c r="E9" s="54"/>
    </row>
    <row r="10" spans="2:5" ht="15.75">
      <c r="B10" s="237"/>
      <c r="C10" s="54"/>
      <c r="D10" s="54"/>
      <c r="E10" s="54"/>
    </row>
    <row r="11" spans="2:5" ht="15.75">
      <c r="B11" s="237"/>
      <c r="C11" s="54"/>
      <c r="D11" s="54"/>
      <c r="E11" s="54"/>
    </row>
    <row r="12" spans="2:5" ht="15.75">
      <c r="B12" s="225" t="s">
        <v>109</v>
      </c>
      <c r="C12" s="54"/>
      <c r="D12" s="54"/>
      <c r="E12" s="54"/>
    </row>
    <row r="13" spans="2:5" ht="15.75">
      <c r="B13" s="126" t="s">
        <v>13</v>
      </c>
      <c r="C13" s="54"/>
      <c r="D13" s="222"/>
      <c r="E13" s="222"/>
    </row>
    <row r="14" spans="2:5" ht="15.75">
      <c r="B14" s="216" t="s">
        <v>734</v>
      </c>
      <c r="C14" s="262">
        <f>IF(C15*0.1&lt;C13,"Exceed 10% Rule","")</f>
      </c>
      <c r="D14" s="227">
        <f>IF(D15*0.1&lt;D13,"Exceed 10% Rule","")</f>
      </c>
      <c r="E14" s="227">
        <f>IF(E15*0.1&lt;E13,"Exceed 10% Rule","")</f>
      </c>
    </row>
    <row r="15" spans="2:5" ht="15.75">
      <c r="B15" s="228" t="s">
        <v>110</v>
      </c>
      <c r="C15" s="231">
        <f>SUM(C8:C13)</f>
        <v>0</v>
      </c>
      <c r="D15" s="231">
        <f>SUM(D8:D13)</f>
        <v>0</v>
      </c>
      <c r="E15" s="231">
        <f>SUM(E8:E13)</f>
        <v>0</v>
      </c>
    </row>
    <row r="16" spans="2:5" ht="15.75">
      <c r="B16" s="228" t="s">
        <v>111</v>
      </c>
      <c r="C16" s="231">
        <f>C6+C15</f>
        <v>0</v>
      </c>
      <c r="D16" s="231">
        <f>D6+D15</f>
        <v>0</v>
      </c>
      <c r="E16" s="231">
        <f>E6+E15</f>
        <v>0</v>
      </c>
    </row>
    <row r="17" spans="2:5" ht="15.75">
      <c r="B17" s="117" t="s">
        <v>113</v>
      </c>
      <c r="C17" s="192"/>
      <c r="D17" s="192"/>
      <c r="E17" s="192"/>
    </row>
    <row r="18" spans="2:5" ht="15.75">
      <c r="B18" s="237"/>
      <c r="C18" s="54"/>
      <c r="D18" s="54"/>
      <c r="E18" s="54"/>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8" t="str">
        <f>CONCATENATE("Cash Forward (",E1," column)")</f>
        <v>Cash Forward (0 column)</v>
      </c>
      <c r="C25" s="54"/>
      <c r="D25" s="54"/>
      <c r="E25" s="54"/>
    </row>
    <row r="26" spans="2:5" ht="15.75">
      <c r="B26" s="238" t="s">
        <v>13</v>
      </c>
      <c r="C26" s="54"/>
      <c r="D26" s="222"/>
      <c r="E26" s="222"/>
    </row>
    <row r="27" spans="2:5" ht="15.75">
      <c r="B27" s="238" t="s">
        <v>735</v>
      </c>
      <c r="C27" s="262">
        <f>IF(C28*0.1&lt;C26,"Exceed 10% Rule","")</f>
      </c>
      <c r="D27" s="227">
        <f>IF(D28*0.1&lt;D26,"Exceed 10% Rule","")</f>
      </c>
      <c r="E27" s="227">
        <f>IF(E28*0.1&lt;E26,"Exceed 10% Rule","")</f>
      </c>
    </row>
    <row r="28" spans="2:5" ht="15.75">
      <c r="B28" s="228" t="s">
        <v>117</v>
      </c>
      <c r="C28" s="231">
        <f>SUM(C18:C26)</f>
        <v>0</v>
      </c>
      <c r="D28" s="231">
        <f>SUM(D18:D26)</f>
        <v>0</v>
      </c>
      <c r="E28" s="231">
        <f>SUM(E18:E26)</f>
        <v>0</v>
      </c>
    </row>
    <row r="29" spans="2:5" ht="15.75">
      <c r="B29" s="117" t="s">
        <v>211</v>
      </c>
      <c r="C29" s="67">
        <f>C16-C28</f>
        <v>0</v>
      </c>
      <c r="D29" s="67">
        <f>D16-D28</f>
        <v>0</v>
      </c>
      <c r="E29" s="67">
        <f>E16-E28</f>
        <v>0</v>
      </c>
    </row>
    <row r="30" spans="2:5" ht="15.75">
      <c r="B30" s="137" t="str">
        <f>CONCATENATE("",E1-2,"/",E1-1,"/",E1," Budget Authority Amount:")</f>
        <v>-2/-1/0 Budget Authority Amount:</v>
      </c>
      <c r="C30" s="669">
        <f>inputOth!B89</f>
        <v>0</v>
      </c>
      <c r="D30" s="669">
        <f>inputPrYr!D49</f>
        <v>0</v>
      </c>
      <c r="E30" s="696">
        <f>E28</f>
        <v>0</v>
      </c>
    </row>
    <row r="31" spans="2:5" ht="15.75">
      <c r="B31" s="103"/>
      <c r="C31" s="341">
        <f>IF(C28&gt;C30,"See Tab A","")</f>
      </c>
      <c r="D31" s="240">
        <f>IF(D28&gt;D30,"See Tab C","")</f>
      </c>
      <c r="E31" s="697">
        <f>IF(E29&lt;0,"See Tab E","")</f>
      </c>
    </row>
    <row r="32" spans="2:5" ht="15.75">
      <c r="B32" s="103"/>
      <c r="C32" s="341">
        <f>IF(C29&lt;0,"See Tab B","")</f>
      </c>
      <c r="D32" s="240">
        <f>IF(D29&lt;0,"See Tab D","")</f>
      </c>
      <c r="E32" s="73"/>
    </row>
    <row r="33" spans="2:5" ht="15.75">
      <c r="B33" s="43"/>
      <c r="C33" s="342"/>
      <c r="D33" s="73"/>
      <c r="E33" s="73"/>
    </row>
    <row r="34" spans="2:5" ht="15.75">
      <c r="B34" s="44" t="s">
        <v>101</v>
      </c>
      <c r="C34" s="343"/>
      <c r="D34" s="257"/>
      <c r="E34" s="257"/>
    </row>
    <row r="35" spans="2:5" ht="15.75">
      <c r="B35" s="43"/>
      <c r="C35" s="663" t="s">
        <v>892</v>
      </c>
      <c r="D35" s="664" t="s">
        <v>893</v>
      </c>
      <c r="E35" s="111" t="s">
        <v>894</v>
      </c>
    </row>
    <row r="36" spans="2:5" ht="15.75">
      <c r="B36" s="489">
        <f>inputPrYr!B50</f>
        <v>0</v>
      </c>
      <c r="C36" s="189" t="str">
        <f>CONCATENATE("Actual for ",$E$1-2,"")</f>
        <v>Actual for -2</v>
      </c>
      <c r="D36" s="189" t="str">
        <f>CONCATENATE("Estimate for ",$E$1-1,"")</f>
        <v>Estimate for -1</v>
      </c>
      <c r="E36" s="172" t="str">
        <f>CONCATENATE("Year for ",$E$1,"")</f>
        <v>Year for 0</v>
      </c>
    </row>
    <row r="37" spans="2:5" ht="15.75">
      <c r="B37" s="216" t="s">
        <v>210</v>
      </c>
      <c r="C37" s="54"/>
      <c r="D37" s="192">
        <f>C60</f>
        <v>0</v>
      </c>
      <c r="E37" s="192">
        <f>D60</f>
        <v>0</v>
      </c>
    </row>
    <row r="38" spans="2:5" s="41" customFormat="1" ht="15.75">
      <c r="B38" s="220" t="s">
        <v>212</v>
      </c>
      <c r="C38" s="69"/>
      <c r="D38" s="69"/>
      <c r="E38" s="69"/>
    </row>
    <row r="39" spans="2:5" ht="15.75">
      <c r="B39" s="237"/>
      <c r="C39" s="54"/>
      <c r="D39" s="54"/>
      <c r="E39" s="54"/>
    </row>
    <row r="40" spans="2:5" ht="15.75">
      <c r="B40" s="237"/>
      <c r="C40" s="54"/>
      <c r="D40" s="54"/>
      <c r="E40" s="54"/>
    </row>
    <row r="41" spans="2:5" ht="15.75">
      <c r="B41" s="237"/>
      <c r="C41" s="54"/>
      <c r="D41" s="54"/>
      <c r="E41" s="54"/>
    </row>
    <row r="42" spans="2:5" ht="15.75">
      <c r="B42" s="237"/>
      <c r="C42" s="54"/>
      <c r="D42" s="54"/>
      <c r="E42" s="54"/>
    </row>
    <row r="43" spans="2:5" ht="15.75">
      <c r="B43" s="225" t="s">
        <v>109</v>
      </c>
      <c r="C43" s="54"/>
      <c r="D43" s="54"/>
      <c r="E43" s="54"/>
    </row>
    <row r="44" spans="2:5" ht="15.75">
      <c r="B44" s="126" t="s">
        <v>13</v>
      </c>
      <c r="C44" s="54"/>
      <c r="D44" s="222"/>
      <c r="E44" s="222"/>
    </row>
    <row r="45" spans="2:5" ht="15.75">
      <c r="B45" s="216" t="s">
        <v>734</v>
      </c>
      <c r="C45" s="262">
        <f>IF(C46*0.1&lt;C44,"Exceed 10% Rule","")</f>
      </c>
      <c r="D45" s="227">
        <f>IF(D46*0.1&lt;D44,"Exceed 10% Rule","")</f>
      </c>
      <c r="E45" s="227">
        <f>IF(E46*0.1&lt;E44,"Exceed 10% Rule","")</f>
      </c>
    </row>
    <row r="46" spans="2:5" ht="15.75">
      <c r="B46" s="228" t="s">
        <v>110</v>
      </c>
      <c r="C46" s="231">
        <f>SUM(C39:C44)</f>
        <v>0</v>
      </c>
      <c r="D46" s="231">
        <f>SUM(D39:D44)</f>
        <v>0</v>
      </c>
      <c r="E46" s="231">
        <f>SUM(E39:E44)</f>
        <v>0</v>
      </c>
    </row>
    <row r="47" spans="2:5" ht="15.75">
      <c r="B47" s="228" t="s">
        <v>111</v>
      </c>
      <c r="C47" s="231">
        <f>C37+C46</f>
        <v>0</v>
      </c>
      <c r="D47" s="231">
        <f>D37+D46</f>
        <v>0</v>
      </c>
      <c r="E47" s="231">
        <f>E37+E46</f>
        <v>0</v>
      </c>
    </row>
    <row r="48" spans="2:5" ht="15.75">
      <c r="B48" s="117" t="s">
        <v>113</v>
      </c>
      <c r="C48" s="192"/>
      <c r="D48" s="192"/>
      <c r="E48" s="192"/>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8" t="str">
        <f>CONCATENATE("Cash Forward (",E1," column)")</f>
        <v>Cash Forward (0 column)</v>
      </c>
      <c r="C56" s="54"/>
      <c r="D56" s="54"/>
      <c r="E56" s="54"/>
    </row>
    <row r="57" spans="2:5" ht="15.75">
      <c r="B57" s="238" t="s">
        <v>13</v>
      </c>
      <c r="C57" s="54"/>
      <c r="D57" s="222"/>
      <c r="E57" s="222"/>
    </row>
    <row r="58" spans="2:5" ht="15.75">
      <c r="B58" s="238" t="s">
        <v>735</v>
      </c>
      <c r="C58" s="262">
        <f>IF(C59*0.1&lt;C57,"Exceed 10% Rule","")</f>
      </c>
      <c r="D58" s="227">
        <f>IF(D59*0.1&lt;D57,"Exceed 10% Rule","")</f>
      </c>
      <c r="E58" s="227">
        <f>IF(E59*0.1&lt;E57,"Exceed 10% Rule","")</f>
      </c>
    </row>
    <row r="59" spans="2:5" ht="15.75">
      <c r="B59" s="228" t="s">
        <v>117</v>
      </c>
      <c r="C59" s="231">
        <f>SUM(C49:C57)</f>
        <v>0</v>
      </c>
      <c r="D59" s="231">
        <f>SUM(D49:D57)</f>
        <v>0</v>
      </c>
      <c r="E59" s="231">
        <f>SUM(E49:E57)</f>
        <v>0</v>
      </c>
    </row>
    <row r="60" spans="2:5" ht="15.75">
      <c r="B60" s="117" t="s">
        <v>211</v>
      </c>
      <c r="C60" s="67">
        <f>C47-C59</f>
        <v>0</v>
      </c>
      <c r="D60" s="67">
        <f>D47-D59</f>
        <v>0</v>
      </c>
      <c r="E60" s="67">
        <f>E47-E59</f>
        <v>0</v>
      </c>
    </row>
    <row r="61" spans="2:5" ht="15.75">
      <c r="B61" s="137" t="str">
        <f>CONCATENATE("",E1-2,"/",E1-1,"/",E1," Budget Authority Amount:")</f>
        <v>-2/-1/0 Budget Authority Amount:</v>
      </c>
      <c r="C61" s="669">
        <f>inputOth!B90</f>
        <v>0</v>
      </c>
      <c r="D61" s="669">
        <f>inputPrYr!D50</f>
        <v>0</v>
      </c>
      <c r="E61" s="696">
        <f>E59</f>
        <v>0</v>
      </c>
    </row>
    <row r="62" spans="2:5" ht="15.75">
      <c r="B62" s="103"/>
      <c r="C62" s="240">
        <f>IF(C59&gt;C61,"See Tab A","")</f>
      </c>
      <c r="D62" s="240">
        <f>IF(D59&gt;D61,"See Tab C","")</f>
      </c>
      <c r="E62" s="697">
        <f>IF(E60&lt;0,"See Tab E","")</f>
      </c>
    </row>
    <row r="63" spans="2:5" ht="15.75">
      <c r="B63" s="103"/>
      <c r="C63" s="240">
        <f>IF(C60&lt;0,"See Tab B","")</f>
      </c>
      <c r="D63" s="240">
        <f>IF(D60&lt;0,"See Tab D","")</f>
      </c>
      <c r="E63" s="43"/>
    </row>
    <row r="64" spans="2:5" ht="15.75">
      <c r="B64" s="43"/>
      <c r="C64" s="43"/>
      <c r="D64" s="43"/>
      <c r="E64" s="43"/>
    </row>
    <row r="65" spans="2:5" ht="15.75">
      <c r="B65" s="364" t="s">
        <v>120</v>
      </c>
      <c r="C65" s="743"/>
      <c r="D65" s="43"/>
      <c r="E65" s="43"/>
    </row>
  </sheetData>
  <sheetProtection sheet="1"/>
  <conditionalFormatting sqref="C13">
    <cfRule type="cellIs" priority="20" dxfId="338" operator="greaterThan" stopIfTrue="1">
      <formula>$C$15*0.1</formula>
    </cfRule>
  </conditionalFormatting>
  <conditionalFormatting sqref="D13">
    <cfRule type="cellIs" priority="19" dxfId="338" operator="greaterThan" stopIfTrue="1">
      <formula>$D$15*0.1</formula>
    </cfRule>
  </conditionalFormatting>
  <conditionalFormatting sqref="E13">
    <cfRule type="cellIs" priority="18" dxfId="338" operator="greaterThan" stopIfTrue="1">
      <formula>$E$15*0.1</formula>
    </cfRule>
  </conditionalFormatting>
  <conditionalFormatting sqref="C26">
    <cfRule type="cellIs" priority="17" dxfId="338" operator="greaterThan" stopIfTrue="1">
      <formula>$C$28*0.1</formula>
    </cfRule>
  </conditionalFormatting>
  <conditionalFormatting sqref="D26">
    <cfRule type="cellIs" priority="16" dxfId="338" operator="greaterThan" stopIfTrue="1">
      <formula>$D$28*0.1</formula>
    </cfRule>
  </conditionalFormatting>
  <conditionalFormatting sqref="E26">
    <cfRule type="cellIs" priority="15" dxfId="338" operator="greaterThan" stopIfTrue="1">
      <formula>$E$28*0.1</formula>
    </cfRule>
  </conditionalFormatting>
  <conditionalFormatting sqref="C44">
    <cfRule type="cellIs" priority="14" dxfId="338" operator="greaterThan" stopIfTrue="1">
      <formula>$C$46*0.1</formula>
    </cfRule>
  </conditionalFormatting>
  <conditionalFormatting sqref="D44">
    <cfRule type="cellIs" priority="13" dxfId="338" operator="greaterThan" stopIfTrue="1">
      <formula>$D$46*0.1</formula>
    </cfRule>
  </conditionalFormatting>
  <conditionalFormatting sqref="E44">
    <cfRule type="cellIs" priority="12" dxfId="338" operator="greaterThan" stopIfTrue="1">
      <formula>$E$46*0.1</formula>
    </cfRule>
  </conditionalFormatting>
  <conditionalFormatting sqref="C57">
    <cfRule type="cellIs" priority="11" dxfId="338" operator="greaterThan" stopIfTrue="1">
      <formula>$C$59*0.1</formula>
    </cfRule>
  </conditionalFormatting>
  <conditionalFormatting sqref="D57">
    <cfRule type="cellIs" priority="10" dxfId="338" operator="greaterThan" stopIfTrue="1">
      <formula>$D$59*0.1</formula>
    </cfRule>
  </conditionalFormatting>
  <conditionalFormatting sqref="E57">
    <cfRule type="cellIs" priority="9" dxfId="338" operator="greaterThan" stopIfTrue="1">
      <formula>$E$59*0.1</formula>
    </cfRule>
  </conditionalFormatting>
  <conditionalFormatting sqref="C59:D59">
    <cfRule type="cellIs" priority="8" dxfId="0" operator="greaterThan" stopIfTrue="1">
      <formula>$D$61</formula>
    </cfRule>
  </conditionalFormatting>
  <conditionalFormatting sqref="C60 E60 C29 E29">
    <cfRule type="cellIs" priority="7" dxfId="0" operator="lessThan" stopIfTrue="1">
      <formula>0</formula>
    </cfRule>
  </conditionalFormatting>
  <conditionalFormatting sqref="D28">
    <cfRule type="cellIs" priority="6" dxfId="0" operator="greaterThan" stopIfTrue="1">
      <formula>$D$30</formula>
    </cfRule>
  </conditionalFormatting>
  <conditionalFormatting sqref="C28">
    <cfRule type="cellIs" priority="5"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61">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97" sqref="Q97"/>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161">
        <f>(inputPrYr!D3)</f>
        <v>0</v>
      </c>
      <c r="C1" s="43"/>
      <c r="D1" s="43"/>
      <c r="E1" s="183">
        <f>inputPrYr!$C$6</f>
        <v>0</v>
      </c>
    </row>
    <row r="2" spans="2:5" ht="15.75">
      <c r="B2" s="43"/>
      <c r="C2" s="43"/>
      <c r="D2" s="43"/>
      <c r="E2" s="135"/>
    </row>
    <row r="3" spans="2:5" ht="15.75">
      <c r="B3" s="213" t="s">
        <v>169</v>
      </c>
      <c r="C3" s="259"/>
      <c r="D3" s="259"/>
      <c r="E3" s="260"/>
    </row>
    <row r="4" spans="2:5" ht="15.75">
      <c r="B4" s="44" t="s">
        <v>101</v>
      </c>
      <c r="C4" s="663" t="s">
        <v>892</v>
      </c>
      <c r="D4" s="664" t="s">
        <v>893</v>
      </c>
      <c r="E4" s="111" t="s">
        <v>894</v>
      </c>
    </row>
    <row r="5" spans="2:5" ht="15.75">
      <c r="B5" s="489">
        <f>(inputPrYr!B52)</f>
        <v>0</v>
      </c>
      <c r="C5" s="189" t="str">
        <f>CONCATENATE("Actual for ",E1-2,"")</f>
        <v>Actual for -2</v>
      </c>
      <c r="D5" s="189" t="str">
        <f>CONCATENATE("Estimate for ",E1-1,"")</f>
        <v>Estimate for -1</v>
      </c>
      <c r="E5" s="172" t="str">
        <f>CONCATENATE("Year for ",E1,"")</f>
        <v>Year for 0</v>
      </c>
    </row>
    <row r="6" spans="2:5" ht="15.75">
      <c r="B6" s="117" t="s">
        <v>210</v>
      </c>
      <c r="C6" s="221"/>
      <c r="D6" s="219">
        <f>C48</f>
        <v>0</v>
      </c>
      <c r="E6" s="192">
        <f>D48</f>
        <v>0</v>
      </c>
    </row>
    <row r="7" spans="2:5" ht="15.75">
      <c r="B7" s="248" t="s">
        <v>212</v>
      </c>
      <c r="C7" s="126"/>
      <c r="D7" s="126"/>
      <c r="E7" s="69"/>
    </row>
    <row r="8" spans="2:5" ht="15.75">
      <c r="B8" s="237"/>
      <c r="C8" s="221"/>
      <c r="D8" s="221"/>
      <c r="E8" s="224"/>
    </row>
    <row r="9" spans="2:5" ht="15.75">
      <c r="B9" s="237"/>
      <c r="C9" s="221"/>
      <c r="D9" s="221"/>
      <c r="E9" s="224"/>
    </row>
    <row r="10" spans="2:5" ht="15.75">
      <c r="B10" s="237"/>
      <c r="C10" s="221"/>
      <c r="D10" s="221"/>
      <c r="E10" s="224"/>
    </row>
    <row r="11" spans="2:5" ht="15.75">
      <c r="B11" s="237"/>
      <c r="C11" s="221"/>
      <c r="D11" s="221"/>
      <c r="E11" s="224"/>
    </row>
    <row r="12" spans="2:5" ht="15.75">
      <c r="B12" s="237"/>
      <c r="C12" s="221"/>
      <c r="D12" s="221"/>
      <c r="E12" s="224"/>
    </row>
    <row r="13" spans="2:5" ht="15.75">
      <c r="B13" s="237"/>
      <c r="C13" s="221"/>
      <c r="D13" s="221"/>
      <c r="E13" s="224"/>
    </row>
    <row r="14" spans="2:5" ht="15.75">
      <c r="B14" s="254"/>
      <c r="C14" s="221"/>
      <c r="D14" s="221"/>
      <c r="E14" s="83"/>
    </row>
    <row r="15" spans="2:5" ht="15.75">
      <c r="B15" s="237"/>
      <c r="C15" s="221"/>
      <c r="D15" s="221"/>
      <c r="E15" s="224"/>
    </row>
    <row r="16" spans="2:5" ht="15.75">
      <c r="B16" s="261" t="s">
        <v>109</v>
      </c>
      <c r="C16" s="221"/>
      <c r="D16" s="221"/>
      <c r="E16" s="224"/>
    </row>
    <row r="17" spans="2:5" ht="15.75">
      <c r="B17" s="126" t="s">
        <v>13</v>
      </c>
      <c r="C17" s="221"/>
      <c r="D17" s="221"/>
      <c r="E17" s="224"/>
    </row>
    <row r="18" spans="2:5" ht="15.75">
      <c r="B18" s="216" t="s">
        <v>734</v>
      </c>
      <c r="C18" s="226">
        <f>IF(C19*0.1&lt;C17,"Exceed 10% Rule","")</f>
      </c>
      <c r="D18" s="226">
        <f>IF(D19*0.1&lt;D17,"Exceed 10% Rule","")</f>
      </c>
      <c r="E18" s="262">
        <f>IF(E19*0.1&lt;E17,"Exceed 10% Rule","")</f>
      </c>
    </row>
    <row r="19" spans="2:5" ht="15.75">
      <c r="B19" s="228" t="s">
        <v>110</v>
      </c>
      <c r="C19" s="230">
        <f>SUM(C8:C17)</f>
        <v>0</v>
      </c>
      <c r="D19" s="230">
        <f>SUM(D8:D17)</f>
        <v>0</v>
      </c>
      <c r="E19" s="231">
        <f>SUM(E8:E17)</f>
        <v>0</v>
      </c>
    </row>
    <row r="20" spans="2:5" ht="15.75">
      <c r="B20" s="228" t="s">
        <v>111</v>
      </c>
      <c r="C20" s="230">
        <f>C6+C19</f>
        <v>0</v>
      </c>
      <c r="D20" s="230">
        <f>D6+D19</f>
        <v>0</v>
      </c>
      <c r="E20" s="231">
        <f>E6+E19</f>
        <v>0</v>
      </c>
    </row>
    <row r="21" spans="2:5" ht="15.75">
      <c r="B21" s="117" t="s">
        <v>113</v>
      </c>
      <c r="C21" s="126"/>
      <c r="D21" s="126"/>
      <c r="E21" s="69"/>
    </row>
    <row r="22" spans="2:5" ht="15.75">
      <c r="B22" s="237" t="s">
        <v>248</v>
      </c>
      <c r="C22" s="221"/>
      <c r="D22" s="221"/>
      <c r="E22" s="224"/>
    </row>
    <row r="23" spans="2:5" ht="15.75">
      <c r="B23" s="237" t="s">
        <v>20</v>
      </c>
      <c r="C23" s="221"/>
      <c r="D23" s="221"/>
      <c r="E23" s="224"/>
    </row>
    <row r="24" spans="2:5" ht="15.75">
      <c r="B24" s="237"/>
      <c r="C24" s="221"/>
      <c r="D24" s="221"/>
      <c r="E24" s="83"/>
    </row>
    <row r="25" spans="2:5" ht="15.75">
      <c r="B25" s="237"/>
      <c r="C25" s="221"/>
      <c r="D25" s="221"/>
      <c r="E25" s="83"/>
    </row>
    <row r="26" spans="2:5" ht="15.75">
      <c r="B26" s="237"/>
      <c r="C26" s="221"/>
      <c r="D26" s="221"/>
      <c r="E26" s="83"/>
    </row>
    <row r="27" spans="2:5" ht="15.75">
      <c r="B27" s="237"/>
      <c r="C27" s="221"/>
      <c r="D27" s="221"/>
      <c r="E27" s="83"/>
    </row>
    <row r="28" spans="2:5" ht="15.75">
      <c r="B28" s="237"/>
      <c r="C28" s="221"/>
      <c r="D28" s="221"/>
      <c r="E28" s="83"/>
    </row>
    <row r="29" spans="2:5" ht="15.75">
      <c r="B29" s="237"/>
      <c r="C29" s="221"/>
      <c r="D29" s="221"/>
      <c r="E29" s="83"/>
    </row>
    <row r="30" spans="2:5" ht="15.75">
      <c r="B30" s="237"/>
      <c r="C30" s="221"/>
      <c r="D30" s="221"/>
      <c r="E30" s="83"/>
    </row>
    <row r="31" spans="2:5" ht="15.75">
      <c r="B31" s="237"/>
      <c r="C31" s="221"/>
      <c r="D31" s="221"/>
      <c r="E31" s="83"/>
    </row>
    <row r="32" spans="2:5" ht="15.75">
      <c r="B32" s="237"/>
      <c r="C32" s="221"/>
      <c r="D32" s="221"/>
      <c r="E32" s="83"/>
    </row>
    <row r="33" spans="2:5" ht="15.75">
      <c r="B33" s="237"/>
      <c r="C33" s="221"/>
      <c r="D33" s="221"/>
      <c r="E33" s="83"/>
    </row>
    <row r="34" spans="2:5" ht="15.75">
      <c r="B34" s="237"/>
      <c r="C34" s="221"/>
      <c r="D34" s="221"/>
      <c r="E34" s="83"/>
    </row>
    <row r="35" spans="2:5" ht="15.75">
      <c r="B35" s="237"/>
      <c r="C35" s="221"/>
      <c r="D35" s="221"/>
      <c r="E35" s="224"/>
    </row>
    <row r="36" spans="2:5" ht="15.75">
      <c r="B36" s="237"/>
      <c r="C36" s="221"/>
      <c r="D36" s="221"/>
      <c r="E36" s="224"/>
    </row>
    <row r="37" spans="2:5" ht="15.75">
      <c r="B37" s="237"/>
      <c r="C37" s="221"/>
      <c r="D37" s="221"/>
      <c r="E37" s="224"/>
    </row>
    <row r="38" spans="2:5" ht="15.75">
      <c r="B38" s="237"/>
      <c r="C38" s="221"/>
      <c r="D38" s="221"/>
      <c r="E38" s="224"/>
    </row>
    <row r="39" spans="2:5" ht="15.75">
      <c r="B39" s="237"/>
      <c r="C39" s="221"/>
      <c r="D39" s="221"/>
      <c r="E39" s="224"/>
    </row>
    <row r="40" spans="2:5" ht="15.75">
      <c r="B40" s="237"/>
      <c r="C40" s="221"/>
      <c r="D40" s="221"/>
      <c r="E40" s="224"/>
    </row>
    <row r="41" spans="2:5" ht="15.75">
      <c r="B41" s="237"/>
      <c r="C41" s="221"/>
      <c r="D41" s="221"/>
      <c r="E41" s="224"/>
    </row>
    <row r="42" spans="2:5" ht="15.75">
      <c r="B42" s="237"/>
      <c r="C42" s="221"/>
      <c r="D42" s="221"/>
      <c r="E42" s="224"/>
    </row>
    <row r="43" spans="2:5" ht="15.75">
      <c r="B43" s="237"/>
      <c r="C43" s="221"/>
      <c r="D43" s="221"/>
      <c r="E43" s="224"/>
    </row>
    <row r="44" spans="2:5" ht="15.75">
      <c r="B44" s="238" t="str">
        <f>CONCATENATE("Cash Forward (",E1," column)")</f>
        <v>Cash Forward (0 column)</v>
      </c>
      <c r="C44" s="221"/>
      <c r="D44" s="221"/>
      <c r="E44" s="224"/>
    </row>
    <row r="45" spans="2:5" ht="15.75">
      <c r="B45" s="238" t="s">
        <v>13</v>
      </c>
      <c r="C45" s="221"/>
      <c r="D45" s="221"/>
      <c r="E45" s="224"/>
    </row>
    <row r="46" spans="2:5" ht="15.75">
      <c r="B46" s="238" t="s">
        <v>735</v>
      </c>
      <c r="C46" s="226">
        <f>IF(C47*0.1&lt;C45,"Exceed 10% Rule","")</f>
      </c>
      <c r="D46" s="226">
        <f>IF(D47*0.1&lt;D45,"Exceed 10% Rule","")</f>
      </c>
      <c r="E46" s="262">
        <f>IF(E47*0.1&lt;E45,"Exceed 10% Rule","")</f>
      </c>
    </row>
    <row r="47" spans="2:5" ht="15.75">
      <c r="B47" s="228" t="s">
        <v>117</v>
      </c>
      <c r="C47" s="230">
        <f>SUM(C22:C45)</f>
        <v>0</v>
      </c>
      <c r="D47" s="230">
        <f>SUM(D22:D45)</f>
        <v>0</v>
      </c>
      <c r="E47" s="231">
        <f>SUM(E22:E45)</f>
        <v>0</v>
      </c>
    </row>
    <row r="48" spans="2:5" ht="15.75">
      <c r="B48" s="117" t="s">
        <v>211</v>
      </c>
      <c r="C48" s="234">
        <f>C20-C47</f>
        <v>0</v>
      </c>
      <c r="D48" s="234">
        <f>D20-D47</f>
        <v>0</v>
      </c>
      <c r="E48" s="67">
        <f>E20-E47</f>
        <v>0</v>
      </c>
    </row>
    <row r="49" spans="2:5" ht="15.75">
      <c r="B49" s="137" t="str">
        <f>CONCATENATE("",E1-2,"/",E1-1,"/",E1," Budget Authority Amount:")</f>
        <v>-2/-1/0 Budget Authority Amount:</v>
      </c>
      <c r="C49" s="669">
        <f>inputOth!B91</f>
        <v>0</v>
      </c>
      <c r="D49" s="669">
        <f>inputPrYr!D52</f>
        <v>0</v>
      </c>
      <c r="E49" s="696">
        <f>E47</f>
        <v>0</v>
      </c>
    </row>
    <row r="50" spans="2:5" ht="15.75">
      <c r="B50" s="103"/>
      <c r="C50" s="240">
        <f>IF(C47&gt;C49,"See Tab A","")</f>
      </c>
      <c r="D50" s="240">
        <f>IF(D47&gt;D49,"See Tab C","")</f>
      </c>
      <c r="E50" s="697">
        <f>IF(E48&lt;0,"See Tab E","")</f>
      </c>
    </row>
    <row r="51" spans="2:5" ht="15.75">
      <c r="B51" s="103"/>
      <c r="C51" s="240">
        <f>IF(C48&lt;0,"See Tab B","")</f>
      </c>
      <c r="D51" s="240">
        <f>IF(D48&lt;0,"See Tab D","")</f>
      </c>
      <c r="E51" s="55"/>
    </row>
    <row r="52" spans="2:5" ht="15">
      <c r="B52" s="55"/>
      <c r="C52" s="55"/>
      <c r="D52" s="55"/>
      <c r="E52" s="55"/>
    </row>
    <row r="53" spans="2:5" ht="15.75">
      <c r="B53" s="364" t="s">
        <v>120</v>
      </c>
      <c r="C53" s="743"/>
      <c r="D53" s="55"/>
      <c r="E53" s="55"/>
    </row>
  </sheetData>
  <sheetProtection sheet="1"/>
  <conditionalFormatting sqref="E17">
    <cfRule type="cellIs" priority="5" dxfId="338" operator="greaterThan" stopIfTrue="1">
      <formula>$E$19*0.1</formula>
    </cfRule>
  </conditionalFormatting>
  <conditionalFormatting sqref="E45">
    <cfRule type="cellIs" priority="6" dxfId="338" operator="greaterThan" stopIfTrue="1">
      <formula>$E$47*0.1</formula>
    </cfRule>
  </conditionalFormatting>
  <conditionalFormatting sqref="C45">
    <cfRule type="cellIs" priority="7" dxfId="0" operator="greaterThan" stopIfTrue="1">
      <formula>$C$47*0.1</formula>
    </cfRule>
  </conditionalFormatting>
  <conditionalFormatting sqref="D45">
    <cfRule type="cellIs" priority="8" dxfId="0" operator="greaterThan" stopIfTrue="1">
      <formula>$D$47*0.1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4" dxfId="1" operator="lessThan" stopIfTrue="1">
      <formula>0</formula>
    </cfRule>
  </conditionalFormatting>
  <conditionalFormatting sqref="D17">
    <cfRule type="cellIs" priority="3" dxfId="1" operator="greaterThan" stopIfTrue="1">
      <formula>$D$19*0.1</formula>
    </cfRule>
  </conditionalFormatting>
  <conditionalFormatting sqref="C17">
    <cfRule type="cellIs" priority="2" dxfId="1" operator="greaterThan" stopIfTrue="1">
      <formula>$C$19*0.1</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4"/>
  <sheetViews>
    <sheetView zoomScalePageLayoutView="0" workbookViewId="0" topLeftCell="A1">
      <selection activeCell="AC17" sqref="AC17"/>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140">
        <f>inputPrYr!$D$3</f>
        <v>0</v>
      </c>
      <c r="B1" s="55"/>
      <c r="C1" s="55"/>
      <c r="D1" s="55"/>
      <c r="E1" s="139">
        <f>inputPrYr!C6</f>
        <v>0</v>
      </c>
    </row>
    <row r="2" spans="1:5" ht="15">
      <c r="A2" s="55"/>
      <c r="B2" s="55"/>
      <c r="C2" s="55"/>
      <c r="D2" s="55"/>
      <c r="E2" s="55"/>
    </row>
    <row r="3" spans="1:5" ht="15.75">
      <c r="A3" s="843" t="s">
        <v>1007</v>
      </c>
      <c r="B3" s="844"/>
      <c r="C3" s="844"/>
      <c r="D3" s="844"/>
      <c r="E3" s="844"/>
    </row>
    <row r="4" spans="1:5" ht="15">
      <c r="A4" s="55"/>
      <c r="B4" s="55"/>
      <c r="C4" s="55"/>
      <c r="D4" s="55"/>
      <c r="E4" s="55"/>
    </row>
    <row r="5" spans="1:5" ht="15">
      <c r="A5" s="55"/>
      <c r="B5" s="55"/>
      <c r="C5" s="55"/>
      <c r="D5" s="55"/>
      <c r="E5" s="55"/>
    </row>
    <row r="6" spans="1:5" ht="15.75">
      <c r="A6" s="758" t="str">
        <f>CONCATENATE("From the County Clerk's ",E1," Budget Information:")</f>
        <v>From the County Clerk's 0 Budget Information:</v>
      </c>
      <c r="B6" s="759"/>
      <c r="C6" s="43"/>
      <c r="D6" s="43"/>
      <c r="E6" s="73"/>
    </row>
    <row r="7" spans="1:5" ht="15.75">
      <c r="A7" s="82" t="str">
        <f>CONCATENATE("Total Assessed Valuation for ",E1-1,"")</f>
        <v>Total Assessed Valuation for -1</v>
      </c>
      <c r="B7" s="59"/>
      <c r="C7" s="59"/>
      <c r="D7" s="59"/>
      <c r="E7" s="54"/>
    </row>
    <row r="8" spans="1:5" ht="15.75">
      <c r="A8" s="82" t="str">
        <f>CONCATENATE("New Improvements for ",E1-1,"")</f>
        <v>New Improvements for -1</v>
      </c>
      <c r="B8" s="59"/>
      <c r="C8" s="59"/>
      <c r="D8" s="59"/>
      <c r="E8" s="83"/>
    </row>
    <row r="9" spans="1:5" ht="15.75">
      <c r="A9" s="82" t="str">
        <f>CONCATENATE("Personal Property - ",E1-1,"")</f>
        <v>Personal Property - -1</v>
      </c>
      <c r="B9" s="59"/>
      <c r="C9" s="59"/>
      <c r="D9" s="59"/>
      <c r="E9" s="83"/>
    </row>
    <row r="10" spans="1:5" ht="15.75">
      <c r="A10" s="84" t="s">
        <v>235</v>
      </c>
      <c r="B10" s="59"/>
      <c r="C10" s="59"/>
      <c r="D10" s="59"/>
      <c r="E10" s="69"/>
    </row>
    <row r="11" spans="1:5" ht="15.75">
      <c r="A11" s="82" t="s">
        <v>205</v>
      </c>
      <c r="B11" s="59"/>
      <c r="C11" s="59"/>
      <c r="D11" s="59"/>
      <c r="E11" s="83"/>
    </row>
    <row r="12" spans="1:5" ht="15.75">
      <c r="A12" s="82" t="s">
        <v>206</v>
      </c>
      <c r="B12" s="59"/>
      <c r="C12" s="59"/>
      <c r="D12" s="59"/>
      <c r="E12" s="83"/>
    </row>
    <row r="13" spans="1:5" ht="15.75">
      <c r="A13" s="82" t="s">
        <v>207</v>
      </c>
      <c r="B13" s="59"/>
      <c r="C13" s="59"/>
      <c r="D13" s="59"/>
      <c r="E13" s="83"/>
    </row>
    <row r="14" spans="1:5" ht="15.75">
      <c r="A14" s="82" t="s">
        <v>1045</v>
      </c>
      <c r="B14" s="59"/>
      <c r="C14" s="59"/>
      <c r="D14" s="59"/>
      <c r="E14" s="83"/>
    </row>
    <row r="15" spans="1:5" ht="15.75">
      <c r="A15" s="82" t="str">
        <f>CONCATENATE("Personal Property - ",E1-2,"")</f>
        <v>Personal Property - -2</v>
      </c>
      <c r="B15" s="59"/>
      <c r="C15" s="59"/>
      <c r="D15" s="59"/>
      <c r="E15" s="83"/>
    </row>
    <row r="16" spans="1:5" ht="15.75">
      <c r="A16" s="82" t="str">
        <f>CONCATENATE("Gross earnings (intangible) tax estimate for ",E1,"")</f>
        <v>Gross earnings (intangible) tax estimate for 0</v>
      </c>
      <c r="B16" s="59"/>
      <c r="C16" s="59"/>
      <c r="D16" s="71"/>
      <c r="E16" s="54"/>
    </row>
    <row r="17" spans="1:5" ht="15.75">
      <c r="A17" s="82" t="s">
        <v>236</v>
      </c>
      <c r="B17" s="59"/>
      <c r="C17" s="59"/>
      <c r="D17" s="59"/>
      <c r="E17" s="78"/>
    </row>
    <row r="18" spans="1:5" ht="15.75">
      <c r="A18" s="62"/>
      <c r="B18" s="63"/>
      <c r="C18" s="63"/>
      <c r="D18" s="63"/>
      <c r="E18" s="68"/>
    </row>
    <row r="19" spans="1:5" ht="15.75">
      <c r="A19" s="62" t="str">
        <f>CONCATENATE("Actual Tax Rates for the ",E1-1," Budget:")</f>
        <v>Actual Tax Rates for the -1 Budget:</v>
      </c>
      <c r="B19" s="63"/>
      <c r="C19" s="63"/>
      <c r="D19" s="63"/>
      <c r="E19" s="68"/>
    </row>
    <row r="20" spans="1:5" ht="15.75">
      <c r="A20" s="856" t="s">
        <v>88</v>
      </c>
      <c r="B20" s="846"/>
      <c r="C20" s="55"/>
      <c r="D20" s="85" t="s">
        <v>141</v>
      </c>
      <c r="E20" s="68"/>
    </row>
    <row r="21" spans="1:5" ht="15.75">
      <c r="A21" s="57" t="s">
        <v>72</v>
      </c>
      <c r="B21" s="58"/>
      <c r="C21" s="63"/>
      <c r="D21" s="740"/>
      <c r="E21" s="68"/>
    </row>
    <row r="22" spans="1:5" ht="15.75">
      <c r="A22" s="82" t="s">
        <v>44</v>
      </c>
      <c r="B22" s="59"/>
      <c r="C22" s="63"/>
      <c r="D22" s="740"/>
      <c r="E22" s="68"/>
    </row>
    <row r="23" spans="1:5" ht="15.75">
      <c r="A23" s="82" t="str">
        <f>IF(inputPrYr!B20&gt;" ",(inputPrYr!B20)," ")</f>
        <v>Library</v>
      </c>
      <c r="B23" s="59"/>
      <c r="C23" s="63"/>
      <c r="D23" s="740"/>
      <c r="E23" s="68"/>
    </row>
    <row r="24" spans="1:5" ht="15.75">
      <c r="A24" s="82" t="str">
        <f>IF(inputPrYr!B22&gt;" ",(inputPrYr!B22)," ")</f>
        <v> </v>
      </c>
      <c r="B24" s="59"/>
      <c r="C24" s="63"/>
      <c r="D24" s="740"/>
      <c r="E24" s="68"/>
    </row>
    <row r="25" spans="1:5" ht="15.75">
      <c r="A25" s="82" t="str">
        <f>IF(inputPrYr!B23&gt;" ",(inputPrYr!B23)," ")</f>
        <v> </v>
      </c>
      <c r="B25" s="59"/>
      <c r="C25" s="63"/>
      <c r="D25" s="740"/>
      <c r="E25" s="68"/>
    </row>
    <row r="26" spans="1:5" ht="15.75">
      <c r="A26" s="82" t="str">
        <f>IF(inputPrYr!B24&gt;" ",(inputPrYr!B24)," ")</f>
        <v> </v>
      </c>
      <c r="B26" s="86"/>
      <c r="C26" s="63"/>
      <c r="D26" s="741"/>
      <c r="E26" s="68"/>
    </row>
    <row r="27" spans="1:5" ht="15.75">
      <c r="A27" s="82" t="str">
        <f>IF(inputPrYr!B25&gt;" ",(inputPrYr!B25)," ")</f>
        <v> </v>
      </c>
      <c r="B27" s="86"/>
      <c r="C27" s="63"/>
      <c r="D27" s="741"/>
      <c r="E27" s="68"/>
    </row>
    <row r="28" spans="1:5" ht="15.75">
      <c r="A28" s="82" t="str">
        <f>IF(inputPrYr!B26&gt;" ",(inputPrYr!B26)," ")</f>
        <v> </v>
      </c>
      <c r="B28" s="86"/>
      <c r="C28" s="63"/>
      <c r="D28" s="741"/>
      <c r="E28" s="68"/>
    </row>
    <row r="29" spans="1:5" ht="15.75">
      <c r="A29" s="82" t="str">
        <f>IF(inputPrYr!B27&gt;" ",(inputPrYr!B27)," ")</f>
        <v> </v>
      </c>
      <c r="B29" s="86"/>
      <c r="C29" s="63"/>
      <c r="D29" s="741"/>
      <c r="E29" s="68"/>
    </row>
    <row r="30" spans="1:5" ht="15.75">
      <c r="A30" s="82" t="str">
        <f>IF(inputPrYr!B28&gt;" ",(inputPrYr!B28)," ")</f>
        <v> </v>
      </c>
      <c r="B30" s="86"/>
      <c r="C30" s="63"/>
      <c r="D30" s="741"/>
      <c r="E30" s="68"/>
    </row>
    <row r="31" spans="1:5" ht="15.75">
      <c r="A31" s="82" t="str">
        <f>IF(inputPrYr!B29&gt;" ",(inputPrYr!B29)," ")</f>
        <v> </v>
      </c>
      <c r="B31" s="86"/>
      <c r="C31" s="63"/>
      <c r="D31" s="741"/>
      <c r="E31" s="68"/>
    </row>
    <row r="32" spans="1:5" ht="15.75">
      <c r="A32" s="82" t="str">
        <f>IF(inputPrYr!B30&gt;" ",(inputPrYr!B30)," ")</f>
        <v> </v>
      </c>
      <c r="B32" s="86"/>
      <c r="C32" s="63"/>
      <c r="D32" s="741"/>
      <c r="E32" s="68"/>
    </row>
    <row r="33" spans="1:5" ht="15.75">
      <c r="A33" s="82" t="str">
        <f>IF(inputPrYr!B31&gt;" ",(inputPrYr!B31)," ")</f>
        <v> </v>
      </c>
      <c r="B33" s="59"/>
      <c r="C33" s="63"/>
      <c r="D33" s="740"/>
      <c r="E33" s="68"/>
    </row>
    <row r="34" spans="1:5" ht="15.75">
      <c r="A34" s="87"/>
      <c r="B34" s="63"/>
      <c r="C34" s="238" t="s">
        <v>74</v>
      </c>
      <c r="D34" s="565">
        <f>SUM(D21:D33)</f>
        <v>0</v>
      </c>
      <c r="E34" s="87"/>
    </row>
    <row r="35" spans="1:5" ht="15">
      <c r="A35" s="87"/>
      <c r="B35" s="87"/>
      <c r="C35" s="87"/>
      <c r="D35" s="87"/>
      <c r="E35" s="87"/>
    </row>
    <row r="36" spans="1:5" ht="15.75">
      <c r="A36" s="58" t="str">
        <f>CONCATENATE("Final Assessed Valuation from the November 1, ",E1-2," Abstract")</f>
        <v>Final Assessed Valuation from the November 1, -2 Abstract</v>
      </c>
      <c r="B36" s="88"/>
      <c r="C36" s="88"/>
      <c r="D36" s="88"/>
      <c r="E36" s="78"/>
    </row>
    <row r="37" spans="1:5" ht="15">
      <c r="A37" s="87"/>
      <c r="B37" s="87"/>
      <c r="C37" s="87"/>
      <c r="D37" s="87"/>
      <c r="E37" s="87"/>
    </row>
    <row r="38" spans="1:5" ht="15.75">
      <c r="A38" s="774" t="str">
        <f>CONCATENATE("From the County Treasurer's Budget Information - ",E1," Budget Year Estimates:")</f>
        <v>From the County Treasurer's Budget Information - 0 Budget Year Estimates:</v>
      </c>
      <c r="B38" s="79"/>
      <c r="C38" s="79"/>
      <c r="D38" s="775"/>
      <c r="E38" s="73"/>
    </row>
    <row r="39" spans="1:5" ht="15.75">
      <c r="A39" s="57" t="s">
        <v>75</v>
      </c>
      <c r="B39" s="58"/>
      <c r="C39" s="58"/>
      <c r="D39" s="89"/>
      <c r="E39" s="785"/>
    </row>
    <row r="40" spans="1:5" ht="15.75">
      <c r="A40" s="82" t="s">
        <v>76</v>
      </c>
      <c r="B40" s="59"/>
      <c r="C40" s="59"/>
      <c r="D40" s="90"/>
      <c r="E40" s="785"/>
    </row>
    <row r="41" spans="1:5" ht="15.75">
      <c r="A41" s="82" t="s">
        <v>237</v>
      </c>
      <c r="B41" s="59"/>
      <c r="C41" s="59"/>
      <c r="D41" s="90"/>
      <c r="E41" s="785"/>
    </row>
    <row r="42" spans="1:5" ht="15.75">
      <c r="A42" s="787" t="s">
        <v>1009</v>
      </c>
      <c r="B42" s="59"/>
      <c r="C42" s="59"/>
      <c r="D42" s="90"/>
      <c r="E42" s="785"/>
    </row>
    <row r="43" spans="1:5" ht="15.75">
      <c r="A43" s="787" t="s">
        <v>1010</v>
      </c>
      <c r="B43" s="59"/>
      <c r="C43" s="59"/>
      <c r="D43" s="90"/>
      <c r="E43" s="785"/>
    </row>
    <row r="44" spans="1:5" ht="15.75">
      <c r="A44" s="82" t="s">
        <v>238</v>
      </c>
      <c r="B44" s="59"/>
      <c r="C44" s="59"/>
      <c r="D44" s="90"/>
      <c r="E44" s="54"/>
    </row>
    <row r="45" spans="1:5" ht="15.75">
      <c r="A45" s="82" t="s">
        <v>239</v>
      </c>
      <c r="B45" s="59"/>
      <c r="C45" s="59"/>
      <c r="D45" s="90"/>
      <c r="E45" s="54"/>
    </row>
    <row r="46" spans="1:5" ht="15.75">
      <c r="A46" s="43" t="s">
        <v>240</v>
      </c>
      <c r="B46" s="43"/>
      <c r="C46" s="43"/>
      <c r="D46" s="43"/>
      <c r="E46" s="43"/>
    </row>
    <row r="47" spans="1:5" ht="15.75">
      <c r="A47" s="42" t="s">
        <v>96</v>
      </c>
      <c r="B47" s="48"/>
      <c r="C47" s="48"/>
      <c r="D47" s="43"/>
      <c r="E47" s="43"/>
    </row>
    <row r="48" spans="1:5" ht="15.75">
      <c r="A48" s="62" t="str">
        <f>CONCATENATE("Actual Delinquency for ",E1-3," Tax - (e.g. rate .01213 = 1.213%;  key in 1.2)")</f>
        <v>Actual Delinquency for -3 Tax - (e.g. rate .01213 = 1.213%;  key in 1.2)</v>
      </c>
      <c r="B48" s="63"/>
      <c r="C48" s="63"/>
      <c r="D48" s="63"/>
      <c r="E48" s="58"/>
    </row>
    <row r="49" spans="1:5" ht="15.75">
      <c r="A49" s="57" t="s">
        <v>818</v>
      </c>
      <c r="B49" s="57"/>
      <c r="C49" s="58"/>
      <c r="D49" s="58"/>
      <c r="E49" s="781"/>
    </row>
    <row r="50" spans="1:5" ht="15.75">
      <c r="A50" s="43"/>
      <c r="B50" s="43"/>
      <c r="C50" s="43"/>
      <c r="D50" s="43"/>
      <c r="E50" s="43"/>
    </row>
    <row r="51" spans="1:5" ht="15.75">
      <c r="A51" s="777" t="s">
        <v>4</v>
      </c>
      <c r="B51" s="778"/>
      <c r="C51" s="779"/>
      <c r="D51" s="779"/>
      <c r="E51" s="780"/>
    </row>
    <row r="52" spans="1:5" ht="15.75">
      <c r="A52" s="91" t="str">
        <f>CONCATENATE("",E1," State Distribution for Kansas Gas Tax")</f>
        <v>0 State Distribution for Kansas Gas Tax</v>
      </c>
      <c r="B52" s="92"/>
      <c r="C52" s="92"/>
      <c r="D52" s="93"/>
      <c r="E52" s="776"/>
    </row>
    <row r="53" spans="1:5" ht="15.75">
      <c r="A53" s="94" t="str">
        <f>CONCATENATE("",E1," County Transfers for Gas**")</f>
        <v>0 County Transfers for Gas**</v>
      </c>
      <c r="B53" s="95"/>
      <c r="C53" s="95"/>
      <c r="D53" s="96"/>
      <c r="E53" s="78"/>
    </row>
    <row r="54" spans="1:5" ht="15.75">
      <c r="A54" s="94" t="str">
        <f>CONCATENATE("Adjusted ",E1-1," State Distribution for Kansas Gas Tax")</f>
        <v>Adjusted -1 State Distribution for Kansas Gas Tax</v>
      </c>
      <c r="B54" s="95"/>
      <c r="C54" s="95"/>
      <c r="D54" s="96"/>
      <c r="E54" s="78"/>
    </row>
    <row r="55" spans="1:5" ht="15.75">
      <c r="A55" s="94" t="str">
        <f>CONCATENATE("Adjusted ",E1-1," County Transfers for Gas**")</f>
        <v>Adjusted -1 County Transfers for Gas**</v>
      </c>
      <c r="B55" s="95"/>
      <c r="C55" s="95"/>
      <c r="D55" s="96"/>
      <c r="E55" s="78"/>
    </row>
    <row r="56" spans="1:5" ht="15">
      <c r="A56" s="857" t="s">
        <v>293</v>
      </c>
      <c r="B56" s="858"/>
      <c r="C56" s="858"/>
      <c r="D56" s="858"/>
      <c r="E56" s="858"/>
    </row>
    <row r="57" spans="1:5" ht="15">
      <c r="A57" s="97" t="s">
        <v>294</v>
      </c>
      <c r="B57" s="97"/>
      <c r="C57" s="97"/>
      <c r="D57" s="97"/>
      <c r="E57" s="97"/>
    </row>
    <row r="58" spans="1:5" ht="15">
      <c r="A58" s="55"/>
      <c r="B58" s="55"/>
      <c r="C58" s="55"/>
      <c r="D58" s="55"/>
      <c r="E58" s="55"/>
    </row>
    <row r="59" spans="1:5" ht="15.75">
      <c r="A59" s="859" t="str">
        <f>CONCATENATE("From the ",E1-2," Budget Certificate Page")</f>
        <v>From the -2 Budget Certificate Page</v>
      </c>
      <c r="B59" s="860"/>
      <c r="C59" s="55"/>
      <c r="D59" s="55"/>
      <c r="E59" s="55"/>
    </row>
    <row r="60" spans="1:5" ht="15.75">
      <c r="A60" s="98"/>
      <c r="B60" s="98" t="str">
        <f>CONCATENATE("",E1-2," Expenditure Amounts")</f>
        <v>-2 Expenditure Amounts</v>
      </c>
      <c r="C60" s="854" t="str">
        <f>CONCATENATE("Note: If the ",E1-2," budget was amended, then the")</f>
        <v>Note: If the -2 budget was amended, then the</v>
      </c>
      <c r="D60" s="855"/>
      <c r="E60" s="855"/>
    </row>
    <row r="61" spans="1:5" ht="15.75">
      <c r="A61" s="99" t="s">
        <v>8</v>
      </c>
      <c r="B61" s="99" t="s">
        <v>9</v>
      </c>
      <c r="C61" s="100" t="s">
        <v>10</v>
      </c>
      <c r="D61" s="101"/>
      <c r="E61" s="101"/>
    </row>
    <row r="62" spans="1:5" ht="15.75">
      <c r="A62" s="102" t="str">
        <f>inputPrYr!B18</f>
        <v>General</v>
      </c>
      <c r="B62" s="78"/>
      <c r="C62" s="100" t="s">
        <v>11</v>
      </c>
      <c r="D62" s="101"/>
      <c r="E62" s="101"/>
    </row>
    <row r="63" spans="1:5" ht="15.75">
      <c r="A63" s="102" t="str">
        <f>inputPrYr!B19</f>
        <v>Debt Service</v>
      </c>
      <c r="B63" s="78"/>
      <c r="C63" s="100"/>
      <c r="D63" s="101"/>
      <c r="E63" s="101"/>
    </row>
    <row r="64" spans="1:5" ht="15.75">
      <c r="A64" s="102" t="str">
        <f>inputPrYr!B20</f>
        <v>Library</v>
      </c>
      <c r="B64" s="78"/>
      <c r="C64" s="55"/>
      <c r="D64" s="55"/>
      <c r="E64" s="55"/>
    </row>
    <row r="65" spans="1:5" ht="15.75">
      <c r="A65" s="102">
        <f>inputPrYr!B22</f>
        <v>0</v>
      </c>
      <c r="B65" s="78"/>
      <c r="C65" s="55"/>
      <c r="D65" s="55"/>
      <c r="E65" s="55"/>
    </row>
    <row r="66" spans="1:5" ht="15.75">
      <c r="A66" s="102">
        <f>inputPrYr!B23</f>
        <v>0</v>
      </c>
      <c r="B66" s="78"/>
      <c r="C66" s="55"/>
      <c r="D66" s="55"/>
      <c r="E66" s="55"/>
    </row>
    <row r="67" spans="1:5" ht="15.75">
      <c r="A67" s="102">
        <f>inputPrYr!B24</f>
        <v>0</v>
      </c>
      <c r="B67" s="78"/>
      <c r="C67" s="55"/>
      <c r="D67" s="55"/>
      <c r="E67" s="55"/>
    </row>
    <row r="68" spans="1:5" ht="15.75">
      <c r="A68" s="102">
        <f>inputPrYr!B25</f>
        <v>0</v>
      </c>
      <c r="B68" s="78"/>
      <c r="C68" s="55"/>
      <c r="D68" s="55"/>
      <c r="E68" s="55"/>
    </row>
    <row r="69" spans="1:5" ht="15.75">
      <c r="A69" s="102">
        <f>inputPrYr!B26</f>
        <v>0</v>
      </c>
      <c r="B69" s="78"/>
      <c r="C69" s="55"/>
      <c r="D69" s="55"/>
      <c r="E69" s="55"/>
    </row>
    <row r="70" spans="1:5" ht="15.75">
      <c r="A70" s="102">
        <f>inputPrYr!B27</f>
        <v>0</v>
      </c>
      <c r="B70" s="78"/>
      <c r="C70" s="55"/>
      <c r="D70" s="55"/>
      <c r="E70" s="55"/>
    </row>
    <row r="71" spans="1:5" ht="15.75">
      <c r="A71" s="102">
        <f>inputPrYr!B28</f>
        <v>0</v>
      </c>
      <c r="B71" s="78"/>
      <c r="C71" s="55"/>
      <c r="D71" s="55"/>
      <c r="E71" s="55"/>
    </row>
    <row r="72" spans="1:5" ht="15.75">
      <c r="A72" s="102">
        <f>inputPrYr!B29</f>
        <v>0</v>
      </c>
      <c r="B72" s="78"/>
      <c r="C72" s="55"/>
      <c r="D72" s="55"/>
      <c r="E72" s="55"/>
    </row>
    <row r="73" spans="1:5" ht="15.75">
      <c r="A73" s="102">
        <f>inputPrYr!B30</f>
        <v>0</v>
      </c>
      <c r="B73" s="78"/>
      <c r="C73" s="55"/>
      <c r="D73" s="55"/>
      <c r="E73" s="55"/>
    </row>
    <row r="74" spans="1:5" ht="15.75">
      <c r="A74" s="102">
        <f>inputPrYr!B31</f>
        <v>0</v>
      </c>
      <c r="B74" s="78"/>
      <c r="C74" s="55"/>
      <c r="D74" s="55"/>
      <c r="E74" s="55"/>
    </row>
    <row r="75" spans="1:5" ht="15.75">
      <c r="A75" s="102" t="str">
        <f>inputPrYr!B35</f>
        <v>Special Highway</v>
      </c>
      <c r="B75" s="78"/>
      <c r="C75" s="55"/>
      <c r="D75" s="55"/>
      <c r="E75" s="55"/>
    </row>
    <row r="76" spans="1:5" ht="15.75">
      <c r="A76" s="102">
        <f>inputPrYr!B36</f>
        <v>0</v>
      </c>
      <c r="B76" s="78"/>
      <c r="C76" s="55"/>
      <c r="D76" s="55"/>
      <c r="E76" s="55"/>
    </row>
    <row r="77" spans="1:5" ht="15.75">
      <c r="A77" s="102">
        <f>inputPrYr!B37</f>
        <v>0</v>
      </c>
      <c r="B77" s="78"/>
      <c r="C77" s="55"/>
      <c r="D77" s="55"/>
      <c r="E77" s="55"/>
    </row>
    <row r="78" spans="1:5" ht="15.75">
      <c r="A78" s="102">
        <f>inputPrYr!B38</f>
        <v>0</v>
      </c>
      <c r="B78" s="78"/>
      <c r="C78" s="55"/>
      <c r="D78" s="55"/>
      <c r="E78" s="55"/>
    </row>
    <row r="79" spans="1:5" ht="15.75">
      <c r="A79" s="102">
        <f>inputPrYr!B39</f>
        <v>0</v>
      </c>
      <c r="B79" s="78"/>
      <c r="C79" s="55"/>
      <c r="D79" s="55"/>
      <c r="E79" s="55"/>
    </row>
    <row r="80" spans="1:5" ht="15.75">
      <c r="A80" s="102">
        <f>inputPrYr!B40</f>
        <v>0</v>
      </c>
      <c r="B80" s="78"/>
      <c r="C80" s="55"/>
      <c r="D80" s="55"/>
      <c r="E80" s="55"/>
    </row>
    <row r="81" spans="1:5" ht="15.75">
      <c r="A81" s="102">
        <f>inputPrYr!B41</f>
        <v>0</v>
      </c>
      <c r="B81" s="78"/>
      <c r="C81" s="55"/>
      <c r="D81" s="55"/>
      <c r="E81" s="55"/>
    </row>
    <row r="82" spans="1:5" ht="15.75">
      <c r="A82" s="102">
        <f>inputPrYr!B42</f>
        <v>0</v>
      </c>
      <c r="B82" s="78"/>
      <c r="C82" s="55"/>
      <c r="D82" s="55"/>
      <c r="E82" s="55"/>
    </row>
    <row r="83" spans="1:5" ht="15.75">
      <c r="A83" s="102">
        <f>inputPrYr!B43</f>
        <v>0</v>
      </c>
      <c r="B83" s="78"/>
      <c r="C83" s="55"/>
      <c r="D83" s="55"/>
      <c r="E83" s="55"/>
    </row>
    <row r="84" spans="1:5" ht="15.75">
      <c r="A84" s="102">
        <f>inputPrYr!B44</f>
        <v>0</v>
      </c>
      <c r="B84" s="78"/>
      <c r="C84" s="55"/>
      <c r="D84" s="55"/>
      <c r="E84" s="55"/>
    </row>
    <row r="85" spans="1:5" ht="15.75">
      <c r="A85" s="102">
        <f>inputPrYr!B45</f>
        <v>0</v>
      </c>
      <c r="B85" s="78"/>
      <c r="C85" s="55"/>
      <c r="D85" s="55"/>
      <c r="E85" s="55"/>
    </row>
    <row r="86" spans="1:5" ht="15.75">
      <c r="A86" s="102">
        <f>inputPrYr!B46</f>
        <v>0</v>
      </c>
      <c r="B86" s="78"/>
      <c r="C86" s="55"/>
      <c r="D86" s="55"/>
      <c r="E86" s="55"/>
    </row>
    <row r="87" spans="1:5" ht="15.75">
      <c r="A87" s="102">
        <f>inputPrYr!B47</f>
        <v>0</v>
      </c>
      <c r="B87" s="78"/>
      <c r="C87" s="55"/>
      <c r="D87" s="55"/>
      <c r="E87" s="55"/>
    </row>
    <row r="88" spans="1:5" ht="15.75">
      <c r="A88" s="102">
        <f>inputPrYr!B48</f>
        <v>0</v>
      </c>
      <c r="B88" s="78"/>
      <c r="C88" s="55"/>
      <c r="D88" s="55"/>
      <c r="E88" s="55"/>
    </row>
    <row r="89" spans="1:5" ht="15.75">
      <c r="A89" s="102">
        <f>inputPrYr!B49</f>
        <v>0</v>
      </c>
      <c r="B89" s="78"/>
      <c r="C89" s="55"/>
      <c r="D89" s="55"/>
      <c r="E89" s="55"/>
    </row>
    <row r="90" spans="1:5" ht="15.75">
      <c r="A90" s="102">
        <f>inputPrYr!B50</f>
        <v>0</v>
      </c>
      <c r="B90" s="78"/>
      <c r="C90" s="55"/>
      <c r="D90" s="55"/>
      <c r="E90" s="55"/>
    </row>
    <row r="91" spans="1:5" ht="15.75">
      <c r="A91" s="102">
        <f>inputPrYr!B52</f>
        <v>0</v>
      </c>
      <c r="B91" s="78"/>
      <c r="C91" s="55"/>
      <c r="D91" s="55"/>
      <c r="E91" s="55"/>
    </row>
    <row r="92" spans="1:5" ht="15.75">
      <c r="A92" s="102">
        <f>inputPrYr!B53</f>
        <v>0</v>
      </c>
      <c r="B92" s="78"/>
      <c r="C92" s="55"/>
      <c r="D92" s="55"/>
      <c r="E92" s="55"/>
    </row>
    <row r="93" spans="1:5" ht="15.75">
      <c r="A93" s="102">
        <f>inputPrYr!B54</f>
        <v>0</v>
      </c>
      <c r="B93" s="78"/>
      <c r="C93" s="55"/>
      <c r="D93" s="55"/>
      <c r="E93" s="55"/>
    </row>
    <row r="94" spans="1:5" ht="15.75">
      <c r="A94" s="102">
        <f>inputPrYr!B55</f>
        <v>0</v>
      </c>
      <c r="B94" s="78"/>
      <c r="C94" s="55"/>
      <c r="D94" s="55"/>
      <c r="E94" s="55"/>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91" sqref="Q91"/>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161">
        <f>(inputPrYr!D3)</f>
        <v>0</v>
      </c>
      <c r="C1" s="43"/>
      <c r="D1" s="43"/>
      <c r="E1" s="183">
        <f>inputPrYr!$C$6</f>
        <v>0</v>
      </c>
    </row>
    <row r="2" spans="2:5" ht="15.75">
      <c r="B2" s="43"/>
      <c r="C2" s="43"/>
      <c r="D2" s="43"/>
      <c r="E2" s="135"/>
    </row>
    <row r="3" spans="2:5" ht="15.75">
      <c r="B3" s="213" t="s">
        <v>169</v>
      </c>
      <c r="C3" s="259"/>
      <c r="D3" s="259"/>
      <c r="E3" s="260"/>
    </row>
    <row r="4" spans="2:5" ht="15.75">
      <c r="B4" s="44" t="s">
        <v>101</v>
      </c>
      <c r="C4" s="663" t="s">
        <v>892</v>
      </c>
      <c r="D4" s="664" t="s">
        <v>893</v>
      </c>
      <c r="E4" s="111" t="s">
        <v>894</v>
      </c>
    </row>
    <row r="5" spans="2:5" ht="15.75">
      <c r="B5" s="489">
        <f>(inputPrYr!B53)</f>
        <v>0</v>
      </c>
      <c r="C5" s="189" t="str">
        <f>CONCATENATE("Actual for ",E1-2,"")</f>
        <v>Actual for -2</v>
      </c>
      <c r="D5" s="189" t="str">
        <f>CONCATENATE("Estimate for ",E1-1,"")</f>
        <v>Estimate for -1</v>
      </c>
      <c r="E5" s="172" t="str">
        <f>CONCATENATE("Year for ",E1,"")</f>
        <v>Year for 0</v>
      </c>
    </row>
    <row r="6" spans="2:5" ht="15.75">
      <c r="B6" s="117" t="s">
        <v>210</v>
      </c>
      <c r="C6" s="54"/>
      <c r="D6" s="192">
        <f>C48</f>
        <v>0</v>
      </c>
      <c r="E6" s="192">
        <f>D48</f>
        <v>0</v>
      </c>
    </row>
    <row r="7" spans="2:5" ht="15.75">
      <c r="B7" s="248" t="s">
        <v>212</v>
      </c>
      <c r="C7" s="69"/>
      <c r="D7" s="69"/>
      <c r="E7" s="69"/>
    </row>
    <row r="8" spans="2:5" ht="15.75">
      <c r="B8" s="237"/>
      <c r="C8" s="224"/>
      <c r="D8" s="224"/>
      <c r="E8" s="224"/>
    </row>
    <row r="9" spans="2:5" ht="15.75">
      <c r="B9" s="237"/>
      <c r="C9" s="224"/>
      <c r="D9" s="224"/>
      <c r="E9" s="224"/>
    </row>
    <row r="10" spans="2:5" ht="15.75">
      <c r="B10" s="237"/>
      <c r="C10" s="224"/>
      <c r="D10" s="224"/>
      <c r="E10" s="224"/>
    </row>
    <row r="11" spans="2:5" ht="15.75">
      <c r="B11" s="237"/>
      <c r="C11" s="224"/>
      <c r="D11" s="224"/>
      <c r="E11" s="224"/>
    </row>
    <row r="12" spans="2:5" ht="15.75">
      <c r="B12" s="237"/>
      <c r="C12" s="224"/>
      <c r="D12" s="224"/>
      <c r="E12" s="224"/>
    </row>
    <row r="13" spans="2:5" ht="15.75">
      <c r="B13" s="237"/>
      <c r="C13" s="224"/>
      <c r="D13" s="224"/>
      <c r="E13" s="224"/>
    </row>
    <row r="14" spans="2:5" ht="15.75">
      <c r="B14" s="254"/>
      <c r="C14" s="83"/>
      <c r="D14" s="83"/>
      <c r="E14" s="83"/>
    </row>
    <row r="15" spans="2:5" ht="15.75">
      <c r="B15" s="237"/>
      <c r="C15" s="224"/>
      <c r="D15" s="224"/>
      <c r="E15" s="224"/>
    </row>
    <row r="16" spans="2:5" ht="15.75">
      <c r="B16" s="261" t="s">
        <v>109</v>
      </c>
      <c r="C16" s="224"/>
      <c r="D16" s="224"/>
      <c r="E16" s="224"/>
    </row>
    <row r="17" spans="2:5" ht="15.75">
      <c r="B17" s="126" t="s">
        <v>13</v>
      </c>
      <c r="C17" s="224"/>
      <c r="D17" s="218"/>
      <c r="E17" s="218"/>
    </row>
    <row r="18" spans="2:5" ht="15.75">
      <c r="B18" s="216" t="s">
        <v>734</v>
      </c>
      <c r="C18" s="262">
        <f>IF(C19*0.1&lt;C17,"Exceed 10% Rule","")</f>
      </c>
      <c r="D18" s="227">
        <f>IF(D19*0.1&lt;D17,"Exceed 10% Rule","")</f>
      </c>
      <c r="E18" s="227">
        <f>IF(E19*0.1&lt;E17,"Exceed 10% Rule","")</f>
      </c>
    </row>
    <row r="19" spans="2:5" ht="15.75">
      <c r="B19" s="228" t="s">
        <v>110</v>
      </c>
      <c r="C19" s="231">
        <f>SUM(C8:C17)</f>
        <v>0</v>
      </c>
      <c r="D19" s="231">
        <f>SUM(D8:D17)</f>
        <v>0</v>
      </c>
      <c r="E19" s="231">
        <f>SUM(E8:E17)</f>
        <v>0</v>
      </c>
    </row>
    <row r="20" spans="2:5" ht="15.75">
      <c r="B20" s="228" t="s">
        <v>111</v>
      </c>
      <c r="C20" s="231">
        <f>C6+C19</f>
        <v>0</v>
      </c>
      <c r="D20" s="231">
        <f>D6+D19</f>
        <v>0</v>
      </c>
      <c r="E20" s="231">
        <f>E6+E19</f>
        <v>0</v>
      </c>
    </row>
    <row r="21" spans="2:5" ht="15.75">
      <c r="B21" s="117" t="s">
        <v>113</v>
      </c>
      <c r="C21" s="69"/>
      <c r="D21" s="69"/>
      <c r="E21" s="69"/>
    </row>
    <row r="22" spans="2:5" ht="15.75">
      <c r="B22" s="237" t="s">
        <v>248</v>
      </c>
      <c r="C22" s="224"/>
      <c r="D22" s="224"/>
      <c r="E22" s="224"/>
    </row>
    <row r="23" spans="2:5" ht="15.75">
      <c r="B23" s="237" t="s">
        <v>21</v>
      </c>
      <c r="C23" s="224"/>
      <c r="D23" s="224"/>
      <c r="E23" s="224"/>
    </row>
    <row r="24" spans="2:5" ht="15.75">
      <c r="B24" s="237"/>
      <c r="C24" s="83"/>
      <c r="D24" s="83"/>
      <c r="E24" s="83"/>
    </row>
    <row r="25" spans="2:5" ht="15.75">
      <c r="B25" s="237"/>
      <c r="C25" s="83"/>
      <c r="D25" s="83"/>
      <c r="E25" s="83"/>
    </row>
    <row r="26" spans="2:5" ht="15.75">
      <c r="B26" s="237"/>
      <c r="C26" s="83"/>
      <c r="D26" s="83"/>
      <c r="E26" s="83"/>
    </row>
    <row r="27" spans="2:5" ht="15.75">
      <c r="B27" s="237"/>
      <c r="C27" s="83"/>
      <c r="D27" s="83"/>
      <c r="E27" s="83"/>
    </row>
    <row r="28" spans="2:5" ht="15.75">
      <c r="B28" s="237"/>
      <c r="C28" s="83"/>
      <c r="D28" s="83"/>
      <c r="E28" s="83"/>
    </row>
    <row r="29" spans="2:5" ht="15.75">
      <c r="B29" s="237"/>
      <c r="C29" s="83"/>
      <c r="D29" s="83"/>
      <c r="E29" s="83"/>
    </row>
    <row r="30" spans="2:5" ht="15.75">
      <c r="B30" s="237"/>
      <c r="C30" s="83"/>
      <c r="D30" s="83"/>
      <c r="E30" s="83"/>
    </row>
    <row r="31" spans="2:5" ht="15.75">
      <c r="B31" s="237"/>
      <c r="C31" s="83"/>
      <c r="D31" s="83"/>
      <c r="E31" s="83"/>
    </row>
    <row r="32" spans="2:5" ht="15.75">
      <c r="B32" s="237"/>
      <c r="C32" s="83"/>
      <c r="D32" s="83"/>
      <c r="E32" s="83"/>
    </row>
    <row r="33" spans="2:5" ht="15.75">
      <c r="B33" s="237"/>
      <c r="C33" s="83"/>
      <c r="D33" s="83"/>
      <c r="E33" s="83"/>
    </row>
    <row r="34" spans="2:5" ht="15.75">
      <c r="B34" s="237"/>
      <c r="C34" s="83"/>
      <c r="D34" s="83"/>
      <c r="E34" s="83"/>
    </row>
    <row r="35" spans="2:5" ht="15.75">
      <c r="B35" s="237"/>
      <c r="C35" s="224"/>
      <c r="D35" s="224"/>
      <c r="E35" s="224"/>
    </row>
    <row r="36" spans="2:5" ht="15.75">
      <c r="B36" s="237"/>
      <c r="C36" s="224"/>
      <c r="D36" s="224"/>
      <c r="E36" s="224"/>
    </row>
    <row r="37" spans="2:5" ht="15.75">
      <c r="B37" s="237"/>
      <c r="C37" s="224"/>
      <c r="D37" s="224"/>
      <c r="E37" s="224"/>
    </row>
    <row r="38" spans="2:5" ht="15.75">
      <c r="B38" s="237"/>
      <c r="C38" s="224"/>
      <c r="D38" s="224"/>
      <c r="E38" s="224"/>
    </row>
    <row r="39" spans="2:5" ht="15.75">
      <c r="B39" s="237"/>
      <c r="C39" s="224"/>
      <c r="D39" s="224"/>
      <c r="E39" s="224"/>
    </row>
    <row r="40" spans="2:5" ht="15.75">
      <c r="B40" s="237"/>
      <c r="C40" s="224"/>
      <c r="D40" s="224"/>
      <c r="E40" s="224"/>
    </row>
    <row r="41" spans="2:5" ht="15.75">
      <c r="B41" s="237"/>
      <c r="C41" s="224"/>
      <c r="D41" s="224"/>
      <c r="E41" s="224"/>
    </row>
    <row r="42" spans="2:5" ht="15.75">
      <c r="B42" s="237"/>
      <c r="C42" s="224"/>
      <c r="D42" s="224"/>
      <c r="E42" s="224"/>
    </row>
    <row r="43" spans="2:5" ht="15.75">
      <c r="B43" s="237"/>
      <c r="C43" s="224"/>
      <c r="D43" s="224"/>
      <c r="E43" s="224"/>
    </row>
    <row r="44" spans="2:5" ht="15.75">
      <c r="B44" s="238" t="str">
        <f>CONCATENATE("Cash Forward (",E1," column)")</f>
        <v>Cash Forward (0 column)</v>
      </c>
      <c r="C44" s="224"/>
      <c r="D44" s="224"/>
      <c r="E44" s="224"/>
    </row>
    <row r="45" spans="2:5" ht="15.75">
      <c r="B45" s="238" t="s">
        <v>13</v>
      </c>
      <c r="C45" s="224"/>
      <c r="D45" s="218"/>
      <c r="E45" s="218"/>
    </row>
    <row r="46" spans="2:5" ht="15.75">
      <c r="B46" s="238" t="s">
        <v>735</v>
      </c>
      <c r="C46" s="262">
        <f>IF(C47*0.1&lt;C45,"Exceed 10% Rule","")</f>
      </c>
      <c r="D46" s="227">
        <f>IF(D47*0.1&lt;D45,"Exceed 10% Rule","")</f>
      </c>
      <c r="E46" s="227">
        <f>IF(E47*0.1&lt;E45,"Exceed 10% Rule","")</f>
      </c>
    </row>
    <row r="47" spans="2:5" ht="15.75">
      <c r="B47" s="228" t="s">
        <v>117</v>
      </c>
      <c r="C47" s="231">
        <f>SUM(C22:C45)</f>
        <v>0</v>
      </c>
      <c r="D47" s="231">
        <f>SUM(D22:D45)</f>
        <v>0</v>
      </c>
      <c r="E47" s="231">
        <f>SUM(E22:E45)</f>
        <v>0</v>
      </c>
    </row>
    <row r="48" spans="2:5" ht="15.75">
      <c r="B48" s="117" t="s">
        <v>211</v>
      </c>
      <c r="C48" s="67">
        <f>C20-C47</f>
        <v>0</v>
      </c>
      <c r="D48" s="67">
        <f>D20-D47</f>
        <v>0</v>
      </c>
      <c r="E48" s="67">
        <f>E20-E47</f>
        <v>0</v>
      </c>
    </row>
    <row r="49" spans="2:5" ht="15.75">
      <c r="B49" s="137" t="str">
        <f>CONCATENATE("",E1-2,"/",E1-1,"/",E1," Budget Authority Amount:")</f>
        <v>-2/-1/0 Budget Authority Amount:</v>
      </c>
      <c r="C49" s="669">
        <f>inputOth!B92</f>
        <v>0</v>
      </c>
      <c r="D49" s="669">
        <f>inputPrYr!D53</f>
        <v>0</v>
      </c>
      <c r="E49" s="696">
        <f>E47</f>
        <v>0</v>
      </c>
    </row>
    <row r="50" spans="2:5" ht="15.75">
      <c r="B50" s="103"/>
      <c r="C50" s="240">
        <f>IF(C47&gt;C49,"See Tab A","")</f>
      </c>
      <c r="D50" s="240">
        <f>IF(D47&gt;D49,"See Tab C","")</f>
      </c>
      <c r="E50" s="697">
        <f>IF(E48&lt;0,"See Tab E","")</f>
      </c>
    </row>
    <row r="51" spans="2:5" ht="15.75">
      <c r="B51" s="103"/>
      <c r="C51" s="240">
        <f>IF(C48&lt;0,"See Tab B","")</f>
      </c>
      <c r="D51" s="240">
        <f>IF(D48&lt;0,"See Tab D","")</f>
      </c>
      <c r="E51" s="55"/>
    </row>
    <row r="52" spans="2:5" ht="15">
      <c r="B52" s="55"/>
      <c r="C52" s="55"/>
      <c r="D52" s="55"/>
      <c r="E52" s="55"/>
    </row>
    <row r="53" spans="2:5" ht="15.75">
      <c r="B53" s="364" t="s">
        <v>120</v>
      </c>
      <c r="C53" s="743"/>
      <c r="D53" s="55"/>
      <c r="E53" s="55"/>
    </row>
  </sheetData>
  <sheetProtection sheet="1"/>
  <conditionalFormatting sqref="E17">
    <cfRule type="cellIs" priority="3" dxfId="338" operator="greaterThan" stopIfTrue="1">
      <formula>$E$19*0.1</formula>
    </cfRule>
  </conditionalFormatting>
  <conditionalFormatting sqref="E45">
    <cfRule type="cellIs" priority="4" dxfId="338" operator="greaterThan" stopIfTrue="1">
      <formula>$E$47*0.1</formula>
    </cfRule>
  </conditionalFormatting>
  <conditionalFormatting sqref="D17">
    <cfRule type="cellIs" priority="5" dxfId="338" operator="greaterThan" stopIfTrue="1">
      <formula>$D$19*0.1</formula>
    </cfRule>
  </conditionalFormatting>
  <conditionalFormatting sqref="D45">
    <cfRule type="cellIs" priority="6" dxfId="338" operator="greaterThan" stopIfTrue="1">
      <formula>$D$47*0.1</formula>
    </cfRule>
  </conditionalFormatting>
  <conditionalFormatting sqref="C17">
    <cfRule type="cellIs" priority="7" dxfId="338" operator="greaterThan" stopIfTrue="1">
      <formula>$C$19*0.1</formula>
    </cfRule>
  </conditionalFormatting>
  <conditionalFormatting sqref="C45">
    <cfRule type="cellIs" priority="8" dxfId="338" operator="greaterThan" stopIfTrue="1">
      <formula>$C$47*0.1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5" sqref="Q85"/>
    </sheetView>
  </sheetViews>
  <sheetFormatPr defaultColWidth="8.796875" defaultRowHeight="15"/>
  <cols>
    <col min="1" max="1" width="2.3984375" style="81" customWidth="1"/>
    <col min="2" max="2" width="31.09765625" style="81" customWidth="1"/>
    <col min="3" max="4" width="15.796875" style="81" customWidth="1"/>
    <col min="5" max="5" width="16.3984375" style="81" customWidth="1"/>
    <col min="6" max="16384" width="8.8984375" style="81" customWidth="1"/>
  </cols>
  <sheetData>
    <row r="1" spans="2:5" ht="15.75">
      <c r="B1" s="161">
        <f>(inputPrYr!D3)</f>
        <v>0</v>
      </c>
      <c r="C1" s="43"/>
      <c r="D1" s="43"/>
      <c r="E1" s="183">
        <f>inputPrYr!$C$6</f>
        <v>0</v>
      </c>
    </row>
    <row r="2" spans="2:5" ht="15.75">
      <c r="B2" s="43"/>
      <c r="C2" s="43"/>
      <c r="D2" s="43"/>
      <c r="E2" s="135"/>
    </row>
    <row r="3" spans="2:5" ht="15.75">
      <c r="B3" s="213" t="s">
        <v>169</v>
      </c>
      <c r="C3" s="259"/>
      <c r="D3" s="259"/>
      <c r="E3" s="260"/>
    </row>
    <row r="4" spans="2:5" ht="15.75">
      <c r="B4" s="44" t="s">
        <v>101</v>
      </c>
      <c r="C4" s="663" t="s">
        <v>892</v>
      </c>
      <c r="D4" s="664" t="s">
        <v>893</v>
      </c>
      <c r="E4" s="111" t="s">
        <v>894</v>
      </c>
    </row>
    <row r="5" spans="2:5" ht="15.75">
      <c r="B5" s="489">
        <f>(inputPrYr!B54)</f>
        <v>0</v>
      </c>
      <c r="C5" s="189" t="str">
        <f>CONCATENATE("Actual for ",E1-2,"")</f>
        <v>Actual for -2</v>
      </c>
      <c r="D5" s="189" t="str">
        <f>CONCATENATE("Estimate for ",E1-1,"")</f>
        <v>Estimate for -1</v>
      </c>
      <c r="E5" s="172" t="str">
        <f>CONCATENATE("Year for ",E1,"")</f>
        <v>Year for 0</v>
      </c>
    </row>
    <row r="6" spans="2:5" ht="15.75">
      <c r="B6" s="117" t="s">
        <v>210</v>
      </c>
      <c r="C6" s="221"/>
      <c r="D6" s="219">
        <f>C48</f>
        <v>0</v>
      </c>
      <c r="E6" s="192">
        <f>D48</f>
        <v>0</v>
      </c>
    </row>
    <row r="7" spans="2:5" ht="15.75">
      <c r="B7" s="248" t="s">
        <v>212</v>
      </c>
      <c r="C7" s="126"/>
      <c r="D7" s="126"/>
      <c r="E7" s="69"/>
    </row>
    <row r="8" spans="2:5" ht="15.75">
      <c r="B8" s="237"/>
      <c r="C8" s="221"/>
      <c r="D8" s="221"/>
      <c r="E8" s="224"/>
    </row>
    <row r="9" spans="2:5" ht="15.75">
      <c r="B9" s="237"/>
      <c r="C9" s="221"/>
      <c r="D9" s="221"/>
      <c r="E9" s="224"/>
    </row>
    <row r="10" spans="2:5" ht="15.75">
      <c r="B10" s="237"/>
      <c r="C10" s="221"/>
      <c r="D10" s="221"/>
      <c r="E10" s="224"/>
    </row>
    <row r="11" spans="2:5" ht="15.75">
      <c r="B11" s="237"/>
      <c r="C11" s="221"/>
      <c r="D11" s="221"/>
      <c r="E11" s="224"/>
    </row>
    <row r="12" spans="2:5" ht="15.75">
      <c r="B12" s="237"/>
      <c r="C12" s="221"/>
      <c r="D12" s="221"/>
      <c r="E12" s="224"/>
    </row>
    <row r="13" spans="2:5" ht="15.75">
      <c r="B13" s="237"/>
      <c r="C13" s="221"/>
      <c r="D13" s="221"/>
      <c r="E13" s="224"/>
    </row>
    <row r="14" spans="2:5" ht="15.75">
      <c r="B14" s="254"/>
      <c r="C14" s="221"/>
      <c r="D14" s="221"/>
      <c r="E14" s="83"/>
    </row>
    <row r="15" spans="2:5" ht="15.75">
      <c r="B15" s="237"/>
      <c r="C15" s="221"/>
      <c r="D15" s="221"/>
      <c r="E15" s="224"/>
    </row>
    <row r="16" spans="2:5" ht="15.75">
      <c r="B16" s="261" t="s">
        <v>109</v>
      </c>
      <c r="C16" s="221"/>
      <c r="D16" s="221"/>
      <c r="E16" s="224"/>
    </row>
    <row r="17" spans="2:5" ht="15.75">
      <c r="B17" s="126" t="s">
        <v>13</v>
      </c>
      <c r="C17" s="221"/>
      <c r="D17" s="221"/>
      <c r="E17" s="224"/>
    </row>
    <row r="18" spans="2:5" ht="15.75">
      <c r="B18" s="216" t="s">
        <v>734</v>
      </c>
      <c r="C18" s="226">
        <f>IF(C19*0.1&lt;C17,"Exceed 10% Rule","")</f>
      </c>
      <c r="D18" s="226">
        <f>IF(D19*0.1&lt;D17,"Exceed 10% Rule","")</f>
      </c>
      <c r="E18" s="262">
        <f>IF(E19*0.1&lt;E17,"Exceed 10% Rule","")</f>
      </c>
    </row>
    <row r="19" spans="2:5" ht="15.75">
      <c r="B19" s="228" t="s">
        <v>110</v>
      </c>
      <c r="C19" s="230">
        <f>SUM(C8:C17)</f>
        <v>0</v>
      </c>
      <c r="D19" s="230">
        <f>SUM(D8:D17)</f>
        <v>0</v>
      </c>
      <c r="E19" s="231">
        <f>SUM(E8:E17)</f>
        <v>0</v>
      </c>
    </row>
    <row r="20" spans="2:5" ht="15.75">
      <c r="B20" s="228" t="s">
        <v>111</v>
      </c>
      <c r="C20" s="230">
        <f>C6+C19</f>
        <v>0</v>
      </c>
      <c r="D20" s="230">
        <f>D6+D19</f>
        <v>0</v>
      </c>
      <c r="E20" s="231">
        <f>E6+E19</f>
        <v>0</v>
      </c>
    </row>
    <row r="21" spans="2:5" ht="15.75">
      <c r="B21" s="117" t="s">
        <v>113</v>
      </c>
      <c r="C21" s="126"/>
      <c r="D21" s="126"/>
      <c r="E21" s="69"/>
    </row>
    <row r="22" spans="2:5" ht="15.75">
      <c r="B22" s="237" t="s">
        <v>248</v>
      </c>
      <c r="C22" s="221"/>
      <c r="D22" s="221"/>
      <c r="E22" s="224"/>
    </row>
    <row r="23" spans="2:5" ht="15.75">
      <c r="B23" s="237" t="s">
        <v>20</v>
      </c>
      <c r="C23" s="221"/>
      <c r="D23" s="221"/>
      <c r="E23" s="224"/>
    </row>
    <row r="24" spans="2:5" ht="15.75">
      <c r="B24" s="237"/>
      <c r="C24" s="221"/>
      <c r="D24" s="221"/>
      <c r="E24" s="83"/>
    </row>
    <row r="25" spans="2:5" ht="15.75">
      <c r="B25" s="237"/>
      <c r="C25" s="221"/>
      <c r="D25" s="221"/>
      <c r="E25" s="83"/>
    </row>
    <row r="26" spans="2:5" ht="15.75">
      <c r="B26" s="237"/>
      <c r="C26" s="221"/>
      <c r="D26" s="221"/>
      <c r="E26" s="83"/>
    </row>
    <row r="27" spans="2:5" ht="15.75">
      <c r="B27" s="237"/>
      <c r="C27" s="221"/>
      <c r="D27" s="221"/>
      <c r="E27" s="83"/>
    </row>
    <row r="28" spans="2:5" ht="15.75">
      <c r="B28" s="237"/>
      <c r="C28" s="221"/>
      <c r="D28" s="221"/>
      <c r="E28" s="83"/>
    </row>
    <row r="29" spans="2:5" ht="15.75">
      <c r="B29" s="237"/>
      <c r="C29" s="221"/>
      <c r="D29" s="221"/>
      <c r="E29" s="83"/>
    </row>
    <row r="30" spans="2:5" ht="15.75">
      <c r="B30" s="237"/>
      <c r="C30" s="221"/>
      <c r="D30" s="221"/>
      <c r="E30" s="83"/>
    </row>
    <row r="31" spans="2:5" ht="15.75">
      <c r="B31" s="237"/>
      <c r="C31" s="221"/>
      <c r="D31" s="221"/>
      <c r="E31" s="83"/>
    </row>
    <row r="32" spans="2:5" ht="15.75">
      <c r="B32" s="237"/>
      <c r="C32" s="221"/>
      <c r="D32" s="221"/>
      <c r="E32" s="83"/>
    </row>
    <row r="33" spans="2:5" ht="15.75">
      <c r="B33" s="237"/>
      <c r="C33" s="221"/>
      <c r="D33" s="221"/>
      <c r="E33" s="83"/>
    </row>
    <row r="34" spans="2:5" ht="15.75">
      <c r="B34" s="237"/>
      <c r="C34" s="221"/>
      <c r="D34" s="221"/>
      <c r="E34" s="83"/>
    </row>
    <row r="35" spans="2:5" ht="15.75">
      <c r="B35" s="237"/>
      <c r="C35" s="221"/>
      <c r="D35" s="221"/>
      <c r="E35" s="224"/>
    </row>
    <row r="36" spans="2:5" ht="15.75">
      <c r="B36" s="237"/>
      <c r="C36" s="221"/>
      <c r="D36" s="221"/>
      <c r="E36" s="224"/>
    </row>
    <row r="37" spans="2:5" ht="15.75">
      <c r="B37" s="237"/>
      <c r="C37" s="221"/>
      <c r="D37" s="221"/>
      <c r="E37" s="224"/>
    </row>
    <row r="38" spans="2:5" ht="15.75">
      <c r="B38" s="237"/>
      <c r="C38" s="221"/>
      <c r="D38" s="221"/>
      <c r="E38" s="224"/>
    </row>
    <row r="39" spans="2:5" ht="15.75">
      <c r="B39" s="237"/>
      <c r="C39" s="221"/>
      <c r="D39" s="221"/>
      <c r="E39" s="224"/>
    </row>
    <row r="40" spans="2:5" ht="15.75">
      <c r="B40" s="237"/>
      <c r="C40" s="221"/>
      <c r="D40" s="221"/>
      <c r="E40" s="224"/>
    </row>
    <row r="41" spans="2:5" ht="15.75">
      <c r="B41" s="237"/>
      <c r="C41" s="221"/>
      <c r="D41" s="221"/>
      <c r="E41" s="224"/>
    </row>
    <row r="42" spans="2:5" ht="15.75">
      <c r="B42" s="237"/>
      <c r="C42" s="221"/>
      <c r="D42" s="221"/>
      <c r="E42" s="224"/>
    </row>
    <row r="43" spans="2:5" ht="15.75">
      <c r="B43" s="237"/>
      <c r="C43" s="221"/>
      <c r="D43" s="221"/>
      <c r="E43" s="224"/>
    </row>
    <row r="44" spans="2:5" ht="15.75">
      <c r="B44" s="238" t="str">
        <f>CONCATENATE("Cash Forward (",E1," column)")</f>
        <v>Cash Forward (0 column)</v>
      </c>
      <c r="C44" s="221"/>
      <c r="D44" s="221"/>
      <c r="E44" s="224"/>
    </row>
    <row r="45" spans="2:5" ht="15.75">
      <c r="B45" s="238" t="s">
        <v>13</v>
      </c>
      <c r="C45" s="221"/>
      <c r="D45" s="221"/>
      <c r="E45" s="224"/>
    </row>
    <row r="46" spans="2:5" ht="15.75">
      <c r="B46" s="238" t="s">
        <v>735</v>
      </c>
      <c r="C46" s="226">
        <f>IF(C47*0.1&lt;C45,"Exceed 10% Rule","")</f>
      </c>
      <c r="D46" s="226">
        <f>IF(D47*0.1&lt;D45,"Exceed 10% Rule","")</f>
      </c>
      <c r="E46" s="262">
        <f>IF(E47*0.1&lt;E45,"Exceed 10% Rule","")</f>
      </c>
    </row>
    <row r="47" spans="2:5" ht="15.75">
      <c r="B47" s="228" t="s">
        <v>117</v>
      </c>
      <c r="C47" s="230">
        <f>SUM(C22:C45)</f>
        <v>0</v>
      </c>
      <c r="D47" s="230">
        <f>SUM(D22:D45)</f>
        <v>0</v>
      </c>
      <c r="E47" s="231">
        <f>SUM(E22:E45)</f>
        <v>0</v>
      </c>
    </row>
    <row r="48" spans="2:5" ht="15.75">
      <c r="B48" s="117" t="s">
        <v>211</v>
      </c>
      <c r="C48" s="234">
        <f>C20-C47</f>
        <v>0</v>
      </c>
      <c r="D48" s="234">
        <f>D20-D47</f>
        <v>0</v>
      </c>
      <c r="E48" s="67">
        <f>E20-E47</f>
        <v>0</v>
      </c>
    </row>
    <row r="49" spans="2:5" ht="15.75">
      <c r="B49" s="137" t="str">
        <f>CONCATENATE("",E1-2,"/",E1-1,"/",E1," Budget Authority Amount:")</f>
        <v>-2/-1/0 Budget Authority Amount:</v>
      </c>
      <c r="C49" s="669">
        <f>inputOth!B93</f>
        <v>0</v>
      </c>
      <c r="D49" s="669">
        <f>inputPrYr!D54</f>
        <v>0</v>
      </c>
      <c r="E49" s="696">
        <f>E47</f>
        <v>0</v>
      </c>
    </row>
    <row r="50" spans="2:5" ht="15.75">
      <c r="B50" s="103"/>
      <c r="C50" s="240">
        <f>IF(C47&gt;C49,"See Tab A","")</f>
      </c>
      <c r="D50" s="240">
        <f>IF(D47&gt;D49,"See Tab C","")</f>
      </c>
      <c r="E50" s="697">
        <f>IF(E48&lt;0,"See Tab E","")</f>
      </c>
    </row>
    <row r="51" spans="2:5" ht="15.75">
      <c r="B51" s="103"/>
      <c r="C51" s="240">
        <f>IF(C48&lt;0,"See Tab B","")</f>
      </c>
      <c r="D51" s="240">
        <f>IF(D48&lt;0,"See Tab D","")</f>
      </c>
      <c r="E51" s="55"/>
    </row>
    <row r="52" spans="2:5" ht="15">
      <c r="B52" s="55"/>
      <c r="C52" s="55"/>
      <c r="D52" s="55"/>
      <c r="E52" s="55"/>
    </row>
    <row r="53" spans="2:5" ht="15.75">
      <c r="B53" s="364" t="s">
        <v>120</v>
      </c>
      <c r="C53" s="743"/>
      <c r="D53" s="55"/>
      <c r="E53" s="55"/>
    </row>
  </sheetData>
  <sheetProtection sheet="1"/>
  <conditionalFormatting sqref="E17">
    <cfRule type="cellIs" priority="5" dxfId="338" operator="greaterThan" stopIfTrue="1">
      <formula>$E$19*0.1</formula>
    </cfRule>
  </conditionalFormatting>
  <conditionalFormatting sqref="E45">
    <cfRule type="cellIs" priority="6" dxfId="338" operator="greaterThan" stopIfTrue="1">
      <formula>$E$47*0.1</formula>
    </cfRule>
  </conditionalFormatting>
  <conditionalFormatting sqref="C45">
    <cfRule type="cellIs" priority="7" dxfId="0" operator="greaterThan" stopIfTrue="1">
      <formula>$C$47*0.1</formula>
    </cfRule>
  </conditionalFormatting>
  <conditionalFormatting sqref="D45">
    <cfRule type="cellIs" priority="8" dxfId="0" operator="greaterThan" stopIfTrue="1">
      <formula>$D$47*0.1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4" dxfId="1" operator="lessThan" stopIfTrue="1">
      <formula>0</formula>
    </cfRule>
  </conditionalFormatting>
  <conditionalFormatting sqref="D17">
    <cfRule type="cellIs" priority="3" dxfId="1" operator="greaterThan" stopIfTrue="1">
      <formula>$D$19*0.1</formula>
    </cfRule>
  </conditionalFormatting>
  <conditionalFormatting sqref="C17">
    <cfRule type="cellIs" priority="2" dxfId="1" operator="greaterThan" stopIfTrue="1">
      <formula>$C$19*0.1</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8" sqref="Q88"/>
    </sheetView>
  </sheetViews>
  <sheetFormatPr defaultColWidth="8.796875" defaultRowHeight="15"/>
  <cols>
    <col min="1" max="1" width="2.3984375" style="81" customWidth="1"/>
    <col min="2" max="2" width="31.09765625" style="81" customWidth="1"/>
    <col min="3" max="4" width="15.796875" style="81" customWidth="1"/>
    <col min="5" max="5" width="16.59765625" style="81" customWidth="1"/>
    <col min="6" max="16384" width="8.8984375" style="81" customWidth="1"/>
  </cols>
  <sheetData>
    <row r="1" spans="2:5" ht="15.75">
      <c r="B1" s="161">
        <f>(inputPrYr!D3)</f>
        <v>0</v>
      </c>
      <c r="C1" s="43"/>
      <c r="D1" s="43"/>
      <c r="E1" s="183">
        <f>inputPrYr!$C$6</f>
        <v>0</v>
      </c>
    </row>
    <row r="2" spans="2:5" ht="15.75">
      <c r="B2" s="43"/>
      <c r="C2" s="43"/>
      <c r="D2" s="43"/>
      <c r="E2" s="135"/>
    </row>
    <row r="3" spans="2:5" ht="15.75">
      <c r="B3" s="213" t="s">
        <v>169</v>
      </c>
      <c r="C3" s="259"/>
      <c r="D3" s="259"/>
      <c r="E3" s="260"/>
    </row>
    <row r="4" spans="2:5" ht="15.75">
      <c r="B4" s="44" t="s">
        <v>101</v>
      </c>
      <c r="C4" s="663" t="s">
        <v>892</v>
      </c>
      <c r="D4" s="664" t="s">
        <v>893</v>
      </c>
      <c r="E4" s="111" t="s">
        <v>894</v>
      </c>
    </row>
    <row r="5" spans="2:5" ht="15.75">
      <c r="B5" s="489">
        <f>(inputPrYr!B55)</f>
        <v>0</v>
      </c>
      <c r="C5" s="189" t="str">
        <f>CONCATENATE("Actual for ",E1-2,"")</f>
        <v>Actual for -2</v>
      </c>
      <c r="D5" s="189" t="str">
        <f>CONCATENATE("Estimate for ",E1-1,"")</f>
        <v>Estimate for -1</v>
      </c>
      <c r="E5" s="172" t="str">
        <f>CONCATENATE("Year for ",E1,"")</f>
        <v>Year for 0</v>
      </c>
    </row>
    <row r="6" spans="2:5" ht="15.75">
      <c r="B6" s="117" t="s">
        <v>210</v>
      </c>
      <c r="C6" s="221"/>
      <c r="D6" s="219">
        <f>C48</f>
        <v>0</v>
      </c>
      <c r="E6" s="192">
        <f>D48</f>
        <v>0</v>
      </c>
    </row>
    <row r="7" spans="2:5" ht="15.75">
      <c r="B7" s="248" t="s">
        <v>212</v>
      </c>
      <c r="C7" s="126"/>
      <c r="D7" s="126"/>
      <c r="E7" s="69"/>
    </row>
    <row r="8" spans="2:5" ht="15.75">
      <c r="B8" s="237"/>
      <c r="C8" s="221"/>
      <c r="D8" s="221"/>
      <c r="E8" s="224"/>
    </row>
    <row r="9" spans="2:5" ht="15.75">
      <c r="B9" s="237"/>
      <c r="C9" s="221"/>
      <c r="D9" s="221"/>
      <c r="E9" s="224"/>
    </row>
    <row r="10" spans="2:5" ht="15.75">
      <c r="B10" s="237"/>
      <c r="C10" s="221"/>
      <c r="D10" s="221"/>
      <c r="E10" s="224"/>
    </row>
    <row r="11" spans="2:5" ht="15.75">
      <c r="B11" s="237"/>
      <c r="C11" s="221"/>
      <c r="D11" s="221"/>
      <c r="E11" s="224"/>
    </row>
    <row r="12" spans="2:5" ht="15.75">
      <c r="B12" s="237"/>
      <c r="C12" s="221"/>
      <c r="D12" s="221"/>
      <c r="E12" s="224"/>
    </row>
    <row r="13" spans="2:5" ht="15.75">
      <c r="B13" s="237"/>
      <c r="C13" s="221"/>
      <c r="D13" s="221"/>
      <c r="E13" s="224"/>
    </row>
    <row r="14" spans="2:5" ht="15.75">
      <c r="B14" s="254"/>
      <c r="C14" s="221"/>
      <c r="D14" s="221"/>
      <c r="E14" s="83"/>
    </row>
    <row r="15" spans="2:5" ht="15.75">
      <c r="B15" s="237"/>
      <c r="C15" s="221"/>
      <c r="D15" s="221"/>
      <c r="E15" s="224"/>
    </row>
    <row r="16" spans="2:5" ht="15.75">
      <c r="B16" s="261" t="s">
        <v>109</v>
      </c>
      <c r="C16" s="221"/>
      <c r="D16" s="221"/>
      <c r="E16" s="224"/>
    </row>
    <row r="17" spans="2:5" ht="15.75">
      <c r="B17" s="126" t="s">
        <v>13</v>
      </c>
      <c r="C17" s="221"/>
      <c r="D17" s="221"/>
      <c r="E17" s="224"/>
    </row>
    <row r="18" spans="2:5" ht="15.75">
      <c r="B18" s="216" t="s">
        <v>734</v>
      </c>
      <c r="C18" s="226">
        <f>IF(C19*0.1&lt;C17,"Exceed 10% Rule","")</f>
      </c>
      <c r="D18" s="226">
        <f>IF(D19*0.1&lt;D17,"Exceed 10% Rule","")</f>
      </c>
      <c r="E18" s="262">
        <f>IF(E19*0.1&lt;E17,"Exceed 10% Rule","")</f>
      </c>
    </row>
    <row r="19" spans="2:5" ht="15.75">
      <c r="B19" s="228" t="s">
        <v>110</v>
      </c>
      <c r="C19" s="230">
        <f>SUM(C8:C17)</f>
        <v>0</v>
      </c>
      <c r="D19" s="230">
        <f>SUM(D8:D17)</f>
        <v>0</v>
      </c>
      <c r="E19" s="231">
        <f>SUM(E8:E17)</f>
        <v>0</v>
      </c>
    </row>
    <row r="20" spans="2:5" ht="15.75">
      <c r="B20" s="228" t="s">
        <v>111</v>
      </c>
      <c r="C20" s="230">
        <f>C6+C19</f>
        <v>0</v>
      </c>
      <c r="D20" s="230">
        <f>D6+D19</f>
        <v>0</v>
      </c>
      <c r="E20" s="231">
        <f>E6+E19</f>
        <v>0</v>
      </c>
    </row>
    <row r="21" spans="2:5" ht="15.75">
      <c r="B21" s="117" t="s">
        <v>113</v>
      </c>
      <c r="C21" s="126"/>
      <c r="D21" s="126"/>
      <c r="E21" s="69"/>
    </row>
    <row r="22" spans="2:5" ht="15.75">
      <c r="B22" s="237" t="s">
        <v>248</v>
      </c>
      <c r="C22" s="221"/>
      <c r="D22" s="221"/>
      <c r="E22" s="224"/>
    </row>
    <row r="23" spans="2:5" ht="15.75">
      <c r="B23" s="237" t="s">
        <v>21</v>
      </c>
      <c r="C23" s="221"/>
      <c r="D23" s="221"/>
      <c r="E23" s="224"/>
    </row>
    <row r="24" spans="2:5" ht="15.75">
      <c r="B24" s="237"/>
      <c r="C24" s="221"/>
      <c r="D24" s="221"/>
      <c r="E24" s="83"/>
    </row>
    <row r="25" spans="2:5" ht="15.75">
      <c r="B25" s="237"/>
      <c r="C25" s="221"/>
      <c r="D25" s="221"/>
      <c r="E25" s="83"/>
    </row>
    <row r="26" spans="2:5" ht="15.75">
      <c r="B26" s="237"/>
      <c r="C26" s="221"/>
      <c r="D26" s="221"/>
      <c r="E26" s="83"/>
    </row>
    <row r="27" spans="2:5" ht="15.75">
      <c r="B27" s="237"/>
      <c r="C27" s="221"/>
      <c r="D27" s="221"/>
      <c r="E27" s="83"/>
    </row>
    <row r="28" spans="2:5" ht="15.75">
      <c r="B28" s="237"/>
      <c r="C28" s="221"/>
      <c r="D28" s="221"/>
      <c r="E28" s="83"/>
    </row>
    <row r="29" spans="2:5" ht="15.75">
      <c r="B29" s="237"/>
      <c r="C29" s="221"/>
      <c r="D29" s="221"/>
      <c r="E29" s="83"/>
    </row>
    <row r="30" spans="2:5" ht="15.75">
      <c r="B30" s="237"/>
      <c r="C30" s="221"/>
      <c r="D30" s="221"/>
      <c r="E30" s="83"/>
    </row>
    <row r="31" spans="2:5" ht="15.75">
      <c r="B31" s="237"/>
      <c r="C31" s="221"/>
      <c r="D31" s="221"/>
      <c r="E31" s="83"/>
    </row>
    <row r="32" spans="2:5" ht="15.75">
      <c r="B32" s="237"/>
      <c r="C32" s="221"/>
      <c r="D32" s="221"/>
      <c r="E32" s="83"/>
    </row>
    <row r="33" spans="2:5" ht="15.75">
      <c r="B33" s="237"/>
      <c r="C33" s="221"/>
      <c r="D33" s="221"/>
      <c r="E33" s="83"/>
    </row>
    <row r="34" spans="2:5" ht="15.75">
      <c r="B34" s="237"/>
      <c r="C34" s="221"/>
      <c r="D34" s="221"/>
      <c r="E34" s="83"/>
    </row>
    <row r="35" spans="2:5" ht="15.75">
      <c r="B35" s="237"/>
      <c r="C35" s="221"/>
      <c r="D35" s="221"/>
      <c r="E35" s="224"/>
    </row>
    <row r="36" spans="2:5" ht="15.75">
      <c r="B36" s="237"/>
      <c r="C36" s="221"/>
      <c r="D36" s="221"/>
      <c r="E36" s="224"/>
    </row>
    <row r="37" spans="2:5" ht="15.75">
      <c r="B37" s="237"/>
      <c r="C37" s="221"/>
      <c r="D37" s="221"/>
      <c r="E37" s="224"/>
    </row>
    <row r="38" spans="2:5" ht="15.75">
      <c r="B38" s="237"/>
      <c r="C38" s="221"/>
      <c r="D38" s="221"/>
      <c r="E38" s="224"/>
    </row>
    <row r="39" spans="2:5" ht="15.75">
      <c r="B39" s="237"/>
      <c r="C39" s="221"/>
      <c r="D39" s="221"/>
      <c r="E39" s="224"/>
    </row>
    <row r="40" spans="2:5" ht="15.75">
      <c r="B40" s="237"/>
      <c r="C40" s="221"/>
      <c r="D40" s="221"/>
      <c r="E40" s="224"/>
    </row>
    <row r="41" spans="2:5" ht="15.75">
      <c r="B41" s="237"/>
      <c r="C41" s="221"/>
      <c r="D41" s="221"/>
      <c r="E41" s="224"/>
    </row>
    <row r="42" spans="2:5" ht="15.75">
      <c r="B42" s="237"/>
      <c r="C42" s="221"/>
      <c r="D42" s="221"/>
      <c r="E42" s="224"/>
    </row>
    <row r="43" spans="2:5" ht="15.75">
      <c r="B43" s="237"/>
      <c r="C43" s="221"/>
      <c r="D43" s="221"/>
      <c r="E43" s="224"/>
    </row>
    <row r="44" spans="2:5" ht="15.75">
      <c r="B44" s="238" t="str">
        <f>CONCATENATE("Cash Forward (",E1," column)")</f>
        <v>Cash Forward (0 column)</v>
      </c>
      <c r="C44" s="221"/>
      <c r="D44" s="221"/>
      <c r="E44" s="224"/>
    </row>
    <row r="45" spans="2:5" ht="15.75">
      <c r="B45" s="238" t="s">
        <v>13</v>
      </c>
      <c r="C45" s="221"/>
      <c r="D45" s="221"/>
      <c r="E45" s="224"/>
    </row>
    <row r="46" spans="2:5" ht="15.75">
      <c r="B46" s="238" t="s">
        <v>735</v>
      </c>
      <c r="C46" s="226">
        <f>IF(C47*0.1&lt;C45,"Exceed 10% Rule","")</f>
      </c>
      <c r="D46" s="226">
        <f>IF(D47*0.1&lt;D45,"Exceed 10% Rule","")</f>
      </c>
      <c r="E46" s="262">
        <f>IF(E47*0.1&lt;E45,"Exceed 10% Rule","")</f>
      </c>
    </row>
    <row r="47" spans="2:5" ht="15.75">
      <c r="B47" s="228" t="s">
        <v>117</v>
      </c>
      <c r="C47" s="230">
        <f>SUM(C22:C45)</f>
        <v>0</v>
      </c>
      <c r="D47" s="230">
        <f>SUM(D22:D45)</f>
        <v>0</v>
      </c>
      <c r="E47" s="231">
        <f>SUM(E22:E45)</f>
        <v>0</v>
      </c>
    </row>
    <row r="48" spans="2:5" ht="15.75">
      <c r="B48" s="117" t="s">
        <v>211</v>
      </c>
      <c r="C48" s="234">
        <f>C20-C47</f>
        <v>0</v>
      </c>
      <c r="D48" s="234">
        <f>D20-D47</f>
        <v>0</v>
      </c>
      <c r="E48" s="67">
        <f>E20-E47</f>
        <v>0</v>
      </c>
    </row>
    <row r="49" spans="2:5" ht="15.75">
      <c r="B49" s="137" t="str">
        <f>CONCATENATE("",E1-2,"/",E1-1,"/",E1," Budget Authority Amount:")</f>
        <v>-2/-1/0 Budget Authority Amount:</v>
      </c>
      <c r="C49" s="669">
        <f>inputOth!B94</f>
        <v>0</v>
      </c>
      <c r="D49" s="669">
        <f>inputPrYr!D55</f>
        <v>0</v>
      </c>
      <c r="E49" s="696">
        <f>E47</f>
        <v>0</v>
      </c>
    </row>
    <row r="50" spans="2:5" ht="15.75">
      <c r="B50" s="103"/>
      <c r="C50" s="240">
        <f>IF(C47&gt;C49,"See Tab A","")</f>
      </c>
      <c r="D50" s="240">
        <f>IF(D47&gt;D49,"See Tab C","")</f>
      </c>
      <c r="E50" s="697">
        <f>IF(E48&lt;0,"See Tab E","")</f>
      </c>
    </row>
    <row r="51" spans="2:5" ht="15.75">
      <c r="B51" s="103"/>
      <c r="C51" s="240">
        <f>IF(C48&lt;0,"See Tab B","")</f>
      </c>
      <c r="D51" s="240">
        <f>IF(D48&lt;0,"See Tab D","")</f>
      </c>
      <c r="E51" s="55"/>
    </row>
    <row r="52" spans="2:5" ht="15">
      <c r="B52" s="55"/>
      <c r="C52" s="55"/>
      <c r="D52" s="55"/>
      <c r="E52" s="55"/>
    </row>
    <row r="53" spans="2:5" ht="15.75">
      <c r="B53" s="364" t="s">
        <v>120</v>
      </c>
      <c r="C53" s="743"/>
      <c r="D53" s="55"/>
      <c r="E53" s="55"/>
    </row>
  </sheetData>
  <sheetProtection sheet="1"/>
  <conditionalFormatting sqref="E17">
    <cfRule type="cellIs" priority="5" dxfId="338" operator="greaterThan" stopIfTrue="1">
      <formula>$E$19*0.1</formula>
    </cfRule>
  </conditionalFormatting>
  <conditionalFormatting sqref="E45">
    <cfRule type="cellIs" priority="6" dxfId="338" operator="greaterThan" stopIfTrue="1">
      <formula>$E$47*0.1</formula>
    </cfRule>
  </conditionalFormatting>
  <conditionalFormatting sqref="E48 C48">
    <cfRule type="cellIs" priority="7" dxfId="0" operator="lessThan" stopIfTrue="1">
      <formula>0</formula>
    </cfRule>
  </conditionalFormatting>
  <conditionalFormatting sqref="D45">
    <cfRule type="cellIs" priority="8" dxfId="0" operator="greaterThan" stopIfTrue="1">
      <formula>$D$47*0.1</formula>
    </cfRule>
  </conditionalFormatting>
  <conditionalFormatting sqref="C45">
    <cfRule type="cellIs" priority="9" dxfId="0" operator="greaterThan" stopIfTrue="1">
      <formula>$C$47*0.1</formula>
    </cfRule>
  </conditionalFormatting>
  <conditionalFormatting sqref="D47">
    <cfRule type="cellIs" priority="10" dxfId="0" operator="greaterThan" stopIfTrue="1">
      <formula>$D$49</formula>
    </cfRule>
  </conditionalFormatting>
  <conditionalFormatting sqref="C47">
    <cfRule type="cellIs" priority="11" dxfId="0" operator="greaterThan" stopIfTrue="1">
      <formula>$C$49</formula>
    </cfRule>
  </conditionalFormatting>
  <conditionalFormatting sqref="D48">
    <cfRule type="cellIs" priority="4" dxfId="1" operator="lessThan" stopIfTrue="1">
      <formula>0</formula>
    </cfRule>
  </conditionalFormatting>
  <conditionalFormatting sqref="D17">
    <cfRule type="cellIs" priority="3" dxfId="1" operator="greaterThan" stopIfTrue="1">
      <formula>$D$198*0.1</formula>
    </cfRule>
  </conditionalFormatting>
  <conditionalFormatting sqref="C17">
    <cfRule type="cellIs" priority="2" dxfId="1" operator="greaterThan" stopIfTrue="1">
      <formula>$C$19*0.1</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9" sqref="T59"/>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40">
        <f>inputPrYr!$D$3</f>
        <v>0</v>
      </c>
      <c r="B1" s="263"/>
      <c r="C1" s="139"/>
      <c r="D1" s="139"/>
      <c r="E1" s="139"/>
      <c r="F1" s="141" t="s">
        <v>224</v>
      </c>
      <c r="G1" s="139"/>
      <c r="H1" s="139"/>
      <c r="I1" s="139"/>
      <c r="J1" s="139"/>
      <c r="K1" s="139">
        <f>inputPrYr!$C$6</f>
        <v>0</v>
      </c>
    </row>
    <row r="2" spans="1:11" ht="15.75">
      <c r="A2" s="139"/>
      <c r="B2" s="139"/>
      <c r="C2" s="139"/>
      <c r="D2" s="139"/>
      <c r="E2" s="139"/>
      <c r="F2" s="264" t="str">
        <f>CONCATENATE("(Only the actual budget year for ",K1-2," is to be shown)")</f>
        <v>(Only the actual budget year for -2 is to be shown)</v>
      </c>
      <c r="G2" s="139"/>
      <c r="H2" s="139"/>
      <c r="I2" s="139"/>
      <c r="J2" s="139"/>
      <c r="K2" s="139"/>
    </row>
    <row r="3" spans="1:11" ht="15.75">
      <c r="A3" s="139" t="s">
        <v>269</v>
      </c>
      <c r="B3" s="139"/>
      <c r="C3" s="139"/>
      <c r="D3" s="139"/>
      <c r="E3" s="139"/>
      <c r="F3" s="265"/>
      <c r="G3" s="139"/>
      <c r="H3" s="139"/>
      <c r="I3" s="139"/>
      <c r="J3" s="139"/>
      <c r="K3" s="139"/>
    </row>
    <row r="4" spans="1:11" ht="15.75">
      <c r="A4" s="139" t="s">
        <v>225</v>
      </c>
      <c r="B4" s="139"/>
      <c r="C4" s="139" t="s">
        <v>226</v>
      </c>
      <c r="D4" s="139"/>
      <c r="E4" s="139" t="s">
        <v>227</v>
      </c>
      <c r="F4" s="263"/>
      <c r="G4" s="139" t="s">
        <v>228</v>
      </c>
      <c r="H4" s="139"/>
      <c r="I4" s="139" t="s">
        <v>229</v>
      </c>
      <c r="J4" s="139"/>
      <c r="K4" s="139"/>
    </row>
    <row r="5" spans="1:11" ht="15.75">
      <c r="A5" s="911" t="str">
        <f>IF(inputPrYr!B58&gt;" ",(inputPrYr!B58)," ")</f>
        <v> </v>
      </c>
      <c r="B5" s="912"/>
      <c r="C5" s="911" t="str">
        <f>IF(inputPrYr!B59&gt;" ",(inputPrYr!B59)," ")</f>
        <v> </v>
      </c>
      <c r="D5" s="912"/>
      <c r="E5" s="911" t="str">
        <f>IF(inputPrYr!B60&gt;" ",(inputPrYr!B60)," ")</f>
        <v> </v>
      </c>
      <c r="F5" s="912"/>
      <c r="G5" s="911" t="str">
        <f>IF(inputPrYr!B61&gt;" ",(inputPrYr!B61)," ")</f>
        <v> </v>
      </c>
      <c r="H5" s="912"/>
      <c r="I5" s="911" t="str">
        <f>IF(inputPrYr!B62&gt;" ",(inputPrYr!B62)," ")</f>
        <v> </v>
      </c>
      <c r="J5" s="912"/>
      <c r="K5" s="91"/>
    </row>
    <row r="6" spans="1:11" ht="15.75">
      <c r="A6" s="267" t="s">
        <v>230</v>
      </c>
      <c r="B6" s="268"/>
      <c r="C6" s="269" t="s">
        <v>230</v>
      </c>
      <c r="D6" s="270"/>
      <c r="E6" s="269" t="s">
        <v>230</v>
      </c>
      <c r="F6" s="266"/>
      <c r="G6" s="269" t="s">
        <v>230</v>
      </c>
      <c r="H6" s="271"/>
      <c r="I6" s="269" t="s">
        <v>230</v>
      </c>
      <c r="J6" s="139"/>
      <c r="K6" s="272" t="s">
        <v>74</v>
      </c>
    </row>
    <row r="7" spans="1:11" ht="15.75">
      <c r="A7" s="273" t="s">
        <v>18</v>
      </c>
      <c r="B7" s="274"/>
      <c r="C7" s="275" t="s">
        <v>18</v>
      </c>
      <c r="D7" s="274"/>
      <c r="E7" s="275" t="s">
        <v>18</v>
      </c>
      <c r="F7" s="274"/>
      <c r="G7" s="275" t="s">
        <v>18</v>
      </c>
      <c r="H7" s="274"/>
      <c r="I7" s="275" t="s">
        <v>18</v>
      </c>
      <c r="J7" s="274"/>
      <c r="K7" s="276">
        <f>SUM(B7+D7+F7+H7+J7)</f>
        <v>0</v>
      </c>
    </row>
    <row r="8" spans="1:11" ht="15.75">
      <c r="A8" s="277" t="s">
        <v>212</v>
      </c>
      <c r="B8" s="278"/>
      <c r="C8" s="277" t="s">
        <v>212</v>
      </c>
      <c r="D8" s="279"/>
      <c r="E8" s="277" t="s">
        <v>212</v>
      </c>
      <c r="F8" s="263"/>
      <c r="G8" s="277" t="s">
        <v>212</v>
      </c>
      <c r="H8" s="139"/>
      <c r="I8" s="277" t="s">
        <v>212</v>
      </c>
      <c r="J8" s="139"/>
      <c r="K8" s="263"/>
    </row>
    <row r="9" spans="1:11" ht="15.75">
      <c r="A9" s="280"/>
      <c r="B9" s="274"/>
      <c r="C9" s="280"/>
      <c r="D9" s="274"/>
      <c r="E9" s="280"/>
      <c r="F9" s="274"/>
      <c r="G9" s="280"/>
      <c r="H9" s="274"/>
      <c r="I9" s="280"/>
      <c r="J9" s="274"/>
      <c r="K9" s="263"/>
    </row>
    <row r="10" spans="1:11" ht="15.75">
      <c r="A10" s="280"/>
      <c r="B10" s="274"/>
      <c r="C10" s="280"/>
      <c r="D10" s="274"/>
      <c r="E10" s="280"/>
      <c r="F10" s="274"/>
      <c r="G10" s="280"/>
      <c r="H10" s="274"/>
      <c r="I10" s="280"/>
      <c r="J10" s="274"/>
      <c r="K10" s="263"/>
    </row>
    <row r="11" spans="1:11" ht="15.75">
      <c r="A11" s="280"/>
      <c r="B11" s="274"/>
      <c r="C11" s="281"/>
      <c r="D11" s="274"/>
      <c r="E11" s="281"/>
      <c r="F11" s="274"/>
      <c r="G11" s="281"/>
      <c r="H11" s="274"/>
      <c r="I11" s="282"/>
      <c r="J11" s="274"/>
      <c r="K11" s="263"/>
    </row>
    <row r="12" spans="1:11" ht="15.75">
      <c r="A12" s="280"/>
      <c r="B12" s="274"/>
      <c r="C12" s="280"/>
      <c r="D12" s="274"/>
      <c r="E12" s="283"/>
      <c r="F12" s="274"/>
      <c r="G12" s="283"/>
      <c r="H12" s="274"/>
      <c r="I12" s="283"/>
      <c r="J12" s="274"/>
      <c r="K12" s="263"/>
    </row>
    <row r="13" spans="1:11" ht="15.75">
      <c r="A13" s="284"/>
      <c r="B13" s="274"/>
      <c r="C13" s="285"/>
      <c r="D13" s="274"/>
      <c r="E13" s="285"/>
      <c r="F13" s="274"/>
      <c r="G13" s="285"/>
      <c r="H13" s="274"/>
      <c r="I13" s="282"/>
      <c r="J13" s="274"/>
      <c r="K13" s="263"/>
    </row>
    <row r="14" spans="1:11" ht="15.75">
      <c r="A14" s="280"/>
      <c r="B14" s="274"/>
      <c r="C14" s="283"/>
      <c r="D14" s="274"/>
      <c r="E14" s="283"/>
      <c r="F14" s="274"/>
      <c r="G14" s="283"/>
      <c r="H14" s="274"/>
      <c r="I14" s="283"/>
      <c r="J14" s="274"/>
      <c r="K14" s="263"/>
    </row>
    <row r="15" spans="1:11" ht="15.75">
      <c r="A15" s="280"/>
      <c r="B15" s="274"/>
      <c r="C15" s="283"/>
      <c r="D15" s="274"/>
      <c r="E15" s="283"/>
      <c r="F15" s="274"/>
      <c r="G15" s="283"/>
      <c r="H15" s="274"/>
      <c r="I15" s="283"/>
      <c r="J15" s="274"/>
      <c r="K15" s="263"/>
    </row>
    <row r="16" spans="1:11" ht="15.75">
      <c r="A16" s="280"/>
      <c r="B16" s="274"/>
      <c r="C16" s="280"/>
      <c r="D16" s="274"/>
      <c r="E16" s="280"/>
      <c r="F16" s="274"/>
      <c r="G16" s="283"/>
      <c r="H16" s="274"/>
      <c r="I16" s="280"/>
      <c r="J16" s="274"/>
      <c r="K16" s="263"/>
    </row>
    <row r="17" spans="1:11" ht="15.75">
      <c r="A17" s="277" t="s">
        <v>110</v>
      </c>
      <c r="B17" s="276">
        <f>SUM(B9:B16)</f>
        <v>0</v>
      </c>
      <c r="C17" s="277" t="s">
        <v>110</v>
      </c>
      <c r="D17" s="276">
        <f>SUM(D9:D16)</f>
        <v>0</v>
      </c>
      <c r="E17" s="277" t="s">
        <v>110</v>
      </c>
      <c r="F17" s="339">
        <f>SUM(F9:F16)</f>
        <v>0</v>
      </c>
      <c r="G17" s="277" t="s">
        <v>110</v>
      </c>
      <c r="H17" s="276">
        <f>SUM(H9:H16)</f>
        <v>0</v>
      </c>
      <c r="I17" s="277" t="s">
        <v>110</v>
      </c>
      <c r="J17" s="276">
        <f>SUM(J9:J16)</f>
        <v>0</v>
      </c>
      <c r="K17" s="276">
        <f>SUM(B17+D17+F17+H17+J17)</f>
        <v>0</v>
      </c>
    </row>
    <row r="18" spans="1:11" ht="15.75">
      <c r="A18" s="277" t="s">
        <v>111</v>
      </c>
      <c r="B18" s="276">
        <f>SUM(B7+B17)</f>
        <v>0</v>
      </c>
      <c r="C18" s="277" t="s">
        <v>111</v>
      </c>
      <c r="D18" s="276">
        <f>SUM(D7+D17)</f>
        <v>0</v>
      </c>
      <c r="E18" s="277" t="s">
        <v>111</v>
      </c>
      <c r="F18" s="276">
        <f>SUM(F7+F17)</f>
        <v>0</v>
      </c>
      <c r="G18" s="277" t="s">
        <v>111</v>
      </c>
      <c r="H18" s="276">
        <f>SUM(H7+H17)</f>
        <v>0</v>
      </c>
      <c r="I18" s="277" t="s">
        <v>111</v>
      </c>
      <c r="J18" s="276">
        <f>SUM(J7+J17)</f>
        <v>0</v>
      </c>
      <c r="K18" s="276">
        <f>SUM(B18+D18+F18+H18+J18)</f>
        <v>0</v>
      </c>
    </row>
    <row r="19" spans="1:11" ht="15.75">
      <c r="A19" s="277" t="s">
        <v>113</v>
      </c>
      <c r="B19" s="278"/>
      <c r="C19" s="277" t="s">
        <v>113</v>
      </c>
      <c r="D19" s="279"/>
      <c r="E19" s="277" t="s">
        <v>113</v>
      </c>
      <c r="F19" s="263"/>
      <c r="G19" s="277" t="s">
        <v>113</v>
      </c>
      <c r="H19" s="139"/>
      <c r="I19" s="277" t="s">
        <v>113</v>
      </c>
      <c r="J19" s="139"/>
      <c r="K19" s="263"/>
    </row>
    <row r="20" spans="1:11" ht="15.75">
      <c r="A20" s="280"/>
      <c r="B20" s="274"/>
      <c r="C20" s="283"/>
      <c r="D20" s="274"/>
      <c r="E20" s="283"/>
      <c r="F20" s="274"/>
      <c r="G20" s="283"/>
      <c r="H20" s="274"/>
      <c r="I20" s="283"/>
      <c r="J20" s="274"/>
      <c r="K20" s="263"/>
    </row>
    <row r="21" spans="1:11" ht="15.75">
      <c r="A21" s="280"/>
      <c r="B21" s="274"/>
      <c r="C21" s="283"/>
      <c r="D21" s="274"/>
      <c r="E21" s="283"/>
      <c r="F21" s="274"/>
      <c r="G21" s="283"/>
      <c r="H21" s="274"/>
      <c r="I21" s="283"/>
      <c r="J21" s="274"/>
      <c r="K21" s="263"/>
    </row>
    <row r="22" spans="1:11" ht="15.75">
      <c r="A22" s="280"/>
      <c r="B22" s="274"/>
      <c r="C22" s="285"/>
      <c r="D22" s="274"/>
      <c r="E22" s="285"/>
      <c r="F22" s="274"/>
      <c r="G22" s="285"/>
      <c r="H22" s="274"/>
      <c r="I22" s="282"/>
      <c r="J22" s="274"/>
      <c r="K22" s="263"/>
    </row>
    <row r="23" spans="1:11" ht="15.75">
      <c r="A23" s="280"/>
      <c r="B23" s="274"/>
      <c r="C23" s="283"/>
      <c r="D23" s="274"/>
      <c r="E23" s="283"/>
      <c r="F23" s="274"/>
      <c r="G23" s="283"/>
      <c r="H23" s="274"/>
      <c r="I23" s="283"/>
      <c r="J23" s="274"/>
      <c r="K23" s="263"/>
    </row>
    <row r="24" spans="1:11" ht="15.75">
      <c r="A24" s="280"/>
      <c r="B24" s="274"/>
      <c r="C24" s="285"/>
      <c r="D24" s="274"/>
      <c r="E24" s="285"/>
      <c r="F24" s="274"/>
      <c r="G24" s="285"/>
      <c r="H24" s="274"/>
      <c r="I24" s="282"/>
      <c r="J24" s="274"/>
      <c r="K24" s="263"/>
    </row>
    <row r="25" spans="1:11" ht="15.75">
      <c r="A25" s="280"/>
      <c r="B25" s="274"/>
      <c r="C25" s="283"/>
      <c r="D25" s="274"/>
      <c r="E25" s="283"/>
      <c r="F25" s="274"/>
      <c r="G25" s="283"/>
      <c r="H25" s="274"/>
      <c r="I25" s="283"/>
      <c r="J25" s="274"/>
      <c r="K25" s="263"/>
    </row>
    <row r="26" spans="1:11" ht="15.75">
      <c r="A26" s="280"/>
      <c r="B26" s="274"/>
      <c r="C26" s="283"/>
      <c r="D26" s="274"/>
      <c r="E26" s="283"/>
      <c r="F26" s="274"/>
      <c r="G26" s="283"/>
      <c r="H26" s="274"/>
      <c r="I26" s="283"/>
      <c r="J26" s="274"/>
      <c r="K26" s="263"/>
    </row>
    <row r="27" spans="1:11" ht="15.75">
      <c r="A27" s="280"/>
      <c r="B27" s="274"/>
      <c r="C27" s="280"/>
      <c r="D27" s="274"/>
      <c r="E27" s="280"/>
      <c r="F27" s="274"/>
      <c r="G27" s="283"/>
      <c r="H27" s="274"/>
      <c r="I27" s="283"/>
      <c r="J27" s="274"/>
      <c r="K27" s="263"/>
    </row>
    <row r="28" spans="1:11" ht="15.75">
      <c r="A28" s="277" t="s">
        <v>117</v>
      </c>
      <c r="B28" s="276">
        <f>SUM(B20:B27)</f>
        <v>0</v>
      </c>
      <c r="C28" s="277" t="s">
        <v>117</v>
      </c>
      <c r="D28" s="276">
        <f>SUM(D20:D27)</f>
        <v>0</v>
      </c>
      <c r="E28" s="277" t="s">
        <v>117</v>
      </c>
      <c r="F28" s="339">
        <f>SUM(F20:F27)</f>
        <v>0</v>
      </c>
      <c r="G28" s="277" t="s">
        <v>117</v>
      </c>
      <c r="H28" s="339">
        <f>SUM(H20:H27)</f>
        <v>0</v>
      </c>
      <c r="I28" s="277" t="s">
        <v>117</v>
      </c>
      <c r="J28" s="276">
        <f>SUM(J20:J27)</f>
        <v>0</v>
      </c>
      <c r="K28" s="276">
        <f>SUM(B28+D28+F28+H28+J28)</f>
        <v>0</v>
      </c>
    </row>
    <row r="29" spans="1:12" ht="15.75">
      <c r="A29" s="277" t="s">
        <v>231</v>
      </c>
      <c r="B29" s="276">
        <f>SUM(B18-B28)</f>
        <v>0</v>
      </c>
      <c r="C29" s="277" t="s">
        <v>231</v>
      </c>
      <c r="D29" s="276">
        <f>SUM(D18-D28)</f>
        <v>0</v>
      </c>
      <c r="E29" s="277" t="s">
        <v>231</v>
      </c>
      <c r="F29" s="276">
        <f>SUM(F18-F28)</f>
        <v>0</v>
      </c>
      <c r="G29" s="277" t="s">
        <v>231</v>
      </c>
      <c r="H29" s="276">
        <f>SUM(H18-H28)</f>
        <v>0</v>
      </c>
      <c r="I29" s="277" t="s">
        <v>231</v>
      </c>
      <c r="J29" s="276">
        <f>SUM(J18-J28)</f>
        <v>0</v>
      </c>
      <c r="K29" s="286">
        <f>SUM(B29+D29+F29+H29+J29)</f>
        <v>0</v>
      </c>
      <c r="L29" s="29" t="s">
        <v>300</v>
      </c>
    </row>
    <row r="30" spans="1:12" ht="15.75">
      <c r="A30" s="277"/>
      <c r="B30" s="310">
        <f>IF(B29&lt;0,"See Tab B","")</f>
      </c>
      <c r="C30" s="277"/>
      <c r="D30" s="310">
        <f>IF(D29&lt;0,"See Tab B","")</f>
      </c>
      <c r="E30" s="277"/>
      <c r="F30" s="310">
        <f>IF(F29&lt;0,"See Tab B","")</f>
      </c>
      <c r="G30" s="139"/>
      <c r="H30" s="310">
        <f>IF(H29&lt;0,"See Tab B","")</f>
      </c>
      <c r="I30" s="139"/>
      <c r="J30" s="310">
        <f>IF(J29&lt;0,"See Tab B","")</f>
      </c>
      <c r="K30" s="286">
        <f>SUM(K7+K17-K28)</f>
        <v>0</v>
      </c>
      <c r="L30" s="29" t="s">
        <v>300</v>
      </c>
    </row>
    <row r="31" spans="1:11" ht="15.75">
      <c r="A31" s="139"/>
      <c r="B31" s="144"/>
      <c r="C31" s="139"/>
      <c r="D31" s="263"/>
      <c r="E31" s="139"/>
      <c r="F31" s="139"/>
      <c r="G31" s="39" t="s">
        <v>302</v>
      </c>
      <c r="H31" s="39"/>
      <c r="I31" s="39"/>
      <c r="J31" s="39"/>
      <c r="K31" s="139"/>
    </row>
    <row r="32" spans="1:11" ht="15.75">
      <c r="A32" s="139"/>
      <c r="B32" s="144"/>
      <c r="C32" s="139"/>
      <c r="D32" s="139"/>
      <c r="E32" s="139"/>
      <c r="F32" s="139"/>
      <c r="G32" s="139"/>
      <c r="H32" s="139"/>
      <c r="I32" s="139"/>
      <c r="J32" s="139"/>
      <c r="K32" s="139"/>
    </row>
    <row r="33" spans="1:11" ht="15.75">
      <c r="A33" s="139"/>
      <c r="B33" s="144"/>
      <c r="C33" s="139"/>
      <c r="D33" s="139"/>
      <c r="E33" s="152" t="s">
        <v>120</v>
      </c>
      <c r="F33" s="743"/>
      <c r="G33" s="139"/>
      <c r="H33" s="139"/>
      <c r="I33" s="139"/>
      <c r="J33" s="139"/>
      <c r="K33" s="139"/>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5" sqref="T55"/>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40">
        <f>inputPrYr!$D$3</f>
        <v>0</v>
      </c>
      <c r="B1" s="263"/>
      <c r="C1" s="139"/>
      <c r="D1" s="139"/>
      <c r="E1" s="139"/>
      <c r="F1" s="141" t="s">
        <v>232</v>
      </c>
      <c r="G1" s="139"/>
      <c r="H1" s="139"/>
      <c r="I1" s="139"/>
      <c r="J1" s="139"/>
      <c r="K1" s="139">
        <f>inputPrYr!$C$6</f>
        <v>0</v>
      </c>
    </row>
    <row r="2" spans="1:11" ht="15.75">
      <c r="A2" s="139"/>
      <c r="B2" s="139"/>
      <c r="C2" s="139"/>
      <c r="D2" s="139"/>
      <c r="E2" s="139"/>
      <c r="F2" s="264" t="str">
        <f>CONCATENATE("(Only the actual budget year for ",K1-2," is to be shown)")</f>
        <v>(Only the actual budget year for -2 is to be shown)</v>
      </c>
      <c r="G2" s="139"/>
      <c r="H2" s="139"/>
      <c r="I2" s="139"/>
      <c r="J2" s="139"/>
      <c r="K2" s="139"/>
    </row>
    <row r="3" spans="1:11" ht="15.75">
      <c r="A3" s="139" t="s">
        <v>268</v>
      </c>
      <c r="B3" s="139"/>
      <c r="C3" s="139"/>
      <c r="D3" s="139"/>
      <c r="E3" s="139"/>
      <c r="F3" s="263"/>
      <c r="G3" s="139"/>
      <c r="H3" s="139"/>
      <c r="I3" s="139"/>
      <c r="J3" s="139"/>
      <c r="K3" s="139"/>
    </row>
    <row r="4" spans="1:11" ht="15.75">
      <c r="A4" s="139" t="s">
        <v>225</v>
      </c>
      <c r="B4" s="139"/>
      <c r="C4" s="139" t="s">
        <v>226</v>
      </c>
      <c r="D4" s="139"/>
      <c r="E4" s="139" t="s">
        <v>227</v>
      </c>
      <c r="F4" s="263"/>
      <c r="G4" s="139" t="s">
        <v>228</v>
      </c>
      <c r="H4" s="139"/>
      <c r="I4" s="139" t="s">
        <v>229</v>
      </c>
      <c r="J4" s="139"/>
      <c r="K4" s="139"/>
    </row>
    <row r="5" spans="1:11" ht="15.75">
      <c r="A5" s="911" t="str">
        <f>IF(inputPrYr!B64&gt;" ",(inputPrYr!B64)," ")</f>
        <v> </v>
      </c>
      <c r="B5" s="912"/>
      <c r="C5" s="911" t="str">
        <f>IF(inputPrYr!B65&gt;" ",(inputPrYr!B65)," ")</f>
        <v> </v>
      </c>
      <c r="D5" s="912"/>
      <c r="E5" s="911" t="str">
        <f>IF(inputPrYr!B66&gt;" ",(inputPrYr!B66)," ")</f>
        <v> </v>
      </c>
      <c r="F5" s="912"/>
      <c r="G5" s="911" t="str">
        <f>IF(inputPrYr!B67&gt;" ",(inputPrYr!B67)," ")</f>
        <v> </v>
      </c>
      <c r="H5" s="912"/>
      <c r="I5" s="911" t="str">
        <f>IF(inputPrYr!B68&gt;" ",(inputPrYr!B68)," ")</f>
        <v> </v>
      </c>
      <c r="J5" s="912"/>
      <c r="K5" s="91"/>
    </row>
    <row r="6" spans="1:11" ht="15.75">
      <c r="A6" s="267" t="s">
        <v>230</v>
      </c>
      <c r="B6" s="268"/>
      <c r="C6" s="269" t="s">
        <v>230</v>
      </c>
      <c r="D6" s="270"/>
      <c r="E6" s="269" t="s">
        <v>230</v>
      </c>
      <c r="F6" s="266"/>
      <c r="G6" s="269" t="s">
        <v>230</v>
      </c>
      <c r="H6" s="271"/>
      <c r="I6" s="269" t="s">
        <v>230</v>
      </c>
      <c r="J6" s="139"/>
      <c r="K6" s="272" t="s">
        <v>74</v>
      </c>
    </row>
    <row r="7" spans="1:11" ht="15.75">
      <c r="A7" s="273" t="s">
        <v>18</v>
      </c>
      <c r="B7" s="274"/>
      <c r="C7" s="275" t="s">
        <v>18</v>
      </c>
      <c r="D7" s="274"/>
      <c r="E7" s="275" t="s">
        <v>18</v>
      </c>
      <c r="F7" s="274"/>
      <c r="G7" s="275" t="s">
        <v>18</v>
      </c>
      <c r="H7" s="274"/>
      <c r="I7" s="275" t="s">
        <v>18</v>
      </c>
      <c r="J7" s="274"/>
      <c r="K7" s="276">
        <f>SUM(B7+D7+F7+H7+J7)</f>
        <v>0</v>
      </c>
    </row>
    <row r="8" spans="1:11" ht="15.75">
      <c r="A8" s="277" t="s">
        <v>212</v>
      </c>
      <c r="B8" s="278"/>
      <c r="C8" s="277" t="s">
        <v>212</v>
      </c>
      <c r="D8" s="279"/>
      <c r="E8" s="277" t="s">
        <v>212</v>
      </c>
      <c r="F8" s="263"/>
      <c r="G8" s="277" t="s">
        <v>212</v>
      </c>
      <c r="H8" s="139"/>
      <c r="I8" s="277" t="s">
        <v>212</v>
      </c>
      <c r="J8" s="139"/>
      <c r="K8" s="263"/>
    </row>
    <row r="9" spans="1:11" ht="15.75">
      <c r="A9" s="280"/>
      <c r="B9" s="274"/>
      <c r="C9" s="280"/>
      <c r="D9" s="274"/>
      <c r="E9" s="280"/>
      <c r="F9" s="274"/>
      <c r="G9" s="280"/>
      <c r="H9" s="274"/>
      <c r="I9" s="280"/>
      <c r="J9" s="274"/>
      <c r="K9" s="263"/>
    </row>
    <row r="10" spans="1:11" ht="15.75">
      <c r="A10" s="280"/>
      <c r="B10" s="274"/>
      <c r="C10" s="280"/>
      <c r="D10" s="274"/>
      <c r="E10" s="280"/>
      <c r="F10" s="274"/>
      <c r="G10" s="280"/>
      <c r="H10" s="274"/>
      <c r="I10" s="280"/>
      <c r="J10" s="274"/>
      <c r="K10" s="263"/>
    </row>
    <row r="11" spans="1:11" ht="15.75">
      <c r="A11" s="280"/>
      <c r="B11" s="274"/>
      <c r="C11" s="281"/>
      <c r="D11" s="274"/>
      <c r="E11" s="281"/>
      <c r="F11" s="274"/>
      <c r="G11" s="281"/>
      <c r="H11" s="274"/>
      <c r="I11" s="282"/>
      <c r="J11" s="274"/>
      <c r="K11" s="263"/>
    </row>
    <row r="12" spans="1:11" ht="15.75">
      <c r="A12" s="280"/>
      <c r="B12" s="274"/>
      <c r="C12" s="280"/>
      <c r="D12" s="274"/>
      <c r="E12" s="283"/>
      <c r="F12" s="274"/>
      <c r="G12" s="283"/>
      <c r="H12" s="274"/>
      <c r="I12" s="283"/>
      <c r="J12" s="274"/>
      <c r="K12" s="263"/>
    </row>
    <row r="13" spans="1:11" ht="15.75">
      <c r="A13" s="284"/>
      <c r="B13" s="274"/>
      <c r="C13" s="285"/>
      <c r="D13" s="274"/>
      <c r="E13" s="285"/>
      <c r="F13" s="274"/>
      <c r="G13" s="285"/>
      <c r="H13" s="274"/>
      <c r="I13" s="282"/>
      <c r="J13" s="274"/>
      <c r="K13" s="263"/>
    </row>
    <row r="14" spans="1:11" ht="15.75">
      <c r="A14" s="280"/>
      <c r="B14" s="274"/>
      <c r="C14" s="283"/>
      <c r="D14" s="274"/>
      <c r="E14" s="283"/>
      <c r="F14" s="274"/>
      <c r="G14" s="283"/>
      <c r="H14" s="274"/>
      <c r="I14" s="283"/>
      <c r="J14" s="274"/>
      <c r="K14" s="263"/>
    </row>
    <row r="15" spans="1:11" ht="15.75">
      <c r="A15" s="280"/>
      <c r="B15" s="274"/>
      <c r="C15" s="283"/>
      <c r="D15" s="274"/>
      <c r="E15" s="283"/>
      <c r="F15" s="274"/>
      <c r="G15" s="283"/>
      <c r="H15" s="274"/>
      <c r="I15" s="283"/>
      <c r="J15" s="274"/>
      <c r="K15" s="263"/>
    </row>
    <row r="16" spans="1:11" ht="15.75">
      <c r="A16" s="280"/>
      <c r="B16" s="274"/>
      <c r="C16" s="280"/>
      <c r="D16" s="274"/>
      <c r="E16" s="280"/>
      <c r="F16" s="274"/>
      <c r="G16" s="283"/>
      <c r="H16" s="274"/>
      <c r="I16" s="280"/>
      <c r="J16" s="274"/>
      <c r="K16" s="263"/>
    </row>
    <row r="17" spans="1:11" ht="15.75">
      <c r="A17" s="277" t="s">
        <v>110</v>
      </c>
      <c r="B17" s="276">
        <f>SUM(B9:B16)</f>
        <v>0</v>
      </c>
      <c r="C17" s="277" t="s">
        <v>110</v>
      </c>
      <c r="D17" s="276">
        <f>SUM(D9:D16)</f>
        <v>0</v>
      </c>
      <c r="E17" s="277" t="s">
        <v>110</v>
      </c>
      <c r="F17" s="339">
        <f>SUM(F9:F16)</f>
        <v>0</v>
      </c>
      <c r="G17" s="277" t="s">
        <v>110</v>
      </c>
      <c r="H17" s="276">
        <f>SUM(H9:H16)</f>
        <v>0</v>
      </c>
      <c r="I17" s="277" t="s">
        <v>110</v>
      </c>
      <c r="J17" s="276">
        <f>SUM(J9:J16)</f>
        <v>0</v>
      </c>
      <c r="K17" s="276">
        <f>SUM(B17+D17+F17+H17+J17)</f>
        <v>0</v>
      </c>
    </row>
    <row r="18" spans="1:11" ht="15.75">
      <c r="A18" s="277" t="s">
        <v>111</v>
      </c>
      <c r="B18" s="276">
        <f>SUM(B7+B17)</f>
        <v>0</v>
      </c>
      <c r="C18" s="277" t="s">
        <v>111</v>
      </c>
      <c r="D18" s="276">
        <f>SUM(D7+D17)</f>
        <v>0</v>
      </c>
      <c r="E18" s="277" t="s">
        <v>111</v>
      </c>
      <c r="F18" s="276">
        <f>SUM(F7+F17)</f>
        <v>0</v>
      </c>
      <c r="G18" s="277" t="s">
        <v>111</v>
      </c>
      <c r="H18" s="276">
        <f>SUM(H7+H17)</f>
        <v>0</v>
      </c>
      <c r="I18" s="277" t="s">
        <v>111</v>
      </c>
      <c r="J18" s="276">
        <f>SUM(J7+J17)</f>
        <v>0</v>
      </c>
      <c r="K18" s="276">
        <f>SUM(B18+D18+F18+H18+J18)</f>
        <v>0</v>
      </c>
    </row>
    <row r="19" spans="1:11" ht="15.75">
      <c r="A19" s="277" t="s">
        <v>113</v>
      </c>
      <c r="B19" s="278"/>
      <c r="C19" s="277" t="s">
        <v>113</v>
      </c>
      <c r="D19" s="279"/>
      <c r="E19" s="277" t="s">
        <v>113</v>
      </c>
      <c r="F19" s="263"/>
      <c r="G19" s="277" t="s">
        <v>113</v>
      </c>
      <c r="H19" s="139"/>
      <c r="I19" s="277" t="s">
        <v>113</v>
      </c>
      <c r="J19" s="139"/>
      <c r="K19" s="263"/>
    </row>
    <row r="20" spans="1:11" ht="15.75">
      <c r="A20" s="280"/>
      <c r="B20" s="274"/>
      <c r="C20" s="283"/>
      <c r="D20" s="274"/>
      <c r="E20" s="283"/>
      <c r="F20" s="274"/>
      <c r="G20" s="283"/>
      <c r="H20" s="274"/>
      <c r="I20" s="283"/>
      <c r="J20" s="274"/>
      <c r="K20" s="263"/>
    </row>
    <row r="21" spans="1:11" ht="15.75">
      <c r="A21" s="280"/>
      <c r="B21" s="274"/>
      <c r="C21" s="283"/>
      <c r="D21" s="274"/>
      <c r="E21" s="283"/>
      <c r="F21" s="274"/>
      <c r="G21" s="283"/>
      <c r="H21" s="274"/>
      <c r="I21" s="283"/>
      <c r="J21" s="274"/>
      <c r="K21" s="263"/>
    </row>
    <row r="22" spans="1:11" ht="15.75">
      <c r="A22" s="280"/>
      <c r="B22" s="274"/>
      <c r="C22" s="285"/>
      <c r="D22" s="274"/>
      <c r="E22" s="285"/>
      <c r="F22" s="274"/>
      <c r="G22" s="285"/>
      <c r="H22" s="274"/>
      <c r="I22" s="282"/>
      <c r="J22" s="274"/>
      <c r="K22" s="263"/>
    </row>
    <row r="23" spans="1:11" ht="15.75">
      <c r="A23" s="280"/>
      <c r="B23" s="274"/>
      <c r="C23" s="283"/>
      <c r="D23" s="274"/>
      <c r="E23" s="283"/>
      <c r="F23" s="274"/>
      <c r="G23" s="283"/>
      <c r="H23" s="274"/>
      <c r="I23" s="283"/>
      <c r="J23" s="274"/>
      <c r="K23" s="263"/>
    </row>
    <row r="24" spans="1:11" ht="15.75">
      <c r="A24" s="280"/>
      <c r="B24" s="274"/>
      <c r="C24" s="285"/>
      <c r="D24" s="274"/>
      <c r="E24" s="285"/>
      <c r="F24" s="274"/>
      <c r="G24" s="285"/>
      <c r="H24" s="274"/>
      <c r="I24" s="282"/>
      <c r="J24" s="274"/>
      <c r="K24" s="263"/>
    </row>
    <row r="25" spans="1:11" ht="15.75">
      <c r="A25" s="280"/>
      <c r="B25" s="274"/>
      <c r="C25" s="283"/>
      <c r="D25" s="274"/>
      <c r="E25" s="283"/>
      <c r="F25" s="274"/>
      <c r="G25" s="283"/>
      <c r="H25" s="274"/>
      <c r="I25" s="283"/>
      <c r="J25" s="274"/>
      <c r="K25" s="263"/>
    </row>
    <row r="26" spans="1:11" ht="15.75">
      <c r="A26" s="280"/>
      <c r="B26" s="274"/>
      <c r="C26" s="283"/>
      <c r="D26" s="274"/>
      <c r="E26" s="283"/>
      <c r="F26" s="274"/>
      <c r="G26" s="283"/>
      <c r="H26" s="274"/>
      <c r="I26" s="283"/>
      <c r="J26" s="274"/>
      <c r="K26" s="263"/>
    </row>
    <row r="27" spans="1:11" ht="15.75">
      <c r="A27" s="280"/>
      <c r="B27" s="274"/>
      <c r="C27" s="280"/>
      <c r="D27" s="274"/>
      <c r="E27" s="280"/>
      <c r="F27" s="274"/>
      <c r="G27" s="283"/>
      <c r="H27" s="274"/>
      <c r="I27" s="283"/>
      <c r="J27" s="274"/>
      <c r="K27" s="263"/>
    </row>
    <row r="28" spans="1:11" ht="15.75">
      <c r="A28" s="277" t="s">
        <v>117</v>
      </c>
      <c r="B28" s="276">
        <f>SUM(B20:B27)</f>
        <v>0</v>
      </c>
      <c r="C28" s="277" t="s">
        <v>117</v>
      </c>
      <c r="D28" s="276">
        <f>SUM(D20:D27)</f>
        <v>0</v>
      </c>
      <c r="E28" s="277" t="s">
        <v>117</v>
      </c>
      <c r="F28" s="339">
        <f>SUM(F20:F27)</f>
        <v>0</v>
      </c>
      <c r="G28" s="277" t="s">
        <v>117</v>
      </c>
      <c r="H28" s="339">
        <f>SUM(H20:H27)</f>
        <v>0</v>
      </c>
      <c r="I28" s="277" t="s">
        <v>117</v>
      </c>
      <c r="J28" s="276">
        <f>SUM(J20:J27)</f>
        <v>0</v>
      </c>
      <c r="K28" s="276">
        <f>SUM(B28+D28+F28+H28+J28)</f>
        <v>0</v>
      </c>
    </row>
    <row r="29" spans="1:12" ht="15.75">
      <c r="A29" s="277" t="s">
        <v>231</v>
      </c>
      <c r="B29" s="276">
        <f>SUM(B18-B28)</f>
        <v>0</v>
      </c>
      <c r="C29" s="277" t="s">
        <v>231</v>
      </c>
      <c r="D29" s="276">
        <f>SUM(D18-D28)</f>
        <v>0</v>
      </c>
      <c r="E29" s="277" t="s">
        <v>231</v>
      </c>
      <c r="F29" s="276">
        <f>SUM(F18-F28)</f>
        <v>0</v>
      </c>
      <c r="G29" s="277" t="s">
        <v>231</v>
      </c>
      <c r="H29" s="276">
        <f>SUM(H18-H28)</f>
        <v>0</v>
      </c>
      <c r="I29" s="277" t="s">
        <v>231</v>
      </c>
      <c r="J29" s="276">
        <f>SUM(J18-J28)</f>
        <v>0</v>
      </c>
      <c r="K29" s="286">
        <f>SUM(B29+D29+F29+H29+J29)</f>
        <v>0</v>
      </c>
      <c r="L29" s="29" t="s">
        <v>300</v>
      </c>
    </row>
    <row r="30" spans="1:12" ht="15.75">
      <c r="A30" s="277"/>
      <c r="B30" s="310">
        <f>IF(B29&lt;0,"See Tab B","")</f>
      </c>
      <c r="C30" s="277"/>
      <c r="D30" s="310">
        <f>IF(D29&lt;0,"See Tab B","")</f>
      </c>
      <c r="E30" s="277"/>
      <c r="F30" s="310">
        <f>IF(F29&lt;0,"See Tab B","")</f>
      </c>
      <c r="G30" s="139"/>
      <c r="H30" s="310">
        <f>IF(H29&lt;0,"See Tab B","")</f>
      </c>
      <c r="I30" s="139"/>
      <c r="J30" s="310">
        <f>IF(J29&lt;0,"See Tab B","")</f>
      </c>
      <c r="K30" s="286">
        <f>SUM(K7+K17-K28)</f>
        <v>0</v>
      </c>
      <c r="L30" s="29" t="s">
        <v>300</v>
      </c>
    </row>
    <row r="31" spans="1:11" ht="15.75">
      <c r="A31" s="139"/>
      <c r="B31" s="144"/>
      <c r="C31" s="139"/>
      <c r="D31" s="263"/>
      <c r="E31" s="139"/>
      <c r="F31" s="139"/>
      <c r="G31" s="39" t="s">
        <v>302</v>
      </c>
      <c r="H31" s="39"/>
      <c r="I31" s="39"/>
      <c r="J31" s="39"/>
      <c r="K31" s="139"/>
    </row>
    <row r="32" spans="1:11" ht="15.75">
      <c r="A32" s="139"/>
      <c r="B32" s="144"/>
      <c r="C32" s="139"/>
      <c r="D32" s="139"/>
      <c r="E32" s="139"/>
      <c r="F32" s="139"/>
      <c r="G32" s="139"/>
      <c r="H32" s="139"/>
      <c r="I32" s="139"/>
      <c r="J32" s="139"/>
      <c r="K32" s="139"/>
    </row>
    <row r="33" spans="1:11" ht="15.75">
      <c r="A33" s="139"/>
      <c r="B33" s="144"/>
      <c r="C33" s="139"/>
      <c r="D33" s="139"/>
      <c r="E33" s="152" t="s">
        <v>120</v>
      </c>
      <c r="F33" s="743"/>
      <c r="G33" s="139"/>
      <c r="H33" s="139"/>
      <c r="I33" s="139"/>
      <c r="J33" s="139"/>
      <c r="K33" s="139"/>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60" sqref="T60"/>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40">
        <f>inputPrYr!$D$3</f>
        <v>0</v>
      </c>
      <c r="B1" s="263"/>
      <c r="C1" s="139"/>
      <c r="D1" s="139"/>
      <c r="E1" s="139"/>
      <c r="F1" s="141" t="s">
        <v>233</v>
      </c>
      <c r="G1" s="139"/>
      <c r="H1" s="139"/>
      <c r="I1" s="139"/>
      <c r="J1" s="139"/>
      <c r="K1" s="139">
        <f>inputPrYr!$C$6</f>
        <v>0</v>
      </c>
    </row>
    <row r="2" spans="1:11" ht="15.75">
      <c r="A2" s="139"/>
      <c r="B2" s="139"/>
      <c r="C2" s="139"/>
      <c r="D2" s="139"/>
      <c r="E2" s="139"/>
      <c r="F2" s="264" t="str">
        <f>CONCATENATE("(Only the actual budget year for ",K1-2," is to be shown)")</f>
        <v>(Only the actual budget year for -2 is to be shown)</v>
      </c>
      <c r="G2" s="139"/>
      <c r="H2" s="139"/>
      <c r="I2" s="139"/>
      <c r="J2" s="139"/>
      <c r="K2" s="139"/>
    </row>
    <row r="3" spans="1:11" ht="15.75">
      <c r="A3" s="139" t="s">
        <v>266</v>
      </c>
      <c r="B3" s="139"/>
      <c r="C3" s="139"/>
      <c r="D3" s="139"/>
      <c r="E3" s="139"/>
      <c r="F3" s="263"/>
      <c r="G3" s="139"/>
      <c r="H3" s="139"/>
      <c r="I3" s="139"/>
      <c r="J3" s="139"/>
      <c r="K3" s="139"/>
    </row>
    <row r="4" spans="1:11" ht="15.75">
      <c r="A4" s="139" t="s">
        <v>225</v>
      </c>
      <c r="B4" s="139"/>
      <c r="C4" s="139" t="s">
        <v>226</v>
      </c>
      <c r="D4" s="139"/>
      <c r="E4" s="139" t="s">
        <v>227</v>
      </c>
      <c r="F4" s="263"/>
      <c r="G4" s="139" t="s">
        <v>228</v>
      </c>
      <c r="H4" s="139"/>
      <c r="I4" s="139" t="s">
        <v>229</v>
      </c>
      <c r="J4" s="139"/>
      <c r="K4" s="139"/>
    </row>
    <row r="5" spans="1:11" ht="15.75">
      <c r="A5" s="911" t="str">
        <f>IF(inputPrYr!B70&gt;" ",(inputPrYr!B70)," ")</f>
        <v> </v>
      </c>
      <c r="B5" s="912"/>
      <c r="C5" s="911" t="str">
        <f>IF(inputPrYr!B71&gt;" ",(inputPrYr!B71)," ")</f>
        <v> </v>
      </c>
      <c r="D5" s="912"/>
      <c r="E5" s="911" t="str">
        <f>IF(inputPrYr!B72&gt;" ",(inputPrYr!B72)," ")</f>
        <v> </v>
      </c>
      <c r="F5" s="912"/>
      <c r="G5" s="911" t="str">
        <f>IF(inputPrYr!B73&gt;" ",(inputPrYr!B73)," ")</f>
        <v> </v>
      </c>
      <c r="H5" s="912"/>
      <c r="I5" s="911" t="str">
        <f>IF(inputPrYr!B74&gt;" ",(inputPrYr!B74)," ")</f>
        <v> </v>
      </c>
      <c r="J5" s="912"/>
      <c r="K5" s="91"/>
    </row>
    <row r="6" spans="1:11" ht="15.75">
      <c r="A6" s="267" t="s">
        <v>230</v>
      </c>
      <c r="B6" s="268"/>
      <c r="C6" s="269" t="s">
        <v>230</v>
      </c>
      <c r="D6" s="270"/>
      <c r="E6" s="269" t="s">
        <v>230</v>
      </c>
      <c r="F6" s="266"/>
      <c r="G6" s="269" t="s">
        <v>230</v>
      </c>
      <c r="H6" s="271"/>
      <c r="I6" s="269" t="s">
        <v>230</v>
      </c>
      <c r="J6" s="139"/>
      <c r="K6" s="272" t="s">
        <v>74</v>
      </c>
    </row>
    <row r="7" spans="1:11" ht="15.75">
      <c r="A7" s="273" t="s">
        <v>18</v>
      </c>
      <c r="B7" s="274"/>
      <c r="C7" s="275" t="s">
        <v>18</v>
      </c>
      <c r="D7" s="274"/>
      <c r="E7" s="275" t="s">
        <v>18</v>
      </c>
      <c r="F7" s="274"/>
      <c r="G7" s="275" t="s">
        <v>18</v>
      </c>
      <c r="H7" s="274"/>
      <c r="I7" s="275" t="s">
        <v>18</v>
      </c>
      <c r="J7" s="274"/>
      <c r="K7" s="276">
        <f>SUM(B7+D7+F7+H7+J7)</f>
        <v>0</v>
      </c>
    </row>
    <row r="8" spans="1:11" ht="15.75">
      <c r="A8" s="277" t="s">
        <v>212</v>
      </c>
      <c r="B8" s="278"/>
      <c r="C8" s="277" t="s">
        <v>212</v>
      </c>
      <c r="D8" s="279"/>
      <c r="E8" s="277" t="s">
        <v>212</v>
      </c>
      <c r="F8" s="263"/>
      <c r="G8" s="277" t="s">
        <v>212</v>
      </c>
      <c r="H8" s="139"/>
      <c r="I8" s="277" t="s">
        <v>212</v>
      </c>
      <c r="J8" s="139"/>
      <c r="K8" s="263"/>
    </row>
    <row r="9" spans="1:11" ht="15.75">
      <c r="A9" s="280"/>
      <c r="B9" s="274"/>
      <c r="C9" s="280"/>
      <c r="D9" s="274"/>
      <c r="E9" s="280"/>
      <c r="F9" s="274"/>
      <c r="G9" s="280"/>
      <c r="H9" s="274"/>
      <c r="I9" s="280"/>
      <c r="J9" s="274"/>
      <c r="K9" s="263"/>
    </row>
    <row r="10" spans="1:11" ht="15.75">
      <c r="A10" s="280"/>
      <c r="B10" s="274"/>
      <c r="C10" s="280"/>
      <c r="D10" s="274"/>
      <c r="E10" s="280"/>
      <c r="F10" s="274"/>
      <c r="G10" s="280"/>
      <c r="H10" s="274"/>
      <c r="I10" s="280"/>
      <c r="J10" s="274"/>
      <c r="K10" s="263"/>
    </row>
    <row r="11" spans="1:11" ht="15.75">
      <c r="A11" s="280"/>
      <c r="B11" s="274"/>
      <c r="C11" s="281"/>
      <c r="D11" s="274"/>
      <c r="E11" s="281"/>
      <c r="F11" s="274"/>
      <c r="G11" s="281"/>
      <c r="H11" s="274"/>
      <c r="I11" s="282"/>
      <c r="J11" s="274"/>
      <c r="K11" s="263"/>
    </row>
    <row r="12" spans="1:11" ht="15.75">
      <c r="A12" s="280"/>
      <c r="B12" s="274"/>
      <c r="C12" s="280"/>
      <c r="D12" s="274"/>
      <c r="E12" s="283"/>
      <c r="F12" s="274"/>
      <c r="G12" s="283"/>
      <c r="H12" s="274"/>
      <c r="I12" s="283"/>
      <c r="J12" s="274"/>
      <c r="K12" s="263"/>
    </row>
    <row r="13" spans="1:11" ht="15.75">
      <c r="A13" s="284"/>
      <c r="B13" s="274"/>
      <c r="C13" s="285"/>
      <c r="D13" s="274"/>
      <c r="E13" s="285"/>
      <c r="F13" s="274"/>
      <c r="G13" s="285"/>
      <c r="H13" s="274"/>
      <c r="I13" s="282"/>
      <c r="J13" s="274"/>
      <c r="K13" s="263"/>
    </row>
    <row r="14" spans="1:11" ht="15.75">
      <c r="A14" s="280"/>
      <c r="B14" s="274"/>
      <c r="C14" s="283"/>
      <c r="D14" s="274"/>
      <c r="E14" s="283"/>
      <c r="F14" s="274"/>
      <c r="G14" s="283"/>
      <c r="H14" s="274"/>
      <c r="I14" s="283"/>
      <c r="J14" s="274"/>
      <c r="K14" s="263"/>
    </row>
    <row r="15" spans="1:11" ht="15.75">
      <c r="A15" s="280"/>
      <c r="B15" s="274"/>
      <c r="C15" s="283"/>
      <c r="D15" s="274"/>
      <c r="E15" s="283"/>
      <c r="F15" s="274"/>
      <c r="G15" s="283"/>
      <c r="H15" s="274"/>
      <c r="I15" s="283"/>
      <c r="J15" s="274"/>
      <c r="K15" s="263"/>
    </row>
    <row r="16" spans="1:11" ht="15.75">
      <c r="A16" s="280"/>
      <c r="B16" s="274"/>
      <c r="C16" s="280"/>
      <c r="D16" s="274"/>
      <c r="E16" s="280"/>
      <c r="F16" s="274"/>
      <c r="G16" s="283"/>
      <c r="H16" s="274"/>
      <c r="I16" s="280"/>
      <c r="J16" s="274"/>
      <c r="K16" s="263"/>
    </row>
    <row r="17" spans="1:11" ht="15.75">
      <c r="A17" s="277" t="s">
        <v>110</v>
      </c>
      <c r="B17" s="276">
        <f>SUM(B9:B16)</f>
        <v>0</v>
      </c>
      <c r="C17" s="277" t="s">
        <v>110</v>
      </c>
      <c r="D17" s="276">
        <f>SUM(D9:D16)</f>
        <v>0</v>
      </c>
      <c r="E17" s="277" t="s">
        <v>110</v>
      </c>
      <c r="F17" s="339">
        <f>SUM(F9:F16)</f>
        <v>0</v>
      </c>
      <c r="G17" s="277" t="s">
        <v>110</v>
      </c>
      <c r="H17" s="276">
        <f>SUM(H9:H16)</f>
        <v>0</v>
      </c>
      <c r="I17" s="277" t="s">
        <v>110</v>
      </c>
      <c r="J17" s="276">
        <f>SUM(J9:J16)</f>
        <v>0</v>
      </c>
      <c r="K17" s="276">
        <f>SUM(B17+D17+F17+H17+J17)</f>
        <v>0</v>
      </c>
    </row>
    <row r="18" spans="1:11" ht="15.75">
      <c r="A18" s="277" t="s">
        <v>111</v>
      </c>
      <c r="B18" s="276">
        <f>SUM(B7+B17)</f>
        <v>0</v>
      </c>
      <c r="C18" s="277" t="s">
        <v>111</v>
      </c>
      <c r="D18" s="276">
        <f>SUM(D7+D17)</f>
        <v>0</v>
      </c>
      <c r="E18" s="277" t="s">
        <v>111</v>
      </c>
      <c r="F18" s="276">
        <f>SUM(F7+F17)</f>
        <v>0</v>
      </c>
      <c r="G18" s="277" t="s">
        <v>111</v>
      </c>
      <c r="H18" s="276">
        <f>SUM(H7+H17)</f>
        <v>0</v>
      </c>
      <c r="I18" s="277" t="s">
        <v>111</v>
      </c>
      <c r="J18" s="276">
        <f>SUM(J7+J17)</f>
        <v>0</v>
      </c>
      <c r="K18" s="276">
        <f>SUM(B18+D18+F18+H18+J18)</f>
        <v>0</v>
      </c>
    </row>
    <row r="19" spans="1:11" ht="15.75">
      <c r="A19" s="277" t="s">
        <v>113</v>
      </c>
      <c r="B19" s="278"/>
      <c r="C19" s="277" t="s">
        <v>113</v>
      </c>
      <c r="D19" s="279"/>
      <c r="E19" s="277" t="s">
        <v>113</v>
      </c>
      <c r="F19" s="263"/>
      <c r="G19" s="277" t="s">
        <v>113</v>
      </c>
      <c r="H19" s="139"/>
      <c r="I19" s="277" t="s">
        <v>113</v>
      </c>
      <c r="J19" s="139"/>
      <c r="K19" s="263"/>
    </row>
    <row r="20" spans="1:11" ht="15.75">
      <c r="A20" s="280"/>
      <c r="B20" s="274"/>
      <c r="C20" s="283"/>
      <c r="D20" s="274"/>
      <c r="E20" s="283"/>
      <c r="F20" s="274"/>
      <c r="G20" s="283"/>
      <c r="H20" s="274"/>
      <c r="I20" s="283"/>
      <c r="J20" s="274"/>
      <c r="K20" s="263"/>
    </row>
    <row r="21" spans="1:11" ht="15.75">
      <c r="A21" s="280"/>
      <c r="B21" s="274"/>
      <c r="C21" s="283"/>
      <c r="D21" s="274"/>
      <c r="E21" s="283"/>
      <c r="F21" s="274"/>
      <c r="G21" s="283"/>
      <c r="H21" s="274"/>
      <c r="I21" s="283"/>
      <c r="J21" s="274"/>
      <c r="K21" s="263"/>
    </row>
    <row r="22" spans="1:11" ht="15.75">
      <c r="A22" s="280"/>
      <c r="B22" s="274"/>
      <c r="C22" s="285"/>
      <c r="D22" s="274"/>
      <c r="E22" s="285"/>
      <c r="F22" s="274"/>
      <c r="G22" s="285"/>
      <c r="H22" s="274"/>
      <c r="I22" s="282"/>
      <c r="J22" s="274"/>
      <c r="K22" s="263"/>
    </row>
    <row r="23" spans="1:11" ht="15.75">
      <c r="A23" s="280"/>
      <c r="B23" s="274"/>
      <c r="C23" s="283"/>
      <c r="D23" s="274"/>
      <c r="E23" s="283"/>
      <c r="F23" s="274"/>
      <c r="G23" s="283"/>
      <c r="H23" s="274"/>
      <c r="I23" s="283"/>
      <c r="J23" s="274"/>
      <c r="K23" s="263"/>
    </row>
    <row r="24" spans="1:11" ht="15.75">
      <c r="A24" s="280"/>
      <c r="B24" s="274"/>
      <c r="C24" s="285"/>
      <c r="D24" s="274"/>
      <c r="E24" s="285"/>
      <c r="F24" s="274"/>
      <c r="G24" s="285"/>
      <c r="H24" s="274"/>
      <c r="I24" s="282"/>
      <c r="J24" s="274"/>
      <c r="K24" s="263"/>
    </row>
    <row r="25" spans="1:11" ht="15.75">
      <c r="A25" s="280"/>
      <c r="B25" s="274"/>
      <c r="C25" s="283"/>
      <c r="D25" s="274"/>
      <c r="E25" s="283"/>
      <c r="F25" s="274"/>
      <c r="G25" s="283"/>
      <c r="H25" s="274"/>
      <c r="I25" s="283"/>
      <c r="J25" s="274"/>
      <c r="K25" s="263"/>
    </row>
    <row r="26" spans="1:11" ht="15.75">
      <c r="A26" s="280"/>
      <c r="B26" s="274"/>
      <c r="C26" s="283"/>
      <c r="D26" s="274"/>
      <c r="E26" s="283"/>
      <c r="F26" s="274"/>
      <c r="G26" s="283"/>
      <c r="H26" s="274"/>
      <c r="I26" s="283"/>
      <c r="J26" s="274"/>
      <c r="K26" s="263"/>
    </row>
    <row r="27" spans="1:11" ht="15.75">
      <c r="A27" s="280"/>
      <c r="B27" s="274"/>
      <c r="C27" s="280"/>
      <c r="D27" s="274"/>
      <c r="E27" s="280"/>
      <c r="F27" s="274"/>
      <c r="G27" s="283"/>
      <c r="H27" s="274"/>
      <c r="I27" s="283"/>
      <c r="J27" s="274"/>
      <c r="K27" s="263"/>
    </row>
    <row r="28" spans="1:11" ht="15.75">
      <c r="A28" s="277" t="s">
        <v>117</v>
      </c>
      <c r="B28" s="276">
        <f>SUM(B20:B27)</f>
        <v>0</v>
      </c>
      <c r="C28" s="277" t="s">
        <v>117</v>
      </c>
      <c r="D28" s="276">
        <f>SUM(D20:D27)</f>
        <v>0</v>
      </c>
      <c r="E28" s="277" t="s">
        <v>117</v>
      </c>
      <c r="F28" s="339">
        <f>SUM(F20:F27)</f>
        <v>0</v>
      </c>
      <c r="G28" s="277" t="s">
        <v>117</v>
      </c>
      <c r="H28" s="339">
        <f>SUM(H20:H27)</f>
        <v>0</v>
      </c>
      <c r="I28" s="277" t="s">
        <v>117</v>
      </c>
      <c r="J28" s="276">
        <f>SUM(J20:J27)</f>
        <v>0</v>
      </c>
      <c r="K28" s="276">
        <f>SUM(B28+D28+F28+H28+J28)</f>
        <v>0</v>
      </c>
    </row>
    <row r="29" spans="1:12" ht="15.75">
      <c r="A29" s="277" t="s">
        <v>231</v>
      </c>
      <c r="B29" s="276">
        <f>SUM(B18-B28)</f>
        <v>0</v>
      </c>
      <c r="C29" s="277" t="s">
        <v>231</v>
      </c>
      <c r="D29" s="276">
        <f>SUM(D18-D28)</f>
        <v>0</v>
      </c>
      <c r="E29" s="277" t="s">
        <v>231</v>
      </c>
      <c r="F29" s="276">
        <f>SUM(F18-F28)</f>
        <v>0</v>
      </c>
      <c r="G29" s="277" t="s">
        <v>231</v>
      </c>
      <c r="H29" s="276">
        <f>SUM(H18-H28)</f>
        <v>0</v>
      </c>
      <c r="I29" s="277" t="s">
        <v>231</v>
      </c>
      <c r="J29" s="276">
        <f>SUM(J18-J28)</f>
        <v>0</v>
      </c>
      <c r="K29" s="286">
        <f>SUM(B29+D29+F29+H29+J29)</f>
        <v>0</v>
      </c>
      <c r="L29" s="29" t="s">
        <v>300</v>
      </c>
    </row>
    <row r="30" spans="1:12" ht="15.75">
      <c r="A30" s="277"/>
      <c r="B30" s="310">
        <f>IF(B29&lt;0,"See Tab B","")</f>
      </c>
      <c r="C30" s="277"/>
      <c r="D30" s="310">
        <f>IF(D29&lt;0,"See Tab B","")</f>
      </c>
      <c r="E30" s="277"/>
      <c r="F30" s="310">
        <f>IF(F29&lt;0,"See Tab B","")</f>
      </c>
      <c r="G30" s="139"/>
      <c r="H30" s="310">
        <f>IF(H29&lt;0,"See Tab B","")</f>
      </c>
      <c r="I30" s="139"/>
      <c r="J30" s="310">
        <f>IF(J29&lt;0,"See Tab B","")</f>
      </c>
      <c r="K30" s="286">
        <f>SUM(K7+K17-K28)</f>
        <v>0</v>
      </c>
      <c r="L30" s="29" t="s">
        <v>300</v>
      </c>
    </row>
    <row r="31" spans="1:11" ht="15.75">
      <c r="A31" s="139"/>
      <c r="B31" s="144"/>
      <c r="C31" s="139"/>
      <c r="D31" s="263"/>
      <c r="E31" s="139"/>
      <c r="F31" s="139"/>
      <c r="G31" s="39" t="s">
        <v>302</v>
      </c>
      <c r="H31" s="39"/>
      <c r="I31" s="39"/>
      <c r="J31" s="39"/>
      <c r="K31" s="139"/>
    </row>
    <row r="32" spans="1:11" ht="15.75">
      <c r="A32" s="139"/>
      <c r="B32" s="144"/>
      <c r="C32" s="139"/>
      <c r="D32" s="139"/>
      <c r="E32" s="139"/>
      <c r="F32" s="139"/>
      <c r="G32" s="288"/>
      <c r="H32" s="139"/>
      <c r="I32" s="139"/>
      <c r="J32" s="139"/>
      <c r="K32" s="139"/>
    </row>
    <row r="33" spans="1:11" ht="15.75">
      <c r="A33" s="139"/>
      <c r="B33" s="144"/>
      <c r="C33" s="139"/>
      <c r="D33" s="139"/>
      <c r="E33" s="152" t="s">
        <v>120</v>
      </c>
      <c r="F33" s="743"/>
      <c r="G33" s="139"/>
      <c r="H33" s="139"/>
      <c r="I33" s="139"/>
      <c r="J33" s="139"/>
      <c r="K33" s="139"/>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63" sqref="T63"/>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40">
        <f>inputPrYr!$D$3</f>
        <v>0</v>
      </c>
      <c r="B1" s="263"/>
      <c r="C1" s="139"/>
      <c r="D1" s="139"/>
      <c r="E1" s="139"/>
      <c r="F1" s="141" t="s">
        <v>234</v>
      </c>
      <c r="G1" s="139"/>
      <c r="H1" s="139"/>
      <c r="I1" s="139"/>
      <c r="J1" s="139"/>
      <c r="K1" s="139">
        <f>inputPrYr!$C$6</f>
        <v>0</v>
      </c>
    </row>
    <row r="2" spans="1:11" ht="15.75">
      <c r="A2" s="139"/>
      <c r="B2" s="139"/>
      <c r="C2" s="139"/>
      <c r="D2" s="139"/>
      <c r="E2" s="139"/>
      <c r="F2" s="264" t="str">
        <f>CONCATENATE("(Only the actual budget year for ",K1-2," is to be shown)")</f>
        <v>(Only the actual budget year for -2 is to be shown)</v>
      </c>
      <c r="G2" s="139"/>
      <c r="H2" s="139"/>
      <c r="I2" s="139"/>
      <c r="J2" s="139"/>
      <c r="K2" s="139"/>
    </row>
    <row r="3" spans="1:11" ht="15.75">
      <c r="A3" s="139" t="s">
        <v>267</v>
      </c>
      <c r="B3" s="139"/>
      <c r="C3" s="139"/>
      <c r="D3" s="139"/>
      <c r="E3" s="139"/>
      <c r="F3" s="263"/>
      <c r="G3" s="139"/>
      <c r="H3" s="139"/>
      <c r="I3" s="139"/>
      <c r="J3" s="139"/>
      <c r="K3" s="139"/>
    </row>
    <row r="4" spans="1:11" ht="15.75">
      <c r="A4" s="139" t="s">
        <v>225</v>
      </c>
      <c r="B4" s="139"/>
      <c r="C4" s="139" t="s">
        <v>226</v>
      </c>
      <c r="D4" s="139"/>
      <c r="E4" s="139" t="s">
        <v>227</v>
      </c>
      <c r="F4" s="263"/>
      <c r="G4" s="139" t="s">
        <v>228</v>
      </c>
      <c r="H4" s="139"/>
      <c r="I4" s="139" t="s">
        <v>229</v>
      </c>
      <c r="J4" s="139"/>
      <c r="K4" s="139"/>
    </row>
    <row r="5" spans="1:11" ht="15.75">
      <c r="A5" s="911" t="str">
        <f>IF(inputPrYr!B76&gt;" ",(inputPrYr!B76)," ")</f>
        <v> </v>
      </c>
      <c r="B5" s="912"/>
      <c r="C5" s="911" t="str">
        <f>IF(inputPrYr!B77&gt;" ",(inputPrYr!B77)," ")</f>
        <v> </v>
      </c>
      <c r="D5" s="912"/>
      <c r="E5" s="911" t="str">
        <f>IF(inputPrYr!B78&gt;" ",(inputPrYr!B78)," ")</f>
        <v> </v>
      </c>
      <c r="F5" s="912"/>
      <c r="G5" s="911" t="str">
        <f>IF(inputPrYr!B79&gt;" ",(inputPrYr!B79)," ")</f>
        <v> </v>
      </c>
      <c r="H5" s="912"/>
      <c r="I5" s="911" t="str">
        <f>IF(inputPrYr!B80&gt;" ",(inputPrYr!B80)," ")</f>
        <v> </v>
      </c>
      <c r="J5" s="912"/>
      <c r="K5" s="91"/>
    </row>
    <row r="6" spans="1:11" ht="15.75">
      <c r="A6" s="267" t="s">
        <v>230</v>
      </c>
      <c r="B6" s="268"/>
      <c r="C6" s="269" t="s">
        <v>230</v>
      </c>
      <c r="D6" s="270"/>
      <c r="E6" s="269" t="s">
        <v>230</v>
      </c>
      <c r="F6" s="266"/>
      <c r="G6" s="269" t="s">
        <v>230</v>
      </c>
      <c r="H6" s="271"/>
      <c r="I6" s="269" t="s">
        <v>230</v>
      </c>
      <c r="J6" s="139"/>
      <c r="K6" s="272" t="s">
        <v>74</v>
      </c>
    </row>
    <row r="7" spans="1:11" ht="15.75">
      <c r="A7" s="273" t="s">
        <v>18</v>
      </c>
      <c r="B7" s="274"/>
      <c r="C7" s="275" t="s">
        <v>18</v>
      </c>
      <c r="D7" s="274"/>
      <c r="E7" s="275" t="s">
        <v>18</v>
      </c>
      <c r="F7" s="274"/>
      <c r="G7" s="275" t="s">
        <v>18</v>
      </c>
      <c r="H7" s="274"/>
      <c r="I7" s="275" t="s">
        <v>18</v>
      </c>
      <c r="J7" s="274"/>
      <c r="K7" s="276">
        <f>SUM(B7+D7+F7+H7+J7)</f>
        <v>0</v>
      </c>
    </row>
    <row r="8" spans="1:11" ht="15.75">
      <c r="A8" s="277" t="s">
        <v>212</v>
      </c>
      <c r="B8" s="278"/>
      <c r="C8" s="277" t="s">
        <v>212</v>
      </c>
      <c r="D8" s="279"/>
      <c r="E8" s="277" t="s">
        <v>212</v>
      </c>
      <c r="F8" s="263"/>
      <c r="G8" s="277" t="s">
        <v>212</v>
      </c>
      <c r="H8" s="139"/>
      <c r="I8" s="277" t="s">
        <v>212</v>
      </c>
      <c r="J8" s="139"/>
      <c r="K8" s="263"/>
    </row>
    <row r="9" spans="1:11" ht="15.75">
      <c r="A9" s="280"/>
      <c r="B9" s="274"/>
      <c r="C9" s="280"/>
      <c r="D9" s="274"/>
      <c r="E9" s="280"/>
      <c r="F9" s="274"/>
      <c r="G9" s="280"/>
      <c r="H9" s="274"/>
      <c r="I9" s="280"/>
      <c r="J9" s="274"/>
      <c r="K9" s="263"/>
    </row>
    <row r="10" spans="1:11" ht="15.75">
      <c r="A10" s="280"/>
      <c r="B10" s="274"/>
      <c r="C10" s="280"/>
      <c r="D10" s="274"/>
      <c r="E10" s="280"/>
      <c r="F10" s="274"/>
      <c r="G10" s="280"/>
      <c r="H10" s="274"/>
      <c r="I10" s="280"/>
      <c r="J10" s="274"/>
      <c r="K10" s="263"/>
    </row>
    <row r="11" spans="1:11" ht="15.75">
      <c r="A11" s="280"/>
      <c r="B11" s="274"/>
      <c r="C11" s="281"/>
      <c r="D11" s="274"/>
      <c r="E11" s="281"/>
      <c r="F11" s="274"/>
      <c r="G11" s="281"/>
      <c r="H11" s="274"/>
      <c r="I11" s="282"/>
      <c r="J11" s="274"/>
      <c r="K11" s="263"/>
    </row>
    <row r="12" spans="1:11" ht="15.75">
      <c r="A12" s="280"/>
      <c r="B12" s="274"/>
      <c r="C12" s="280"/>
      <c r="D12" s="274"/>
      <c r="E12" s="283"/>
      <c r="F12" s="274"/>
      <c r="G12" s="283"/>
      <c r="H12" s="274"/>
      <c r="I12" s="283"/>
      <c r="J12" s="274"/>
      <c r="K12" s="263"/>
    </row>
    <row r="13" spans="1:11" ht="15.75">
      <c r="A13" s="284"/>
      <c r="B13" s="274"/>
      <c r="C13" s="285"/>
      <c r="D13" s="274"/>
      <c r="E13" s="285"/>
      <c r="F13" s="274"/>
      <c r="G13" s="285"/>
      <c r="H13" s="274"/>
      <c r="I13" s="282"/>
      <c r="J13" s="274"/>
      <c r="K13" s="263"/>
    </row>
    <row r="14" spans="1:11" ht="15.75">
      <c r="A14" s="280"/>
      <c r="B14" s="274"/>
      <c r="C14" s="283"/>
      <c r="D14" s="274"/>
      <c r="E14" s="283"/>
      <c r="F14" s="274"/>
      <c r="G14" s="283"/>
      <c r="H14" s="274"/>
      <c r="I14" s="283"/>
      <c r="J14" s="274"/>
      <c r="K14" s="263"/>
    </row>
    <row r="15" spans="1:11" ht="15.75">
      <c r="A15" s="280"/>
      <c r="B15" s="274"/>
      <c r="C15" s="283"/>
      <c r="D15" s="274"/>
      <c r="E15" s="283"/>
      <c r="F15" s="274"/>
      <c r="G15" s="283"/>
      <c r="H15" s="274"/>
      <c r="I15" s="283"/>
      <c r="J15" s="274"/>
      <c r="K15" s="263"/>
    </row>
    <row r="16" spans="1:11" ht="15.75">
      <c r="A16" s="280"/>
      <c r="B16" s="274"/>
      <c r="C16" s="280"/>
      <c r="D16" s="274"/>
      <c r="E16" s="280"/>
      <c r="F16" s="274"/>
      <c r="G16" s="283"/>
      <c r="H16" s="274"/>
      <c r="I16" s="280"/>
      <c r="J16" s="274"/>
      <c r="K16" s="263"/>
    </row>
    <row r="17" spans="1:11" ht="15.75">
      <c r="A17" s="277" t="s">
        <v>110</v>
      </c>
      <c r="B17" s="276">
        <f>SUM(B9:B16)</f>
        <v>0</v>
      </c>
      <c r="C17" s="277" t="s">
        <v>110</v>
      </c>
      <c r="D17" s="276">
        <f>SUM(D9:D16)</f>
        <v>0</v>
      </c>
      <c r="E17" s="277" t="s">
        <v>110</v>
      </c>
      <c r="F17" s="339">
        <f>SUM(F9:F16)</f>
        <v>0</v>
      </c>
      <c r="G17" s="277" t="s">
        <v>110</v>
      </c>
      <c r="H17" s="276">
        <f>SUM(H9:H16)</f>
        <v>0</v>
      </c>
      <c r="I17" s="277" t="s">
        <v>110</v>
      </c>
      <c r="J17" s="276">
        <f>SUM(J9:J16)</f>
        <v>0</v>
      </c>
      <c r="K17" s="276">
        <f>SUM(B17+D17+F17+H17+J17)</f>
        <v>0</v>
      </c>
    </row>
    <row r="18" spans="1:11" ht="15.75">
      <c r="A18" s="277" t="s">
        <v>111</v>
      </c>
      <c r="B18" s="276">
        <f>SUM(B7+B17)</f>
        <v>0</v>
      </c>
      <c r="C18" s="277" t="s">
        <v>111</v>
      </c>
      <c r="D18" s="276">
        <f>SUM(D7+D17)</f>
        <v>0</v>
      </c>
      <c r="E18" s="277" t="s">
        <v>111</v>
      </c>
      <c r="F18" s="276">
        <f>SUM(F7+F17)</f>
        <v>0</v>
      </c>
      <c r="G18" s="277" t="s">
        <v>111</v>
      </c>
      <c r="H18" s="276">
        <f>SUM(H7+H17)</f>
        <v>0</v>
      </c>
      <c r="I18" s="277" t="s">
        <v>111</v>
      </c>
      <c r="J18" s="276">
        <f>SUM(J7+J17)</f>
        <v>0</v>
      </c>
      <c r="K18" s="276">
        <f>SUM(B18+D18+F18+H18+J18)</f>
        <v>0</v>
      </c>
    </row>
    <row r="19" spans="1:11" ht="15.75">
      <c r="A19" s="277" t="s">
        <v>113</v>
      </c>
      <c r="B19" s="278"/>
      <c r="C19" s="277" t="s">
        <v>113</v>
      </c>
      <c r="D19" s="279"/>
      <c r="E19" s="277" t="s">
        <v>113</v>
      </c>
      <c r="F19" s="263"/>
      <c r="G19" s="277" t="s">
        <v>113</v>
      </c>
      <c r="H19" s="139"/>
      <c r="I19" s="277" t="s">
        <v>113</v>
      </c>
      <c r="J19" s="139"/>
      <c r="K19" s="263"/>
    </row>
    <row r="20" spans="1:11" ht="15.75">
      <c r="A20" s="280"/>
      <c r="B20" s="274"/>
      <c r="C20" s="283"/>
      <c r="D20" s="274"/>
      <c r="E20" s="283"/>
      <c r="F20" s="274"/>
      <c r="G20" s="283"/>
      <c r="H20" s="274"/>
      <c r="I20" s="283"/>
      <c r="J20" s="274"/>
      <c r="K20" s="263"/>
    </row>
    <row r="21" spans="1:11" ht="15.75">
      <c r="A21" s="280"/>
      <c r="B21" s="274"/>
      <c r="C21" s="283"/>
      <c r="D21" s="274"/>
      <c r="E21" s="283"/>
      <c r="F21" s="274"/>
      <c r="G21" s="283"/>
      <c r="H21" s="274"/>
      <c r="I21" s="283"/>
      <c r="J21" s="274"/>
      <c r="K21" s="263"/>
    </row>
    <row r="22" spans="1:11" ht="15.75">
      <c r="A22" s="280"/>
      <c r="B22" s="274"/>
      <c r="C22" s="285"/>
      <c r="D22" s="274"/>
      <c r="E22" s="285"/>
      <c r="F22" s="274"/>
      <c r="G22" s="285"/>
      <c r="H22" s="274"/>
      <c r="I22" s="282"/>
      <c r="J22" s="274"/>
      <c r="K22" s="263"/>
    </row>
    <row r="23" spans="1:11" ht="15.75">
      <c r="A23" s="280"/>
      <c r="B23" s="274"/>
      <c r="C23" s="283"/>
      <c r="D23" s="274"/>
      <c r="E23" s="283"/>
      <c r="F23" s="274"/>
      <c r="G23" s="283"/>
      <c r="H23" s="274"/>
      <c r="I23" s="283"/>
      <c r="J23" s="274"/>
      <c r="K23" s="263"/>
    </row>
    <row r="24" spans="1:11" ht="15.75">
      <c r="A24" s="280"/>
      <c r="B24" s="274"/>
      <c r="C24" s="285"/>
      <c r="D24" s="274"/>
      <c r="E24" s="285"/>
      <c r="F24" s="274"/>
      <c r="G24" s="285"/>
      <c r="H24" s="274"/>
      <c r="I24" s="282"/>
      <c r="J24" s="274"/>
      <c r="K24" s="263"/>
    </row>
    <row r="25" spans="1:11" ht="15.75">
      <c r="A25" s="280"/>
      <c r="B25" s="274"/>
      <c r="C25" s="283"/>
      <c r="D25" s="274"/>
      <c r="E25" s="283"/>
      <c r="F25" s="274"/>
      <c r="G25" s="283"/>
      <c r="H25" s="274"/>
      <c r="I25" s="283"/>
      <c r="J25" s="274"/>
      <c r="K25" s="263"/>
    </row>
    <row r="26" spans="1:11" ht="15.75">
      <c r="A26" s="280"/>
      <c r="B26" s="274"/>
      <c r="C26" s="283"/>
      <c r="D26" s="274"/>
      <c r="E26" s="283"/>
      <c r="F26" s="274"/>
      <c r="G26" s="283"/>
      <c r="H26" s="274"/>
      <c r="I26" s="283"/>
      <c r="J26" s="274"/>
      <c r="K26" s="263"/>
    </row>
    <row r="27" spans="1:11" ht="15.75">
      <c r="A27" s="280"/>
      <c r="B27" s="274"/>
      <c r="C27" s="280"/>
      <c r="D27" s="274"/>
      <c r="E27" s="280"/>
      <c r="F27" s="274"/>
      <c r="G27" s="283"/>
      <c r="H27" s="274"/>
      <c r="I27" s="283"/>
      <c r="J27" s="274"/>
      <c r="K27" s="263"/>
    </row>
    <row r="28" spans="1:11" ht="15.75">
      <c r="A28" s="277" t="s">
        <v>117</v>
      </c>
      <c r="B28" s="276">
        <f>SUM(B20:B27)</f>
        <v>0</v>
      </c>
      <c r="C28" s="277" t="s">
        <v>117</v>
      </c>
      <c r="D28" s="276">
        <f>SUM(D20:D27)</f>
        <v>0</v>
      </c>
      <c r="E28" s="277" t="s">
        <v>117</v>
      </c>
      <c r="F28" s="339">
        <f>SUM(F20:F27)</f>
        <v>0</v>
      </c>
      <c r="G28" s="277" t="s">
        <v>117</v>
      </c>
      <c r="H28" s="339">
        <f>SUM(H20:H27)</f>
        <v>0</v>
      </c>
      <c r="I28" s="277" t="s">
        <v>117</v>
      </c>
      <c r="J28" s="276">
        <f>SUM(J20:J27)</f>
        <v>0</v>
      </c>
      <c r="K28" s="276">
        <f>SUM(B28+D28+F28+H28+J28)</f>
        <v>0</v>
      </c>
    </row>
    <row r="29" spans="1:12" ht="15.75">
      <c r="A29" s="277" t="s">
        <v>231</v>
      </c>
      <c r="B29" s="276">
        <f>SUM(B18-B28)</f>
        <v>0</v>
      </c>
      <c r="C29" s="277" t="s">
        <v>231</v>
      </c>
      <c r="D29" s="276">
        <f>SUM(D18-D28)</f>
        <v>0</v>
      </c>
      <c r="E29" s="277" t="s">
        <v>231</v>
      </c>
      <c r="F29" s="276">
        <f>SUM(F18-F28)</f>
        <v>0</v>
      </c>
      <c r="G29" s="277" t="s">
        <v>231</v>
      </c>
      <c r="H29" s="276">
        <f>SUM(H18-H28)</f>
        <v>0</v>
      </c>
      <c r="I29" s="277" t="s">
        <v>231</v>
      </c>
      <c r="J29" s="276">
        <f>SUM(J18-J28)</f>
        <v>0</v>
      </c>
      <c r="K29" s="286">
        <f>SUM(B29+D29+F29+H29+J29)</f>
        <v>0</v>
      </c>
      <c r="L29" s="29" t="s">
        <v>300</v>
      </c>
    </row>
    <row r="30" spans="1:12" ht="15.75">
      <c r="A30" s="277"/>
      <c r="B30" s="310">
        <f>IF(B29&lt;0,"See Tab B","")</f>
      </c>
      <c r="C30" s="277"/>
      <c r="D30" s="310">
        <f>IF(D29&lt;0,"See Tab B","")</f>
      </c>
      <c r="E30" s="277"/>
      <c r="F30" s="310">
        <f>IF(F29&lt;0,"See Tab B","")</f>
      </c>
      <c r="G30" s="139"/>
      <c r="H30" s="310">
        <f>IF(H29&lt;0,"See Tab B","")</f>
      </c>
      <c r="I30" s="139"/>
      <c r="J30" s="310">
        <f>IF(J29&lt;0,"See Tab B","")</f>
      </c>
      <c r="K30" s="286">
        <f>SUM(K7+K17-K28)</f>
        <v>0</v>
      </c>
      <c r="L30" s="29" t="s">
        <v>300</v>
      </c>
    </row>
    <row r="31" spans="1:11" ht="15.75">
      <c r="A31" s="139"/>
      <c r="B31" s="144"/>
      <c r="C31" s="139"/>
      <c r="D31" s="263"/>
      <c r="E31" s="139"/>
      <c r="F31" s="139"/>
      <c r="G31" s="39" t="s">
        <v>301</v>
      </c>
      <c r="H31" s="39"/>
      <c r="I31" s="39"/>
      <c r="J31" s="39"/>
      <c r="K31" s="139"/>
    </row>
    <row r="32" spans="1:11" ht="15.75">
      <c r="A32" s="139"/>
      <c r="B32" s="144"/>
      <c r="C32" s="139"/>
      <c r="D32" s="139"/>
      <c r="E32" s="139"/>
      <c r="F32" s="139"/>
      <c r="G32" s="139"/>
      <c r="H32" s="139"/>
      <c r="I32" s="139"/>
      <c r="J32" s="139"/>
      <c r="K32" s="139"/>
    </row>
    <row r="33" spans="1:11" ht="15.75">
      <c r="A33" s="139"/>
      <c r="B33" s="144"/>
      <c r="C33" s="139"/>
      <c r="D33" s="139"/>
      <c r="E33" s="152" t="s">
        <v>120</v>
      </c>
      <c r="F33" s="743"/>
      <c r="G33" s="139"/>
      <c r="H33" s="139"/>
      <c r="I33" s="139"/>
      <c r="J33" s="139"/>
      <c r="K33" s="139"/>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1">
      <selection activeCell="N117" sqref="N117"/>
    </sheetView>
  </sheetViews>
  <sheetFormatPr defaultColWidth="8.796875" defaultRowHeight="15"/>
  <cols>
    <col min="1" max="1" width="70.59765625" style="81" customWidth="1"/>
    <col min="2" max="16384" width="8.8984375" style="81" customWidth="1"/>
  </cols>
  <sheetData>
    <row r="1" ht="18.75">
      <c r="A1" s="451" t="s">
        <v>321</v>
      </c>
    </row>
    <row r="2" ht="15.75">
      <c r="A2" s="1"/>
    </row>
    <row r="3" ht="57" customHeight="1">
      <c r="A3" s="452" t="s">
        <v>322</v>
      </c>
    </row>
    <row r="4" ht="15.75">
      <c r="A4" s="450"/>
    </row>
    <row r="5" ht="15.75">
      <c r="A5" s="1"/>
    </row>
    <row r="6" ht="44.25" customHeight="1">
      <c r="A6" s="452" t="s">
        <v>323</v>
      </c>
    </row>
    <row r="7" ht="15.75">
      <c r="A7" s="1"/>
    </row>
    <row r="8" ht="15.75">
      <c r="A8" s="450"/>
    </row>
    <row r="9" ht="46.5" customHeight="1">
      <c r="A9" s="452" t="s">
        <v>324</v>
      </c>
    </row>
    <row r="10" ht="15.75">
      <c r="A10" s="1"/>
    </row>
    <row r="11" ht="15.75">
      <c r="A11" s="450"/>
    </row>
    <row r="12" ht="60" customHeight="1">
      <c r="A12" s="452" t="s">
        <v>325</v>
      </c>
    </row>
    <row r="13" ht="15.75">
      <c r="A13" s="1"/>
    </row>
    <row r="14" ht="15.75">
      <c r="A14" s="1"/>
    </row>
    <row r="15" ht="61.5" customHeight="1">
      <c r="A15" s="452" t="s">
        <v>326</v>
      </c>
    </row>
    <row r="16" ht="15.75">
      <c r="A16" s="1"/>
    </row>
    <row r="17" ht="15.75">
      <c r="A17" s="1"/>
    </row>
    <row r="18" ht="59.25" customHeight="1">
      <c r="A18" s="452" t="s">
        <v>327</v>
      </c>
    </row>
    <row r="19" ht="15.75">
      <c r="A19" s="1"/>
    </row>
    <row r="20" ht="15.75">
      <c r="A20" s="1"/>
    </row>
    <row r="21" ht="61.5" customHeight="1">
      <c r="A21" s="452" t="s">
        <v>328</v>
      </c>
    </row>
    <row r="22" ht="15.75">
      <c r="A22" s="450"/>
    </row>
    <row r="23" ht="15.75">
      <c r="A23" s="450"/>
    </row>
    <row r="24" ht="63" customHeight="1">
      <c r="A24" s="452" t="s">
        <v>329</v>
      </c>
    </row>
    <row r="25" ht="15.75">
      <c r="A25" s="1"/>
    </row>
    <row r="26" ht="15.75">
      <c r="A26" s="1"/>
    </row>
    <row r="27" ht="52.5" customHeight="1">
      <c r="A27" s="463" t="s">
        <v>712</v>
      </c>
    </row>
    <row r="28" ht="15.75">
      <c r="A28" s="1"/>
    </row>
    <row r="29" ht="15.75">
      <c r="A29" s="1"/>
    </row>
    <row r="30" ht="44.25" customHeight="1">
      <c r="A30" s="452" t="s">
        <v>330</v>
      </c>
    </row>
    <row r="31" ht="15.75">
      <c r="A31" s="1"/>
    </row>
    <row r="32" ht="15.75">
      <c r="A32" s="1"/>
    </row>
    <row r="33" ht="42.75" customHeight="1">
      <c r="A33" s="452" t="s">
        <v>331</v>
      </c>
    </row>
    <row r="34" ht="15.75">
      <c r="A34" s="450"/>
    </row>
    <row r="35" ht="15.75">
      <c r="A35" s="450"/>
    </row>
    <row r="36" ht="38.25" customHeight="1">
      <c r="A36" s="452" t="s">
        <v>332</v>
      </c>
    </row>
    <row r="37" ht="15.75">
      <c r="A37" s="450"/>
    </row>
    <row r="38" ht="15.75">
      <c r="A38" s="1"/>
    </row>
    <row r="39" ht="75.75" customHeight="1">
      <c r="A39" s="452" t="s">
        <v>333</v>
      </c>
    </row>
    <row r="40" ht="15.75">
      <c r="A40" s="1"/>
    </row>
    <row r="41" ht="15.75">
      <c r="A41" s="1"/>
    </row>
    <row r="42" ht="57.75" customHeight="1">
      <c r="A42" s="452" t="s">
        <v>334</v>
      </c>
    </row>
    <row r="43" ht="15.75">
      <c r="A43" s="450"/>
    </row>
    <row r="44" ht="15.75">
      <c r="A44" s="1"/>
    </row>
    <row r="45" ht="57.75" customHeight="1">
      <c r="A45" s="452" t="s">
        <v>335</v>
      </c>
    </row>
    <row r="46" ht="15.75">
      <c r="A46" s="1"/>
    </row>
    <row r="47" ht="15.75">
      <c r="A47" s="1"/>
    </row>
    <row r="48" ht="41.25" customHeight="1">
      <c r="A48" s="452" t="s">
        <v>336</v>
      </c>
    </row>
    <row r="49" ht="15.75">
      <c r="A49" s="1"/>
    </row>
    <row r="50" ht="15.75">
      <c r="A50" s="1"/>
    </row>
    <row r="51" ht="75" customHeight="1">
      <c r="A51" s="452" t="s">
        <v>337</v>
      </c>
    </row>
    <row r="52" ht="15.75">
      <c r="A52" s="450"/>
    </row>
    <row r="53" ht="15.75">
      <c r="A53" s="450"/>
    </row>
    <row r="54" ht="57.75" customHeight="1">
      <c r="A54" s="452" t="s">
        <v>338</v>
      </c>
    </row>
    <row r="55" ht="15.75">
      <c r="A55" s="1"/>
    </row>
    <row r="56" ht="15.75">
      <c r="A56" s="1"/>
    </row>
    <row r="57" ht="44.25" customHeight="1">
      <c r="A57" s="452" t="s">
        <v>339</v>
      </c>
    </row>
    <row r="58" ht="15.75">
      <c r="A58" s="1"/>
    </row>
    <row r="59" ht="15.75">
      <c r="A59" s="1"/>
    </row>
    <row r="60" ht="60" customHeight="1">
      <c r="A60" s="452" t="s">
        <v>340</v>
      </c>
    </row>
    <row r="61" ht="15.75">
      <c r="A61" s="450"/>
    </row>
    <row r="62" ht="15.75">
      <c r="A62" s="450"/>
    </row>
    <row r="63" ht="57.75" customHeight="1">
      <c r="A63" s="452" t="s">
        <v>341</v>
      </c>
    </row>
    <row r="64" ht="15.75">
      <c r="A64" s="1"/>
    </row>
    <row r="65" ht="15.75">
      <c r="A65" s="1"/>
    </row>
    <row r="66" ht="60" customHeight="1">
      <c r="A66" s="452" t="s">
        <v>342</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
      <selection activeCell="U133" sqref="U133"/>
    </sheetView>
  </sheetViews>
  <sheetFormatPr defaultColWidth="8.796875" defaultRowHeight="15"/>
  <cols>
    <col min="1" max="1" width="20.796875" style="29" customWidth="1"/>
    <col min="2" max="2" width="15.796875" style="29" customWidth="1"/>
    <col min="3" max="3" width="10.796875" style="29" customWidth="1"/>
    <col min="4" max="4" width="15.796875" style="29" customWidth="1"/>
    <col min="5" max="5" width="10.796875" style="29" customWidth="1"/>
    <col min="6" max="6" width="15.796875" style="29" customWidth="1"/>
    <col min="7" max="7" width="12.796875" style="29" customWidth="1"/>
    <col min="8" max="8" width="10.796875" style="29" customWidth="1"/>
    <col min="9" max="9" width="8.8984375" style="29" customWidth="1"/>
    <col min="10" max="10" width="12.3984375" style="29" customWidth="1"/>
    <col min="11" max="11" width="12.296875" style="29" customWidth="1"/>
    <col min="12" max="12" width="10.59765625" style="29" customWidth="1"/>
    <col min="13" max="13" width="12.09765625" style="29" customWidth="1"/>
    <col min="14" max="16384" width="8.8984375" style="29" customWidth="1"/>
  </cols>
  <sheetData>
    <row r="1" spans="1:9" ht="15.75">
      <c r="A1" s="878" t="s">
        <v>165</v>
      </c>
      <c r="B1" s="878"/>
      <c r="C1" s="878"/>
      <c r="D1" s="878"/>
      <c r="E1" s="878"/>
      <c r="F1" s="878"/>
      <c r="G1" s="878"/>
      <c r="H1" s="878"/>
      <c r="I1" s="289"/>
    </row>
    <row r="2" spans="1:8" ht="18" customHeight="1">
      <c r="A2" s="43"/>
      <c r="B2" s="43"/>
      <c r="C2" s="43"/>
      <c r="D2" s="43"/>
      <c r="E2" s="43"/>
      <c r="F2" s="43"/>
      <c r="G2" s="43"/>
      <c r="H2" s="43">
        <f>inputPrYr!$C$6</f>
        <v>0</v>
      </c>
    </row>
    <row r="3" spans="1:8" ht="18" customHeight="1">
      <c r="A3" s="865" t="s">
        <v>122</v>
      </c>
      <c r="B3" s="865"/>
      <c r="C3" s="865"/>
      <c r="D3" s="865"/>
      <c r="E3" s="865"/>
      <c r="F3" s="865"/>
      <c r="G3" s="865"/>
      <c r="H3" s="865"/>
    </row>
    <row r="4" spans="1:8" ht="15.75">
      <c r="A4" s="845">
        <f>inputPrYr!D3</f>
        <v>0</v>
      </c>
      <c r="B4" s="845"/>
      <c r="C4" s="845"/>
      <c r="D4" s="845"/>
      <c r="E4" s="845"/>
      <c r="F4" s="845"/>
      <c r="G4" s="845"/>
      <c r="H4" s="845"/>
    </row>
    <row r="5" spans="1:8" ht="18" customHeight="1">
      <c r="A5" s="922" t="str">
        <f>CONCATENATE("will meet on ",inputBudSum!B7," at ",inputBudSum!B9," at ",inputBudSum!B11," for the purpose of hearing and")</f>
        <v>will meet on  at  at  for the purpose of hearing and</v>
      </c>
      <c r="B5" s="922"/>
      <c r="C5" s="922"/>
      <c r="D5" s="922"/>
      <c r="E5" s="922"/>
      <c r="F5" s="922"/>
      <c r="G5" s="922"/>
      <c r="H5" s="922"/>
    </row>
    <row r="6" spans="1:8" ht="16.5" customHeight="1">
      <c r="A6" s="865" t="s">
        <v>606</v>
      </c>
      <c r="B6" s="865"/>
      <c r="C6" s="865"/>
      <c r="D6" s="865"/>
      <c r="E6" s="865"/>
      <c r="F6" s="865"/>
      <c r="G6" s="865"/>
      <c r="H6" s="865"/>
    </row>
    <row r="7" spans="1:8" ht="16.5" customHeight="1">
      <c r="A7" s="921" t="str">
        <f>CONCATENATE("Detailed budget information is available at ",inputBudSum!B14," and will be available at this hearing.")</f>
        <v>Detailed budget information is available at  and will be available at this hearing.</v>
      </c>
      <c r="B7" s="921"/>
      <c r="C7" s="921"/>
      <c r="D7" s="921"/>
      <c r="E7" s="921"/>
      <c r="F7" s="921"/>
      <c r="G7" s="921"/>
      <c r="H7" s="921"/>
    </row>
    <row r="8" spans="1:8" ht="15.75">
      <c r="A8" s="47" t="s">
        <v>166</v>
      </c>
      <c r="B8" s="48"/>
      <c r="C8" s="48"/>
      <c r="D8" s="48"/>
      <c r="E8" s="48"/>
      <c r="F8" s="48"/>
      <c r="G8" s="48"/>
      <c r="H8" s="48"/>
    </row>
    <row r="9" spans="1:8" ht="15.75">
      <c r="A9" s="105" t="str">
        <f>CONCATENATE("Proposed Budget ",H2," Expenditures and Amount of ",H2-1," Ad Valorem Tax establish the maximum limits of the ",H2," budget.")</f>
        <v>Proposed Budget 0 Expenditures and Amount of -1 Ad Valorem Tax establish the maximum limits of the 0 budget.</v>
      </c>
      <c r="B9" s="48"/>
      <c r="C9" s="48"/>
      <c r="D9" s="48"/>
      <c r="E9" s="48"/>
      <c r="F9" s="48"/>
      <c r="G9" s="48"/>
      <c r="H9" s="48"/>
    </row>
    <row r="10" spans="1:8" ht="15.75">
      <c r="A10" s="105" t="s">
        <v>217</v>
      </c>
      <c r="B10" s="48"/>
      <c r="C10" s="48"/>
      <c r="D10" s="48"/>
      <c r="E10" s="48"/>
      <c r="F10" s="48"/>
      <c r="G10" s="48"/>
      <c r="H10" s="48"/>
    </row>
    <row r="11" spans="1:8" ht="15.75">
      <c r="A11" s="43"/>
      <c r="B11" s="252"/>
      <c r="C11" s="252"/>
      <c r="D11" s="252"/>
      <c r="E11" s="252"/>
      <c r="F11" s="252"/>
      <c r="G11" s="252"/>
      <c r="H11" s="252"/>
    </row>
    <row r="12" spans="1:8" ht="15.75">
      <c r="A12" s="43"/>
      <c r="B12" s="290" t="str">
        <f>CONCATENATE("Prior Year Actual for ",H2-2,"")</f>
        <v>Prior Year Actual for -2</v>
      </c>
      <c r="C12" s="108"/>
      <c r="D12" s="290" t="str">
        <f>CONCATENATE("Current Year Estimate for ",H2-1,"")</f>
        <v>Current Year Estimate for -1</v>
      </c>
      <c r="E12" s="108"/>
      <c r="F12" s="106" t="str">
        <f>CONCATENATE("Proposed Budget Year for ",H2,"")</f>
        <v>Proposed Budget Year for 0</v>
      </c>
      <c r="G12" s="107"/>
      <c r="H12" s="108"/>
    </row>
    <row r="13" spans="1:8" ht="21" customHeight="1">
      <c r="A13" s="43"/>
      <c r="B13" s="242"/>
      <c r="C13" s="111" t="s">
        <v>123</v>
      </c>
      <c r="D13" s="111"/>
      <c r="E13" s="111" t="s">
        <v>123</v>
      </c>
      <c r="F13" s="520" t="s">
        <v>9</v>
      </c>
      <c r="G13" s="111" t="str">
        <f>CONCATENATE("Amount of ",H2-1,"")</f>
        <v>Amount of -1</v>
      </c>
      <c r="H13" s="111" t="s">
        <v>270</v>
      </c>
    </row>
    <row r="14" spans="1:8" ht="15.75">
      <c r="A14" s="52" t="s">
        <v>124</v>
      </c>
      <c r="B14" s="115" t="s">
        <v>125</v>
      </c>
      <c r="C14" s="115" t="s">
        <v>126</v>
      </c>
      <c r="D14" s="115" t="s">
        <v>125</v>
      </c>
      <c r="E14" s="115" t="s">
        <v>126</v>
      </c>
      <c r="F14" s="521" t="s">
        <v>627</v>
      </c>
      <c r="G14" s="116" t="s">
        <v>102</v>
      </c>
      <c r="H14" s="115" t="s">
        <v>126</v>
      </c>
    </row>
    <row r="15" spans="1:8" ht="15.75">
      <c r="A15" s="69" t="str">
        <f>inputPrYr!B18</f>
        <v>General</v>
      </c>
      <c r="B15" s="69" t="str">
        <f>IF(general!$C$113&lt;&gt;0,general!$C$113,"  ")</f>
        <v>  </v>
      </c>
      <c r="C15" s="291" t="str">
        <f>IF(inputPrYr!D85&gt;0,inputPrYr!D85,"  ")</f>
        <v>  </v>
      </c>
      <c r="D15" s="69" t="str">
        <f>IF(general!$D$113&lt;&gt;0,general!$D$113,"  ")</f>
        <v>  </v>
      </c>
      <c r="E15" s="291" t="str">
        <f>IF(inputOth!D21&gt;0,inputOth!D21,"  ")</f>
        <v>  </v>
      </c>
      <c r="F15" s="69" t="str">
        <f>IF(general!$E$113&lt;&gt;0,general!$E$113,"  ")</f>
        <v>  </v>
      </c>
      <c r="G15" s="69" t="str">
        <f>IF(general!$E$120&lt;&gt;0,general!$E$120,"  ")</f>
        <v>  </v>
      </c>
      <c r="H15" s="291">
        <f>IF(general!E120&gt;0,ROUND(G15/$F$57*1000,3),"")</f>
      </c>
    </row>
    <row r="16" spans="1:8" ht="15.75">
      <c r="A16" s="69" t="str">
        <f>inputPrYr!B19</f>
        <v>Debt Service</v>
      </c>
      <c r="B16" s="69" t="str">
        <f>IF('DebtSvs-library'!C35&lt;&gt;0,'DebtSvs-library'!C35,"  ")</f>
        <v>  </v>
      </c>
      <c r="C16" s="291" t="str">
        <f>IF(inputPrYr!D86&gt;0,inputPrYr!D86,"  ")</f>
        <v>  </v>
      </c>
      <c r="D16" s="69" t="str">
        <f>IF('DebtSvs-library'!D35&lt;&gt;0,'DebtSvs-library'!D35,"  ")</f>
        <v>  </v>
      </c>
      <c r="E16" s="291" t="str">
        <f>IF(inputOth!D22&gt;0,inputOth!D22,"  ")</f>
        <v>  </v>
      </c>
      <c r="F16" s="69" t="str">
        <f>IF('DebtSvs-library'!E35&lt;&gt;0,'DebtSvs-library'!E35,"  ")</f>
        <v>  </v>
      </c>
      <c r="G16" s="69" t="str">
        <f>IF('DebtSvs-library'!E42&lt;&gt;0,'DebtSvs-library'!E42,"  ")</f>
        <v>  </v>
      </c>
      <c r="H16" s="291" t="str">
        <f>IF('DebtSvs-library'!E42&gt;0,ROUND(G16/$F$57*1000,3),"  ")</f>
        <v>  </v>
      </c>
    </row>
    <row r="17" spans="1:8" ht="15.75">
      <c r="A17" s="69" t="str">
        <f>IF(inputPrYr!$B20&gt;"  ",(inputPrYr!$B20),"  ")</f>
        <v>Library</v>
      </c>
      <c r="B17" s="69" t="str">
        <f>IF('DebtSvs-library'!C77&lt;&gt;0,'DebtSvs-library'!C77,"  ")</f>
        <v>  </v>
      </c>
      <c r="C17" s="291" t="str">
        <f>IF(inputPrYr!D87&gt;0,inputPrYr!D87,"  ")</f>
        <v>  </v>
      </c>
      <c r="D17" s="69" t="str">
        <f>IF('DebtSvs-library'!D77&lt;&gt;0,'DebtSvs-library'!D77,"  ")</f>
        <v>  </v>
      </c>
      <c r="E17" s="291" t="str">
        <f>IF(inputOth!D23&gt;0,inputOth!D23,"  ")</f>
        <v>  </v>
      </c>
      <c r="F17" s="69" t="str">
        <f>IF('DebtSvs-library'!E77&lt;&gt;0,'DebtSvs-library'!E77,"  ")</f>
        <v>  </v>
      </c>
      <c r="G17" s="69" t="str">
        <f>IF('DebtSvs-library'!E84&lt;&gt;0,'DebtSvs-library'!E84,"  ")</f>
        <v>  </v>
      </c>
      <c r="H17" s="291" t="str">
        <f>IF('DebtSvs-library'!E84&lt;&gt;0,ROUND(G17/$F$57*1000,3),"  ")</f>
        <v>  </v>
      </c>
    </row>
    <row r="18" spans="1:8" ht="15.75">
      <c r="A18" s="69" t="str">
        <f>IF(inputPrYr!$B22&gt;"  ",(inputPrYr!$B22),"  ")</f>
        <v>  </v>
      </c>
      <c r="B18" s="69" t="str">
        <f>IF('levy page9'!$C$35&gt;0,'levy page9'!$C$35,"  ")</f>
        <v>  </v>
      </c>
      <c r="C18" s="291" t="str">
        <f>IF(inputPrYr!D88&gt;0,inputPrYr!D88,"  ")</f>
        <v>  </v>
      </c>
      <c r="D18" s="69" t="str">
        <f>IF('levy page9'!$D$35&gt;0,'levy page9'!$D$35,"  ")</f>
        <v>  </v>
      </c>
      <c r="E18" s="291" t="str">
        <f>IF(inputOth!D24&gt;0,inputOth!D24,"  ")</f>
        <v>  </v>
      </c>
      <c r="F18" s="69" t="str">
        <f>IF('levy page9'!$E$35&gt;0,'levy page9'!$E$35,"  ")</f>
        <v>  </v>
      </c>
      <c r="G18" s="69" t="str">
        <f>IF('levy page9'!$E$42&lt;&gt;0,'levy page9'!$E$42,"  ")</f>
        <v>  </v>
      </c>
      <c r="H18" s="291" t="str">
        <f>IF('levy page9'!E42&lt;&gt;0,ROUND(G18/$F$57*1000,3),"  ")</f>
        <v>  </v>
      </c>
    </row>
    <row r="19" spans="1:8" ht="15.75">
      <c r="A19" s="69" t="str">
        <f>IF(inputPrYr!$B23&gt;"  ",(inputPrYr!$B23),"  ")</f>
        <v>  </v>
      </c>
      <c r="B19" s="69" t="str">
        <f>IF('levy page9'!$C$77&gt;0,'levy page9'!$C$77,"  ")</f>
        <v>  </v>
      </c>
      <c r="C19" s="291" t="str">
        <f>IF(inputPrYr!D89&gt;0,inputPrYr!D89,"  ")</f>
        <v>  </v>
      </c>
      <c r="D19" s="69" t="str">
        <f>IF('levy page9'!$D$77&gt;0,'levy page9'!$D$77,"  ")</f>
        <v>  </v>
      </c>
      <c r="E19" s="291" t="str">
        <f>IF(inputOth!D25&gt;0,inputOth!D25,"  ")</f>
        <v>  </v>
      </c>
      <c r="F19" s="69" t="str">
        <f>IF('levy page9'!$E$77&gt;0,'levy page9'!$E$77,"  ")</f>
        <v>  </v>
      </c>
      <c r="G19" s="69" t="str">
        <f>IF('levy page9'!$E$84&lt;&gt;0,'levy page9'!$E$84,"  ")</f>
        <v>  </v>
      </c>
      <c r="H19" s="291" t="str">
        <f>IF('levy page9'!E84&lt;&gt;0,ROUND(G19/$F$57*1000,3),"  ")</f>
        <v>  </v>
      </c>
    </row>
    <row r="20" spans="1:8" ht="15.75">
      <c r="A20" s="69" t="str">
        <f>IF(inputPrYr!$B24&gt;"  ",(inputPrYr!$B24),"  ")</f>
        <v>  </v>
      </c>
      <c r="B20" s="69" t="str">
        <f>IF('levy page10'!$C$35&gt;0,'levy page10'!$C$35,"  ")</f>
        <v>  </v>
      </c>
      <c r="C20" s="291" t="str">
        <f>IF(inputPrYr!D90&gt;0,inputPrYr!D90,"  ")</f>
        <v>  </v>
      </c>
      <c r="D20" s="69" t="str">
        <f>IF('levy page10'!$D$35&gt;0,'levy page10'!$D$35,"  ")</f>
        <v>  </v>
      </c>
      <c r="E20" s="291" t="str">
        <f>IF(inputOth!D26&gt;0,inputOth!D26,"  ")</f>
        <v>  </v>
      </c>
      <c r="F20" s="69" t="str">
        <f>IF('levy page10'!$E$35&gt;0,'levy page10'!$E$35,"  ")</f>
        <v>  </v>
      </c>
      <c r="G20" s="69" t="str">
        <f>IF('levy page10'!$E$42&lt;&gt;0,'levy page10'!$E$42,"  ")</f>
        <v>  </v>
      </c>
      <c r="H20" s="291" t="str">
        <f>IF('levy page10'!E42&lt;&gt;0,ROUND(G20/$F$57*1000,3),"  ")</f>
        <v>  </v>
      </c>
    </row>
    <row r="21" spans="1:8" ht="15.75">
      <c r="A21" s="69" t="str">
        <f>IF(inputPrYr!$B25&gt;"  ",(inputPrYr!$B25),"  ")</f>
        <v>  </v>
      </c>
      <c r="B21" s="69" t="str">
        <f>IF('levy page10'!$C$77&gt;0,'levy page10'!$C$77,"  ")</f>
        <v>  </v>
      </c>
      <c r="C21" s="291" t="str">
        <f>IF(inputPrYr!D91&gt;0,inputPrYr!D91,"  ")</f>
        <v>  </v>
      </c>
      <c r="D21" s="69" t="str">
        <f>IF('levy page10'!$D$77&gt;0,'levy page10'!$D$77,"  ")</f>
        <v>  </v>
      </c>
      <c r="E21" s="291" t="str">
        <f>IF(inputOth!D27&gt;0,inputOth!D27,"  ")</f>
        <v>  </v>
      </c>
      <c r="F21" s="69" t="str">
        <f>IF('levy page10'!$E$77&gt;0,'levy page10'!$E$77,"  ")</f>
        <v>  </v>
      </c>
      <c r="G21" s="69" t="str">
        <f>IF('levy page10'!$E$84&lt;&gt;0,'levy page10'!$E$84,"  ")</f>
        <v>  </v>
      </c>
      <c r="H21" s="291" t="str">
        <f>IF('levy page10'!E84&lt;&gt;0,ROUND(G21/$F$57*1000,3),"  ")</f>
        <v>  </v>
      </c>
    </row>
    <row r="22" spans="1:8" ht="15.75">
      <c r="A22" s="69" t="str">
        <f>IF(inputPrYr!$B26&gt;"  ",(inputPrYr!$B26),"  ")</f>
        <v>  </v>
      </c>
      <c r="B22" s="69" t="str">
        <f>IF('levy page11'!$C$35&gt;0,'levy page11'!$C$35,"  ")</f>
        <v>  </v>
      </c>
      <c r="C22" s="291" t="str">
        <f>IF(inputPrYr!D92&gt;0,inputPrYr!D92,"  ")</f>
        <v>  </v>
      </c>
      <c r="D22" s="69" t="str">
        <f>IF('levy page11'!$D$35&gt;0,'levy page11'!$D$35,"  ")</f>
        <v>  </v>
      </c>
      <c r="E22" s="291" t="str">
        <f>IF(inputOth!D28&gt;0,inputOth!D28,"  ")</f>
        <v>  </v>
      </c>
      <c r="F22" s="69" t="str">
        <f>IF('levy page11'!$E$35&gt;0,'levy page11'!$E$35,"  ")</f>
        <v>  </v>
      </c>
      <c r="G22" s="69" t="str">
        <f>IF('levy page11'!$E$42&lt;&gt;0,'levy page11'!$E$42,"  ")</f>
        <v>  </v>
      </c>
      <c r="H22" s="291" t="str">
        <f>IF('levy page11'!E42&lt;&gt;0,ROUND(G22/$F$57*1000,3),"  ")</f>
        <v>  </v>
      </c>
    </row>
    <row r="23" spans="1:8" ht="15.75">
      <c r="A23" s="69" t="str">
        <f>IF(inputPrYr!$B27&gt;"  ",(inputPrYr!$B27),"  ")</f>
        <v>  </v>
      </c>
      <c r="B23" s="69" t="str">
        <f>IF('levy page11'!$C$77&gt;0,'levy page11'!$C$77,"  ")</f>
        <v>  </v>
      </c>
      <c r="C23" s="291" t="str">
        <f>IF(inputPrYr!D93&gt;0,inputPrYr!D93,"  ")</f>
        <v>  </v>
      </c>
      <c r="D23" s="69" t="str">
        <f>IF('levy page11'!$D$77&gt;0,'levy page11'!$D$77,"  ")</f>
        <v>  </v>
      </c>
      <c r="E23" s="291" t="str">
        <f>IF(inputOth!D29&gt;0,inputOth!D29,"  ")</f>
        <v>  </v>
      </c>
      <c r="F23" s="69" t="str">
        <f>IF('levy page11'!$E$77&gt;0,'levy page11'!$E$77,"  ")</f>
        <v>  </v>
      </c>
      <c r="G23" s="69" t="str">
        <f>IF('levy page11'!$E$84&lt;&gt;0,'levy page11'!$E$84,"  ")</f>
        <v>  </v>
      </c>
      <c r="H23" s="291" t="str">
        <f>IF('levy page11'!E84&lt;&gt;0,ROUND(G23/$F$57*1000,3),"  ")</f>
        <v>  </v>
      </c>
    </row>
    <row r="24" spans="1:8" ht="15.75">
      <c r="A24" s="69" t="str">
        <f>IF(inputPrYr!$B28&gt;"  ",(inputPrYr!$B28),"  ")</f>
        <v>  </v>
      </c>
      <c r="B24" s="69" t="str">
        <f>IF('levy page12'!$C$35&gt;0,'levy page12'!$C$35,"  ")</f>
        <v>  </v>
      </c>
      <c r="C24" s="291" t="str">
        <f>IF(inputPrYr!D94&gt;0,inputPrYr!D94,"  ")</f>
        <v>  </v>
      </c>
      <c r="D24" s="69" t="str">
        <f>IF('levy page12'!$D$35&gt;0,'levy page12'!$D$35,"  ")</f>
        <v>  </v>
      </c>
      <c r="E24" s="291" t="str">
        <f>IF(inputOth!D30&gt;0,inputOth!D30,"  ")</f>
        <v>  </v>
      </c>
      <c r="F24" s="69" t="str">
        <f>IF('levy page12'!$E$35&gt;0,'levy page12'!$E$35,"  ")</f>
        <v>  </v>
      </c>
      <c r="G24" s="69" t="str">
        <f>IF('levy page12'!$E$42&lt;&gt;0,'levy page12'!$E$42,"  ")</f>
        <v>  </v>
      </c>
      <c r="H24" s="291" t="str">
        <f>IF('levy page12'!E42&lt;&gt;0,ROUND(G24/$F$57*1000,3),"  ")</f>
        <v>  </v>
      </c>
    </row>
    <row r="25" spans="1:8" ht="15.75">
      <c r="A25" s="69" t="str">
        <f>IF(inputPrYr!$B29&gt;"  ",(inputPrYr!$B29),"  ")</f>
        <v>  </v>
      </c>
      <c r="B25" s="69" t="str">
        <f>IF('levy page12'!$C$77&gt;0,'levy page12'!$C$77,"  ")</f>
        <v>  </v>
      </c>
      <c r="C25" s="291" t="str">
        <f>IF(inputPrYr!D95&gt;0,inputPrYr!D95,"  ")</f>
        <v>  </v>
      </c>
      <c r="D25" s="69" t="str">
        <f>IF('levy page12'!$D$77&gt;0,'levy page12'!$D$77,"  ")</f>
        <v>  </v>
      </c>
      <c r="E25" s="291" t="str">
        <f>IF(inputOth!D31&gt;0,inputOth!D31,"  ")</f>
        <v>  </v>
      </c>
      <c r="F25" s="69" t="str">
        <f>IF('levy page12'!$E$77&gt;0,'levy page12'!$E$77,"  ")</f>
        <v>  </v>
      </c>
      <c r="G25" s="69" t="str">
        <f>IF('levy page12'!$E$84&lt;&gt;0,'levy page12'!$E$84,"  ")</f>
        <v>  </v>
      </c>
      <c r="H25" s="291" t="str">
        <f>IF('levy page12'!E84&lt;&gt;0,ROUND(G25/$F$57*1000,3),"  ")</f>
        <v>  </v>
      </c>
    </row>
    <row r="26" spans="1:8" ht="15.75">
      <c r="A26" s="69" t="str">
        <f>IF(inputPrYr!$B30&gt;"  ",(inputPrYr!$B30),"  ")</f>
        <v>  </v>
      </c>
      <c r="B26" s="69" t="str">
        <f>IF('levy page13'!$C$35&gt;0,'levy page13'!$C$35,"  ")</f>
        <v>  </v>
      </c>
      <c r="C26" s="291" t="str">
        <f>IF(inputPrYr!D96&gt;0,inputPrYr!D96,"  ")</f>
        <v>  </v>
      </c>
      <c r="D26" s="69" t="str">
        <f>IF('levy page13'!$D$35&gt;0,'levy page13'!$D$35,"  ")</f>
        <v>  </v>
      </c>
      <c r="E26" s="291" t="str">
        <f>IF(inputOth!D32&gt;0,inputOth!D32,"  ")</f>
        <v>  </v>
      </c>
      <c r="F26" s="69" t="str">
        <f>IF('levy page13'!$E$35&gt;0,'levy page13'!$E$35,"  ")</f>
        <v>  </v>
      </c>
      <c r="G26" s="69" t="str">
        <f>IF('levy page13'!$E$42&lt;&gt;0,'levy page13'!$E$42,"  ")</f>
        <v>  </v>
      </c>
      <c r="H26" s="291" t="str">
        <f>IF('levy page13'!E42&lt;&gt;0,ROUND(G26/$F$57*1000,3),"  ")</f>
        <v>  </v>
      </c>
    </row>
    <row r="27" spans="1:8" ht="15.75">
      <c r="A27" s="69" t="str">
        <f>IF(inputPrYr!B31&gt;"  ",(inputPrYr!B31),"  ")</f>
        <v>  </v>
      </c>
      <c r="B27" s="69" t="str">
        <f>IF('levy page13'!$C$77&gt;0,'levy page13'!$C$77,"  ")</f>
        <v>  </v>
      </c>
      <c r="C27" s="291" t="str">
        <f>IF(inputPrYr!D97&gt;0,inputPrYr!D97,"  ")</f>
        <v>  </v>
      </c>
      <c r="D27" s="69" t="str">
        <f>IF('levy page13'!$D$77&gt;0,'levy page13'!$D$77,"  ")</f>
        <v>  </v>
      </c>
      <c r="E27" s="291" t="str">
        <f>IF(inputOth!D33&gt;0,inputOth!D33,"  ")</f>
        <v>  </v>
      </c>
      <c r="F27" s="69" t="str">
        <f>IF('levy page13'!$E$77&gt;0,'levy page13'!$E$77,"  ")</f>
        <v>  </v>
      </c>
      <c r="G27" s="69" t="str">
        <f>IF('levy page13'!$E$84&lt;&gt;0,'levy page13'!$E$84,"  ")</f>
        <v>  </v>
      </c>
      <c r="H27" s="291" t="str">
        <f>IF('levy page13'!E84&lt;&gt;0,ROUND(G27/$F$57*1000,3),"  ")</f>
        <v>  </v>
      </c>
    </row>
    <row r="28" spans="1:8" ht="15.75">
      <c r="A28" s="69" t="str">
        <f>IF(inputPrYr!$B35&gt;"  ",(inputPrYr!$B35),"  ")</f>
        <v>Special Highway</v>
      </c>
      <c r="B28" s="69" t="str">
        <f>IF('Sp Hiway'!$C$30&gt;0,'Sp Hiway'!$C$30,"  ")</f>
        <v>  </v>
      </c>
      <c r="C28" s="53"/>
      <c r="D28" s="69" t="str">
        <f>IF('Sp Hiway'!$D$30&gt;0,'Sp Hiway'!$D$30,"  ")</f>
        <v>  </v>
      </c>
      <c r="E28" s="53"/>
      <c r="F28" s="69" t="str">
        <f>IF('Sp Hiway'!$E$30&gt;0,'Sp Hiway'!$E$30,"  ")</f>
        <v>  </v>
      </c>
      <c r="G28" s="69"/>
      <c r="H28" s="291"/>
    </row>
    <row r="29" spans="1:8" ht="15.75">
      <c r="A29" s="69" t="str">
        <f>IF(inputPrYr!$B36&gt;"  ",(inputPrYr!$B36),"  ")</f>
        <v>  </v>
      </c>
      <c r="B29" s="69" t="str">
        <f>IF('Sp Hiway'!$C$61&gt;0,'Sp Hiway'!$C$61,"  ")</f>
        <v>  </v>
      </c>
      <c r="C29" s="53"/>
      <c r="D29" s="69" t="str">
        <f>IF('Sp Hiway'!$D$61&gt;0,'Sp Hiway'!$D$61,"  ")</f>
        <v>  </v>
      </c>
      <c r="E29" s="53"/>
      <c r="F29" s="69" t="str">
        <f>IF('Sp Hiway'!$E$61&gt;0,'Sp Hiway'!$E$61,"  ")</f>
        <v>  </v>
      </c>
      <c r="G29" s="69"/>
      <c r="H29" s="291"/>
    </row>
    <row r="30" spans="1:8" ht="15.75">
      <c r="A30" s="69" t="str">
        <f>IF(inputPrYr!$B37&gt;"  ",(inputPrYr!$B37),"  ")</f>
        <v>  </v>
      </c>
      <c r="B30" s="69" t="str">
        <f>IF('no levy page15'!$C$28&gt;0,'no levy page15'!$C$28,"  ")</f>
        <v>  </v>
      </c>
      <c r="C30" s="53"/>
      <c r="D30" s="69" t="str">
        <f>IF('no levy page15'!$D$28&gt;0,'no levy page15'!$D$28,"  ")</f>
        <v>  </v>
      </c>
      <c r="E30" s="53"/>
      <c r="F30" s="69" t="str">
        <f>IF('no levy page15'!$E$28&gt;0,'no levy page15'!$E$28,"  ")</f>
        <v>  </v>
      </c>
      <c r="G30" s="69"/>
      <c r="H30" s="291"/>
    </row>
    <row r="31" spans="1:8" ht="15.75">
      <c r="A31" s="69" t="str">
        <f>IF(inputPrYr!$B38&gt;"  ",(inputPrYr!$B38),"  ")</f>
        <v>  </v>
      </c>
      <c r="B31" s="69" t="str">
        <f>IF('no levy page15'!$C$59&gt;0,'no levy page15'!$C$59,"  ")</f>
        <v>  </v>
      </c>
      <c r="C31" s="53"/>
      <c r="D31" s="69" t="str">
        <f>IF('no levy page15'!$D$59&gt;0,'no levy page15'!$D$59,"  ")</f>
        <v>  </v>
      </c>
      <c r="E31" s="53"/>
      <c r="F31" s="69" t="str">
        <f>IF('no levy page15'!$E$59&gt;0,'no levy page15'!$E$59,"  ")</f>
        <v>  </v>
      </c>
      <c r="G31" s="69"/>
      <c r="H31" s="291"/>
    </row>
    <row r="32" spans="1:8" ht="15.75">
      <c r="A32" s="69" t="str">
        <f>IF(inputPrYr!$B39&gt;"  ",(inputPrYr!$B39),"  ")</f>
        <v>  </v>
      </c>
      <c r="B32" s="69" t="str">
        <f>IF('no levy page16'!$C$28&gt;0,'no levy page16'!$C$28,"  ")</f>
        <v>  </v>
      </c>
      <c r="C32" s="53"/>
      <c r="D32" s="69" t="str">
        <f>IF('no levy page16'!$D$28&gt;0,'no levy page16'!$D$28,"  ")</f>
        <v>  </v>
      </c>
      <c r="E32" s="53"/>
      <c r="F32" s="69" t="str">
        <f>IF('no levy page16'!$E$28&gt;0,'no levy page16'!$E$28,"  ")</f>
        <v>  </v>
      </c>
      <c r="G32" s="53"/>
      <c r="H32" s="53"/>
    </row>
    <row r="33" spans="1:8" ht="15.75">
      <c r="A33" s="69" t="str">
        <f>IF(inputPrYr!$B40&gt;"  ",(inputPrYr!$B40),"  ")</f>
        <v>  </v>
      </c>
      <c r="B33" s="69" t="str">
        <f>IF('no levy page16'!$C$59&gt;0,'no levy page16'!$C$59,"  ")</f>
        <v>  </v>
      </c>
      <c r="C33" s="53"/>
      <c r="D33" s="69" t="str">
        <f>IF('no levy page16'!$D$59&gt;0,'no levy page16'!$D$59,"  ")</f>
        <v>  </v>
      </c>
      <c r="E33" s="53"/>
      <c r="F33" s="69" t="str">
        <f>IF('no levy page16'!$E$59&gt;0,'no levy page16'!$E$59,"  ")</f>
        <v>  </v>
      </c>
      <c r="G33" s="53"/>
      <c r="H33" s="53"/>
    </row>
    <row r="34" spans="1:8" ht="15.75">
      <c r="A34" s="69" t="str">
        <f>IF(inputPrYr!$B41&gt;"  ",(inputPrYr!$B41),"  ")</f>
        <v>  </v>
      </c>
      <c r="B34" s="69" t="str">
        <f>IF('no levy page17'!$C$28&gt;0,'no levy page17'!$C$28,"  ")</f>
        <v>  </v>
      </c>
      <c r="C34" s="53"/>
      <c r="D34" s="69" t="str">
        <f>IF('no levy page17'!$D$28&gt;0,'no levy page17'!$D$28,"  ")</f>
        <v>  </v>
      </c>
      <c r="E34" s="53"/>
      <c r="F34" s="69" t="str">
        <f>IF('no levy page17'!$E$28&gt;0,'no levy page17'!$E$28,"  ")</f>
        <v>  </v>
      </c>
      <c r="G34" s="53"/>
      <c r="H34" s="53"/>
    </row>
    <row r="35" spans="1:8" ht="15.75">
      <c r="A35" s="69" t="str">
        <f>IF(inputPrYr!$B42&gt;"  ",(inputPrYr!$B42),"  ")</f>
        <v>  </v>
      </c>
      <c r="B35" s="69" t="str">
        <f>IF('no levy page17'!$C$59&gt;0,'no levy page17'!$C$59,"  ")</f>
        <v>  </v>
      </c>
      <c r="C35" s="53"/>
      <c r="D35" s="69" t="str">
        <f>IF('no levy page17'!$D$59&gt;0,'no levy page17'!$D$59,"  ")</f>
        <v>  </v>
      </c>
      <c r="E35" s="53"/>
      <c r="F35" s="69" t="str">
        <f>IF('no levy page17'!$E$59&gt;0,'no levy page17'!$E$59,"  ")</f>
        <v>  </v>
      </c>
      <c r="G35" s="53"/>
      <c r="H35" s="53"/>
    </row>
    <row r="36" spans="1:8" ht="15.75">
      <c r="A36" s="69" t="str">
        <f>IF(inputPrYr!$B43&gt;"  ",(inputPrYr!$B43),"  ")</f>
        <v>  </v>
      </c>
      <c r="B36" s="69" t="str">
        <f>IF('no levy page18'!$C$28&gt;0,'no levy page18'!$C$28,"  ")</f>
        <v>  </v>
      </c>
      <c r="C36" s="53"/>
      <c r="D36" s="69" t="str">
        <f>IF('no levy page18'!$D$28&gt;0,'no levy page18'!$D$28,"  ")</f>
        <v>  </v>
      </c>
      <c r="E36" s="53"/>
      <c r="F36" s="69" t="str">
        <f>IF('no levy page18'!$E$28&gt;0,'no levy page18'!$E$28,"  ")</f>
        <v>  </v>
      </c>
      <c r="G36" s="53"/>
      <c r="H36" s="53"/>
    </row>
    <row r="37" spans="1:8" ht="15.75">
      <c r="A37" s="69" t="str">
        <f>IF(inputPrYr!$B44&gt;"  ",(inputPrYr!$B44),"  ")</f>
        <v>  </v>
      </c>
      <c r="B37" s="69" t="str">
        <f>IF('no levy page18'!$C$59&gt;0,'no levy page18'!$C$59,"  ")</f>
        <v>  </v>
      </c>
      <c r="C37" s="53"/>
      <c r="D37" s="69" t="str">
        <f>IF('no levy page18'!$D$59&gt;0,'no levy page18'!$D$59,"  ")</f>
        <v>  </v>
      </c>
      <c r="E37" s="53"/>
      <c r="F37" s="69" t="str">
        <f>IF('no levy page18'!$E$59&gt;0,'no levy page18'!$E$59,"  ")</f>
        <v>  </v>
      </c>
      <c r="G37" s="53"/>
      <c r="H37" s="53"/>
    </row>
    <row r="38" spans="1:8" ht="15.75">
      <c r="A38" s="69" t="str">
        <f>IF(inputPrYr!$B45&gt;"  ",(inputPrYr!$B45),"  ")</f>
        <v>  </v>
      </c>
      <c r="B38" s="69" t="str">
        <f>IF('no levy page19'!$C$28&gt;0,'no levy page19'!$C$28,"  ")</f>
        <v>  </v>
      </c>
      <c r="C38" s="53"/>
      <c r="D38" s="69" t="str">
        <f>IF('no levy page19'!$D$28&gt;0,'no levy page19'!$D$28,"  ")</f>
        <v>  </v>
      </c>
      <c r="E38" s="53"/>
      <c r="F38" s="69" t="str">
        <f>IF('no levy page19'!$E$28&gt;0,'no levy page19'!$E$28,"  ")</f>
        <v>  </v>
      </c>
      <c r="G38" s="53"/>
      <c r="H38" s="53"/>
    </row>
    <row r="39" spans="1:8" ht="15.75">
      <c r="A39" s="69" t="str">
        <f>IF(inputPrYr!$B46&gt;"  ",(inputPrYr!$B46),"  ")</f>
        <v>  </v>
      </c>
      <c r="B39" s="69" t="str">
        <f>IF('no levy page19'!$C$59&gt;0,'no levy page19'!$C$59,"  ")</f>
        <v>  </v>
      </c>
      <c r="C39" s="53"/>
      <c r="D39" s="69" t="str">
        <f>IF('no levy page19'!$D$59&gt;0,'no levy page19'!$D$59,"  ")</f>
        <v>  </v>
      </c>
      <c r="E39" s="53"/>
      <c r="F39" s="69" t="str">
        <f>IF('no levy page19'!$E$59&gt;0,'no levy page19'!$E$59,"  ")</f>
        <v>  </v>
      </c>
      <c r="G39" s="53"/>
      <c r="H39" s="53"/>
    </row>
    <row r="40" spans="1:8" ht="15.75">
      <c r="A40" s="69" t="str">
        <f>IF(inputPrYr!$B47&gt;"  ",(inputPrYr!$B47),"  ")</f>
        <v>  </v>
      </c>
      <c r="B40" s="69" t="str">
        <f>IF('no levy page20'!$C$28&gt;0,'no levy page20'!$C$28,"  ")</f>
        <v>  </v>
      </c>
      <c r="C40" s="53"/>
      <c r="D40" s="69" t="str">
        <f>IF('no levy page20'!$D$28&gt;0,'no levy page20'!$D$28,"  ")</f>
        <v>  </v>
      </c>
      <c r="E40" s="53"/>
      <c r="F40" s="69" t="str">
        <f>IF('no levy page20'!$E$28&gt;0,'no levy page20'!$E$28,"  ")</f>
        <v>  </v>
      </c>
      <c r="G40" s="53"/>
      <c r="H40" s="53"/>
    </row>
    <row r="41" spans="1:13" ht="15.75">
      <c r="A41" s="69" t="str">
        <f>IF(inputPrYr!$B48&gt;"  ",(inputPrYr!$B48),"  ")</f>
        <v>  </v>
      </c>
      <c r="B41" s="69" t="str">
        <f>IF('no levy page20'!$C$59&gt;0,'no levy page20'!$C$59,"  ")</f>
        <v>  </v>
      </c>
      <c r="C41" s="53"/>
      <c r="D41" s="69" t="str">
        <f>IF('no levy page20'!$D$59&gt;0,'no levy page20'!$D$59,"  ")</f>
        <v>  </v>
      </c>
      <c r="E41" s="53"/>
      <c r="F41" s="69" t="str">
        <f>IF('no levy page20'!$E$59&gt;0,'no levy page20'!$E$59,"  ")</f>
        <v>  </v>
      </c>
      <c r="G41" s="53"/>
      <c r="H41" s="53"/>
      <c r="J41" s="914" t="str">
        <f>CONCATENATE("Estimated Value Of One Mill For ",H2,"")</f>
        <v>Estimated Value Of One Mill For 0</v>
      </c>
      <c r="K41" s="919"/>
      <c r="L41" s="919"/>
      <c r="M41" s="920"/>
    </row>
    <row r="42" spans="1:13" ht="15.75">
      <c r="A42" s="69" t="str">
        <f>IF(inputPrYr!$B49&gt;"  ",(inputPrYr!$B49),"  ")</f>
        <v>  </v>
      </c>
      <c r="B42" s="69" t="str">
        <f>IF('no levy page21'!$C$28&gt;0,'no levy page21'!$C$28,"  ")</f>
        <v>  </v>
      </c>
      <c r="C42" s="53"/>
      <c r="D42" s="69" t="str">
        <f>IF('no levy page21'!$D$28&gt;0,'no levy page21'!$D$28,"  ")</f>
        <v>  </v>
      </c>
      <c r="E42" s="53"/>
      <c r="F42" s="69" t="str">
        <f>IF('no levy page21'!$E$28&gt;0,'no levy page21'!$E$28,"  ")</f>
        <v>  </v>
      </c>
      <c r="G42" s="53"/>
      <c r="H42" s="53"/>
      <c r="J42" s="466"/>
      <c r="K42" s="467"/>
      <c r="L42" s="467"/>
      <c r="M42" s="468"/>
    </row>
    <row r="43" spans="1:13" ht="15.75">
      <c r="A43" s="69" t="str">
        <f>IF(inputPrYr!$B50&gt;"  ",(inputPrYr!$B50),"  ")</f>
        <v>  </v>
      </c>
      <c r="B43" s="69" t="str">
        <f>IF('no levy page21'!$C$59&gt;0,'no levy page21'!$C$59,"  ")</f>
        <v>  </v>
      </c>
      <c r="C43" s="53"/>
      <c r="D43" s="69" t="str">
        <f>IF('no levy page21'!$D$59&gt;0,'no levy page21'!$D$59,"  ")</f>
        <v>  </v>
      </c>
      <c r="E43" s="53"/>
      <c r="F43" s="69" t="str">
        <f>IF('no levy page21'!$E$59&gt;0,'no levy page21'!$E$59,"  ")</f>
        <v>  </v>
      </c>
      <c r="G43" s="53"/>
      <c r="H43" s="53"/>
      <c r="J43" s="469" t="s">
        <v>713</v>
      </c>
      <c r="K43" s="470"/>
      <c r="L43" s="470"/>
      <c r="M43" s="782">
        <f>ROUND(F57/1000,0)</f>
        <v>0</v>
      </c>
    </row>
    <row r="44" spans="1:8" ht="15.75">
      <c r="A44" s="69" t="str">
        <f>IF(inputPrYr!$B52&gt;"  ",(inputPrYr!$B52),"  ")</f>
        <v>  </v>
      </c>
      <c r="B44" s="69" t="str">
        <f>IF(SinNoLevy22!$C$47&gt;0,SinNoLevy22!$C$47,"  ")</f>
        <v>  </v>
      </c>
      <c r="C44" s="53"/>
      <c r="D44" s="69" t="str">
        <f>IF(SinNoLevy22!$D$47&gt;0,SinNoLevy22!$D$47,"  ")</f>
        <v>  </v>
      </c>
      <c r="E44" s="53"/>
      <c r="F44" s="69" t="str">
        <f>IF(SinNoLevy22!$E$47&gt;0,SinNoLevy22!$E$47,"  ")</f>
        <v>  </v>
      </c>
      <c r="G44" s="53"/>
      <c r="H44" s="53"/>
    </row>
    <row r="45" spans="1:13" ht="15.75">
      <c r="A45" s="69" t="str">
        <f>IF(inputPrYr!$B53&gt;"  ",(inputPrYr!$B53),"  ")</f>
        <v>  </v>
      </c>
      <c r="B45" s="69" t="str">
        <f>IF(SinNoLevy23!$C$47&gt;0,SinNoLevy23!$C$47,"  ")</f>
        <v>  </v>
      </c>
      <c r="C45" s="53"/>
      <c r="D45" s="69" t="str">
        <f>IF(SinNoLevy23!$D$47&gt;0,SinNoLevy23!$D$47,"  ")</f>
        <v>  </v>
      </c>
      <c r="E45" s="53"/>
      <c r="F45" s="69" t="str">
        <f>IF(SinNoLevy23!$E$47&gt;0,SinNoLevy23!$E$47,"  ")</f>
        <v>  </v>
      </c>
      <c r="G45" s="53"/>
      <c r="H45" s="53"/>
      <c r="J45" s="914" t="str">
        <f>CONCATENATE("Want The Mill Rate The Same As For ",H2-1,"?")</f>
        <v>Want The Mill Rate The Same As For -1?</v>
      </c>
      <c r="K45" s="919"/>
      <c r="L45" s="919"/>
      <c r="M45" s="920"/>
    </row>
    <row r="46" spans="1:13" ht="15.75">
      <c r="A46" s="69" t="str">
        <f>IF(inputPrYr!$B54&gt;"  ",(inputPrYr!$B54),"  ")</f>
        <v>  </v>
      </c>
      <c r="B46" s="69" t="str">
        <f>IF(SinNoLevy24!$C$47&gt;0,SinNoLevy24!$C$47,"  ")</f>
        <v>  </v>
      </c>
      <c r="C46" s="53"/>
      <c r="D46" s="69" t="str">
        <f>IF(SinNoLevy24!$D$47&gt;0,SinNoLevy24!$D$47,"  ")</f>
        <v>  </v>
      </c>
      <c r="E46" s="53"/>
      <c r="F46" s="69" t="str">
        <f>IF(SinNoLevy24!$E$47&gt;0,SinNoLevy24!$E$47,"  ")</f>
        <v>  </v>
      </c>
      <c r="G46" s="53"/>
      <c r="H46" s="53"/>
      <c r="J46" s="473"/>
      <c r="K46" s="467"/>
      <c r="L46" s="467"/>
      <c r="M46" s="474"/>
    </row>
    <row r="47" spans="1:13" ht="15.75">
      <c r="A47" s="69" t="str">
        <f>IF(inputPrYr!$B55&gt;"  ",(inputPrYr!$B55),"  ")</f>
        <v>  </v>
      </c>
      <c r="B47" s="69" t="str">
        <f>IF(SinNoLevy25!$C$47&gt;0,SinNoLevy25!$C$47,"  ")</f>
        <v>  </v>
      </c>
      <c r="C47" s="53"/>
      <c r="D47" s="69" t="str">
        <f>IF(SinNoLevy25!$D$47&gt;0,SinNoLevy25!$D$47,"  ")</f>
        <v>  </v>
      </c>
      <c r="E47" s="53"/>
      <c r="F47" s="69" t="str">
        <f>IF(SinNoLevy25!$E$47&gt;0,SinNoLevy25!$E$47,"  ")</f>
        <v>  </v>
      </c>
      <c r="G47" s="53"/>
      <c r="H47" s="53"/>
      <c r="J47" s="473" t="str">
        <f>CONCATENATE("",H2-1," Mill Rate Was:")</f>
        <v>-1 Mill Rate Was:</v>
      </c>
      <c r="K47" s="467"/>
      <c r="L47" s="467"/>
      <c r="M47" s="475">
        <f>E52</f>
        <v>0</v>
      </c>
    </row>
    <row r="48" spans="1:13" ht="15.75">
      <c r="A48" s="69" t="str">
        <f>IF(inputPrYr!$B58&gt;"  ",(NonBudA!$A3),"  ")</f>
        <v>  </v>
      </c>
      <c r="B48" s="69" t="str">
        <f>IF(NonBudA!$K$28&gt;0,NonBudA!$K$28,"  ")</f>
        <v>  </v>
      </c>
      <c r="C48" s="53"/>
      <c r="D48" s="69"/>
      <c r="E48" s="53"/>
      <c r="F48" s="69"/>
      <c r="G48" s="53"/>
      <c r="H48" s="53"/>
      <c r="J48" s="476" t="str">
        <f>CONCATENATE("",H2," Tax Levy Fund Expenditures Must Be")</f>
        <v>0 Tax Levy Fund Expenditures Must Be</v>
      </c>
      <c r="K48" s="477"/>
      <c r="L48" s="477"/>
      <c r="M48" s="474"/>
    </row>
    <row r="49" spans="1:13" ht="15.75">
      <c r="A49" s="69" t="str">
        <f>IF(inputPrYr!$B64&gt;"  ",(NonBudB!$A3),"  ")</f>
        <v>  </v>
      </c>
      <c r="B49" s="69" t="str">
        <f>IF(NonBudB!$K$28&gt;0,NonBudB!$K$28,"  ")</f>
        <v>  </v>
      </c>
      <c r="C49" s="53"/>
      <c r="D49" s="69"/>
      <c r="E49" s="53"/>
      <c r="F49" s="69"/>
      <c r="G49" s="53"/>
      <c r="H49" s="53"/>
      <c r="J49" s="476">
        <f>IF(M49&gt;0,"Increased By:","")</f>
      </c>
      <c r="K49" s="477"/>
      <c r="L49" s="477"/>
      <c r="M49" s="548">
        <f>IF(M56&lt;0,M56*-1,0)</f>
        <v>0</v>
      </c>
    </row>
    <row r="50" spans="1:13" ht="15.75">
      <c r="A50" s="69" t="str">
        <f>IF(inputPrYr!$B70&gt;"  ",(NonBudC!$A3),"  ")</f>
        <v>  </v>
      </c>
      <c r="B50" s="69" t="str">
        <f>IF(NonBudC!$K$28&gt;0,NonBudC!$K$28,"  ")</f>
        <v>  </v>
      </c>
      <c r="C50" s="53"/>
      <c r="D50" s="69"/>
      <c r="E50" s="53"/>
      <c r="F50" s="69"/>
      <c r="G50" s="53"/>
      <c r="H50" s="53"/>
      <c r="J50" s="549">
        <f>IF(M50&lt;0,"Reduced By:","")</f>
      </c>
      <c r="K50" s="550"/>
      <c r="L50" s="550"/>
      <c r="M50" s="551">
        <f>IF(M56&gt;0,M56*-1,0)</f>
        <v>0</v>
      </c>
    </row>
    <row r="51" spans="1:13" ht="16.5" thickBot="1">
      <c r="A51" s="69" t="str">
        <f>IF(inputPrYr!$B76&gt;"  ",(NonBudD!$A3),"  ")</f>
        <v>  </v>
      </c>
      <c r="B51" s="486" t="str">
        <f>IF(NonBudD!$K$28&gt;0,NonBudD!$K$28,"  ")</f>
        <v>  </v>
      </c>
      <c r="C51" s="487"/>
      <c r="D51" s="486"/>
      <c r="E51" s="487"/>
      <c r="F51" s="486"/>
      <c r="G51" s="487"/>
      <c r="H51" s="487"/>
      <c r="J51" s="480"/>
      <c r="K51" s="480"/>
      <c r="L51" s="480"/>
      <c r="M51" s="480"/>
    </row>
    <row r="52" spans="1:13" ht="15.75">
      <c r="A52" s="110" t="s">
        <v>724</v>
      </c>
      <c r="B52" s="516">
        <f>SUM(B15:B51)</f>
        <v>0</v>
      </c>
      <c r="C52" s="517">
        <f>SUM(C15:C27)</f>
        <v>0</v>
      </c>
      <c r="D52" s="516">
        <f>SUM(D15:D51)</f>
        <v>0</v>
      </c>
      <c r="E52" s="517">
        <f>SUM(E15:E27)</f>
        <v>0</v>
      </c>
      <c r="F52" s="516">
        <f>SUM(F15:F51)</f>
        <v>0</v>
      </c>
      <c r="G52" s="516">
        <f>SUM(G15:G51)</f>
        <v>0</v>
      </c>
      <c r="H52" s="517">
        <f>SUM(H15:H27)</f>
        <v>0</v>
      </c>
      <c r="J52" s="914" t="str">
        <f>CONCATENATE("Impact On Keeping The Same Mill Rate As For ",H2-1,"")</f>
        <v>Impact On Keeping The Same Mill Rate As For -1</v>
      </c>
      <c r="K52" s="917"/>
      <c r="L52" s="917"/>
      <c r="M52" s="918"/>
    </row>
    <row r="53" spans="1:13" ht="15.75">
      <c r="A53" s="44" t="s">
        <v>127</v>
      </c>
      <c r="B53" s="446">
        <f>transfers!D26</f>
        <v>0</v>
      </c>
      <c r="C53" s="515"/>
      <c r="D53" s="446">
        <f>transfers!E26</f>
        <v>0</v>
      </c>
      <c r="E53" s="304"/>
      <c r="F53" s="446">
        <f>transfers!F26</f>
        <v>0</v>
      </c>
      <c r="G53" s="513"/>
      <c r="H53" s="304"/>
      <c r="I53" s="483"/>
      <c r="J53" s="473"/>
      <c r="K53" s="467"/>
      <c r="L53" s="467"/>
      <c r="M53" s="474"/>
    </row>
    <row r="54" spans="1:13" ht="16.5" thickBot="1">
      <c r="A54" s="44" t="s">
        <v>128</v>
      </c>
      <c r="B54" s="301">
        <f>B52-B53</f>
        <v>0</v>
      </c>
      <c r="C54" s="43"/>
      <c r="D54" s="301">
        <f>D52-D53</f>
        <v>0</v>
      </c>
      <c r="E54" s="43"/>
      <c r="F54" s="301">
        <f>F52-F53</f>
        <v>0</v>
      </c>
      <c r="G54" s="43"/>
      <c r="H54" s="43"/>
      <c r="J54" s="473" t="str">
        <f>CONCATENATE("",H2," Ad Valorem Tax Revenue:")</f>
        <v>0 Ad Valorem Tax Revenue:</v>
      </c>
      <c r="K54" s="467"/>
      <c r="L54" s="467"/>
      <c r="M54" s="468">
        <f>G52</f>
        <v>0</v>
      </c>
    </row>
    <row r="55" spans="1:13" ht="16.5" thickTop="1">
      <c r="A55" s="44" t="s">
        <v>129</v>
      </c>
      <c r="B55" s="446">
        <f>inputPrYr!$E$100</f>
        <v>0</v>
      </c>
      <c r="C55" s="161"/>
      <c r="D55" s="446">
        <f>inputPrYr!$E$32</f>
        <v>0</v>
      </c>
      <c r="E55" s="161"/>
      <c r="F55" s="292" t="s">
        <v>91</v>
      </c>
      <c r="G55" s="43"/>
      <c r="H55" s="43"/>
      <c r="J55" s="473" t="str">
        <f>CONCATENATE("",H2-1," Ad Valorem Tax Revenue:")</f>
        <v>-1 Ad Valorem Tax Revenue:</v>
      </c>
      <c r="K55" s="467"/>
      <c r="L55" s="467"/>
      <c r="M55" s="481">
        <f>ROUND(F57*M47/1000,0)</f>
        <v>0</v>
      </c>
    </row>
    <row r="56" spans="1:13" ht="15.75">
      <c r="A56" s="44" t="s">
        <v>130</v>
      </c>
      <c r="B56" s="163"/>
      <c r="C56" s="43"/>
      <c r="D56" s="447"/>
      <c r="E56" s="165"/>
      <c r="F56" s="119"/>
      <c r="G56" s="43"/>
      <c r="H56" s="43"/>
      <c r="J56" s="478" t="s">
        <v>714</v>
      </c>
      <c r="K56" s="479"/>
      <c r="L56" s="479"/>
      <c r="M56" s="471">
        <f>SUM(M54-M55)</f>
        <v>0</v>
      </c>
    </row>
    <row r="57" spans="1:13" ht="15.75">
      <c r="A57" s="44" t="s">
        <v>131</v>
      </c>
      <c r="B57" s="446">
        <f>inputPrYr!$E$101</f>
        <v>0</v>
      </c>
      <c r="C57" s="63"/>
      <c r="D57" s="446">
        <f>inputOth!$E$36</f>
        <v>0</v>
      </c>
      <c r="E57" s="63"/>
      <c r="F57" s="446">
        <f>inputOth!$E$7</f>
        <v>0</v>
      </c>
      <c r="G57" s="43"/>
      <c r="H57" s="43"/>
      <c r="J57" s="472"/>
      <c r="K57" s="472"/>
      <c r="L57" s="472"/>
      <c r="M57" s="480"/>
    </row>
    <row r="58" spans="1:13" ht="15.75">
      <c r="A58" s="44" t="s">
        <v>132</v>
      </c>
      <c r="B58" s="43"/>
      <c r="C58" s="43"/>
      <c r="D58" s="43"/>
      <c r="E58" s="43"/>
      <c r="F58" s="43"/>
      <c r="G58" s="43"/>
      <c r="H58" s="43"/>
      <c r="J58" s="914" t="s">
        <v>715</v>
      </c>
      <c r="K58" s="915"/>
      <c r="L58" s="915"/>
      <c r="M58" s="916"/>
    </row>
    <row r="59" spans="1:13" ht="15.75">
      <c r="A59" s="44" t="s">
        <v>133</v>
      </c>
      <c r="B59" s="293">
        <f>$H$2-3</f>
        <v>-3</v>
      </c>
      <c r="C59" s="43"/>
      <c r="D59" s="293">
        <f>$H$2-2</f>
        <v>-2</v>
      </c>
      <c r="E59" s="43"/>
      <c r="F59" s="293">
        <f>$H$2-1</f>
        <v>-1</v>
      </c>
      <c r="G59" s="43"/>
      <c r="H59" s="43"/>
      <c r="J59" s="473"/>
      <c r="K59" s="467"/>
      <c r="L59" s="467"/>
      <c r="M59" s="474"/>
    </row>
    <row r="60" spans="1:13" ht="13.5" customHeight="1">
      <c r="A60" s="44" t="s">
        <v>134</v>
      </c>
      <c r="B60" s="205">
        <f>inputPrYr!$D$105</f>
        <v>0</v>
      </c>
      <c r="C60" s="138"/>
      <c r="D60" s="205">
        <f>inputPrYr!$E$105</f>
        <v>0</v>
      </c>
      <c r="E60" s="138"/>
      <c r="F60" s="205">
        <f>debt!$G$20</f>
        <v>0</v>
      </c>
      <c r="G60" s="43"/>
      <c r="H60" s="43"/>
      <c r="J60" s="473" t="str">
        <f>CONCATENATE("Current ",H2," Estimated Mill Rate:")</f>
        <v>Current 0 Estimated Mill Rate:</v>
      </c>
      <c r="K60" s="467"/>
      <c r="L60" s="467"/>
      <c r="M60" s="475">
        <f>H52</f>
        <v>0</v>
      </c>
    </row>
    <row r="61" spans="1:13" ht="15.75">
      <c r="A61" s="44" t="s">
        <v>135</v>
      </c>
      <c r="B61" s="446">
        <f>inputPrYr!$D$106</f>
        <v>0</v>
      </c>
      <c r="C61" s="138"/>
      <c r="D61" s="446">
        <f>inputPrYr!$E$106</f>
        <v>0</v>
      </c>
      <c r="E61" s="138"/>
      <c r="F61" s="205">
        <f>debt!$G$32</f>
        <v>0</v>
      </c>
      <c r="G61" s="43"/>
      <c r="H61" s="43"/>
      <c r="J61" s="473" t="str">
        <f>CONCATENATE("Desired ",H2," Mill Rate:")</f>
        <v>Desired 0 Mill Rate:</v>
      </c>
      <c r="K61" s="467"/>
      <c r="L61" s="467"/>
      <c r="M61" s="465">
        <v>0</v>
      </c>
    </row>
    <row r="62" spans="1:13" ht="18.75" customHeight="1">
      <c r="A62" s="43" t="s">
        <v>153</v>
      </c>
      <c r="B62" s="446">
        <f>inputPrYr!$D$107</f>
        <v>0</v>
      </c>
      <c r="C62" s="138"/>
      <c r="D62" s="446">
        <f>inputPrYr!$E$107</f>
        <v>0</v>
      </c>
      <c r="E62" s="138"/>
      <c r="F62" s="205">
        <f>debt!$G$42</f>
        <v>0</v>
      </c>
      <c r="G62" s="43"/>
      <c r="H62" s="43"/>
      <c r="J62" s="473" t="str">
        <f>CONCATENATE("",H2," Ad Valorem Tax:")</f>
        <v>0 Ad Valorem Tax:</v>
      </c>
      <c r="K62" s="467"/>
      <c r="L62" s="467"/>
      <c r="M62" s="481">
        <f>ROUND(F57*M61/1000,0)</f>
        <v>0</v>
      </c>
    </row>
    <row r="63" spans="1:13" ht="18.75" customHeight="1">
      <c r="A63" s="44" t="s">
        <v>218</v>
      </c>
      <c r="B63" s="446">
        <f>inputPrYr!$D$108</f>
        <v>0</v>
      </c>
      <c r="C63" s="138"/>
      <c r="D63" s="446">
        <f>inputPrYr!$E$108</f>
        <v>0</v>
      </c>
      <c r="E63" s="138"/>
      <c r="F63" s="205">
        <f>lpform!$G$28</f>
        <v>0</v>
      </c>
      <c r="G63" s="43"/>
      <c r="H63" s="43"/>
      <c r="J63" s="478" t="str">
        <f>CONCATENATE("",H2," Tax Levy Fund Exp. Changed By:")</f>
        <v>0 Tax Levy Fund Exp. Changed By:</v>
      </c>
      <c r="K63" s="479"/>
      <c r="L63" s="479"/>
      <c r="M63" s="471">
        <f>IF(M61=0,0,(M62-G52))</f>
        <v>0</v>
      </c>
    </row>
    <row r="64" spans="1:8" ht="18.75" customHeight="1" thickBot="1">
      <c r="A64" s="44" t="s">
        <v>136</v>
      </c>
      <c r="B64" s="522">
        <f>SUM(B60:B63)</f>
        <v>0</v>
      </c>
      <c r="C64" s="138"/>
      <c r="D64" s="522">
        <f>SUM(D60:D63)</f>
        <v>0</v>
      </c>
      <c r="E64" s="138"/>
      <c r="F64" s="522">
        <f>SUM(F60:F63)</f>
        <v>0</v>
      </c>
      <c r="G64" s="43"/>
      <c r="H64" s="43"/>
    </row>
    <row r="65" spans="1:8" ht="18.75" customHeight="1" thickTop="1">
      <c r="A65" s="44" t="s">
        <v>137</v>
      </c>
      <c r="B65" s="43"/>
      <c r="C65" s="43"/>
      <c r="D65" s="43"/>
      <c r="E65" s="43"/>
      <c r="F65" s="43"/>
      <c r="G65" s="43"/>
      <c r="H65" s="43"/>
    </row>
    <row r="66" spans="1:8" ht="15.75">
      <c r="A66" s="43"/>
      <c r="B66" s="43"/>
      <c r="C66" s="43"/>
      <c r="D66" s="43"/>
      <c r="E66" s="43"/>
      <c r="F66" s="43"/>
      <c r="G66" s="43"/>
      <c r="H66" s="43"/>
    </row>
    <row r="67" spans="1:8" ht="15.75">
      <c r="A67" s="913">
        <f>inputBudSum!B3</f>
        <v>0</v>
      </c>
      <c r="B67" s="913"/>
      <c r="C67" s="63"/>
      <c r="D67" s="43"/>
      <c r="E67" s="43"/>
      <c r="F67" s="43"/>
      <c r="G67" s="43"/>
      <c r="H67" s="43"/>
    </row>
    <row r="68" spans="1:8" ht="15.75">
      <c r="A68" s="135" t="s">
        <v>247</v>
      </c>
      <c r="B68" s="573">
        <f>inputBudSum!B5</f>
        <v>0</v>
      </c>
      <c r="C68" s="43"/>
      <c r="D68" s="43"/>
      <c r="E68" s="43"/>
      <c r="F68" s="43"/>
      <c r="G68" s="43"/>
      <c r="H68" s="43"/>
    </row>
    <row r="69" spans="1:8" ht="15.75">
      <c r="A69" s="43"/>
      <c r="B69" s="43"/>
      <c r="C69" s="43"/>
      <c r="D69" s="43"/>
      <c r="E69" s="43"/>
      <c r="F69" s="43"/>
      <c r="G69" s="43"/>
      <c r="H69" s="43"/>
    </row>
    <row r="70" spans="1:8" ht="15.75">
      <c r="A70" s="43"/>
      <c r="B70" s="43"/>
      <c r="C70" s="103" t="s">
        <v>112</v>
      </c>
      <c r="D70" s="743"/>
      <c r="E70" s="43"/>
      <c r="F70" s="43"/>
      <c r="G70" s="43"/>
      <c r="H70" s="43"/>
    </row>
  </sheetData>
  <sheetProtection sheet="1"/>
  <mergeCells count="11">
    <mergeCell ref="A5:H5"/>
    <mergeCell ref="A67:B67"/>
    <mergeCell ref="J58:M58"/>
    <mergeCell ref="J52:M52"/>
    <mergeCell ref="J45:M45"/>
    <mergeCell ref="A1:H1"/>
    <mergeCell ref="A4:H4"/>
    <mergeCell ref="A6:H6"/>
    <mergeCell ref="A7:H7"/>
    <mergeCell ref="A3:H3"/>
    <mergeCell ref="J41:M41"/>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S103" sqref="S103"/>
    </sheetView>
  </sheetViews>
  <sheetFormatPr defaultColWidth="8.796875" defaultRowHeight="15"/>
  <cols>
    <col min="1" max="1" width="10.09765625" style="81" customWidth="1"/>
    <col min="2" max="2" width="16.296875" style="81" customWidth="1"/>
    <col min="3" max="3" width="11.796875" style="81" customWidth="1"/>
    <col min="4" max="4" width="12.796875" style="81" customWidth="1"/>
    <col min="5" max="5" width="11.796875" style="81" customWidth="1"/>
    <col min="6" max="16384" width="8.8984375" style="81" customWidth="1"/>
  </cols>
  <sheetData>
    <row r="1" spans="1:6" ht="15.75">
      <c r="A1" s="161">
        <f>inputPrYr!D3</f>
        <v>0</v>
      </c>
      <c r="B1" s="43"/>
      <c r="C1" s="43"/>
      <c r="D1" s="43"/>
      <c r="E1" s="43"/>
      <c r="F1" s="43">
        <f>inputPrYr!C6</f>
        <v>0</v>
      </c>
    </row>
    <row r="2" spans="1:6" ht="15.75">
      <c r="A2" s="43"/>
      <c r="B2" s="43"/>
      <c r="C2" s="43"/>
      <c r="D2" s="43"/>
      <c r="E2" s="43"/>
      <c r="F2" s="43"/>
    </row>
    <row r="3" spans="1:6" ht="15.75">
      <c r="A3" s="43"/>
      <c r="B3" s="879" t="str">
        <f>CONCATENATE("",F1," Neighborhood Revitalization Rebate")</f>
        <v>0 Neighborhood Revitalization Rebate</v>
      </c>
      <c r="C3" s="924"/>
      <c r="D3" s="924"/>
      <c r="E3" s="924"/>
      <c r="F3" s="43"/>
    </row>
    <row r="4" spans="1:6" ht="15.75">
      <c r="A4" s="43"/>
      <c r="B4" s="43"/>
      <c r="C4" s="43"/>
      <c r="D4" s="43"/>
      <c r="E4" s="43"/>
      <c r="F4" s="43"/>
    </row>
    <row r="5" spans="1:6" ht="51.75" customHeight="1">
      <c r="A5" s="43"/>
      <c r="B5" s="295" t="str">
        <f>CONCATENATE("Budgeted Funds         for ",F1,"")</f>
        <v>Budgeted Funds         for 0</v>
      </c>
      <c r="C5" s="295" t="str">
        <f>CONCATENATE("",F1-1," Ad Valorem before Rebate**")</f>
        <v>-1 Ad Valorem before Rebate**</v>
      </c>
      <c r="D5" s="296" t="str">
        <f>CONCATENATE("",F1-1," Mil Rate before Rebate")</f>
        <v>-1 Mil Rate before Rebate</v>
      </c>
      <c r="E5" s="297" t="str">
        <f>CONCATENATE("Estimate ",F1," NR Rebate")</f>
        <v>Estimate 0 NR Rebate</v>
      </c>
      <c r="F5" s="74"/>
    </row>
    <row r="6" spans="1:6" ht="15.75">
      <c r="A6" s="43"/>
      <c r="B6" s="52" t="str">
        <f>inputPrYr!B18</f>
        <v>General</v>
      </c>
      <c r="C6" s="298"/>
      <c r="D6" s="299">
        <f>IF(C6&gt;0,C6/$D$24,"")</f>
      </c>
      <c r="E6" s="205">
        <f aca="true" t="shared" si="0" ref="E6:E18">IF(C6&gt;0,ROUND(D6*$D$28,0),0)</f>
        <v>0</v>
      </c>
      <c r="F6" s="74"/>
    </row>
    <row r="7" spans="1:6" ht="15.75">
      <c r="A7" s="43"/>
      <c r="B7" s="52" t="str">
        <f>inputPrYr!B19</f>
        <v>Debt Service</v>
      </c>
      <c r="C7" s="298"/>
      <c r="D7" s="299">
        <f aca="true" t="shared" si="1" ref="D7:D17">IF(C7&gt;0,C7/$D$24,"")</f>
      </c>
      <c r="E7" s="205">
        <f t="shared" si="0"/>
        <v>0</v>
      </c>
      <c r="F7" s="74"/>
    </row>
    <row r="8" spans="1:6" ht="15.75">
      <c r="A8" s="43"/>
      <c r="B8" s="69" t="str">
        <f>inputPrYr!B20</f>
        <v>Library</v>
      </c>
      <c r="C8" s="298"/>
      <c r="D8" s="299">
        <f t="shared" si="1"/>
      </c>
      <c r="E8" s="205">
        <f t="shared" si="0"/>
        <v>0</v>
      </c>
      <c r="F8" s="74"/>
    </row>
    <row r="9" spans="1:6" ht="15.75">
      <c r="A9" s="43"/>
      <c r="B9" s="69">
        <f>inputPrYr!B22</f>
        <v>0</v>
      </c>
      <c r="C9" s="298"/>
      <c r="D9" s="299">
        <f t="shared" si="1"/>
      </c>
      <c r="E9" s="205">
        <f t="shared" si="0"/>
        <v>0</v>
      </c>
      <c r="F9" s="74"/>
    </row>
    <row r="10" spans="1:6" ht="15.75">
      <c r="A10" s="43"/>
      <c r="B10" s="69">
        <f>inputPrYr!B23</f>
        <v>0</v>
      </c>
      <c r="C10" s="298"/>
      <c r="D10" s="299">
        <f t="shared" si="1"/>
      </c>
      <c r="E10" s="205">
        <f t="shared" si="0"/>
        <v>0</v>
      </c>
      <c r="F10" s="74"/>
    </row>
    <row r="11" spans="1:6" ht="15.75">
      <c r="A11" s="43"/>
      <c r="B11" s="69">
        <f>inputPrYr!B24</f>
        <v>0</v>
      </c>
      <c r="C11" s="298"/>
      <c r="D11" s="299">
        <f t="shared" si="1"/>
      </c>
      <c r="E11" s="205">
        <f t="shared" si="0"/>
        <v>0</v>
      </c>
      <c r="F11" s="74"/>
    </row>
    <row r="12" spans="1:6" ht="15.75">
      <c r="A12" s="43"/>
      <c r="B12" s="69">
        <f>inputPrYr!B25</f>
        <v>0</v>
      </c>
      <c r="C12" s="300"/>
      <c r="D12" s="299">
        <f t="shared" si="1"/>
      </c>
      <c r="E12" s="205">
        <f t="shared" si="0"/>
        <v>0</v>
      </c>
      <c r="F12" s="74"/>
    </row>
    <row r="13" spans="1:6" ht="15.75">
      <c r="A13" s="43"/>
      <c r="B13" s="69">
        <f>inputPrYr!B26</f>
        <v>0</v>
      </c>
      <c r="C13" s="300"/>
      <c r="D13" s="299">
        <f t="shared" si="1"/>
      </c>
      <c r="E13" s="205">
        <f t="shared" si="0"/>
        <v>0</v>
      </c>
      <c r="F13" s="74"/>
    </row>
    <row r="14" spans="1:6" ht="15.75">
      <c r="A14" s="43"/>
      <c r="B14" s="69">
        <f>inputPrYr!B27</f>
        <v>0</v>
      </c>
      <c r="C14" s="300"/>
      <c r="D14" s="299">
        <f t="shared" si="1"/>
      </c>
      <c r="E14" s="205">
        <f t="shared" si="0"/>
        <v>0</v>
      </c>
      <c r="F14" s="74"/>
    </row>
    <row r="15" spans="1:6" ht="15.75">
      <c r="A15" s="43"/>
      <c r="B15" s="69">
        <f>inputPrYr!B28</f>
        <v>0</v>
      </c>
      <c r="C15" s="300"/>
      <c r="D15" s="299">
        <f t="shared" si="1"/>
      </c>
      <c r="E15" s="205">
        <f t="shared" si="0"/>
        <v>0</v>
      </c>
      <c r="F15" s="74"/>
    </row>
    <row r="16" spans="1:6" ht="15.75">
      <c r="A16" s="43"/>
      <c r="B16" s="69">
        <f>inputPrYr!B29</f>
        <v>0</v>
      </c>
      <c r="C16" s="300"/>
      <c r="D16" s="299">
        <f t="shared" si="1"/>
      </c>
      <c r="E16" s="205">
        <f t="shared" si="0"/>
        <v>0</v>
      </c>
      <c r="F16" s="74"/>
    </row>
    <row r="17" spans="1:6" ht="15.75">
      <c r="A17" s="43"/>
      <c r="B17" s="69">
        <f>inputPrYr!B30</f>
        <v>0</v>
      </c>
      <c r="C17" s="300"/>
      <c r="D17" s="299">
        <f t="shared" si="1"/>
      </c>
      <c r="E17" s="205">
        <f t="shared" si="0"/>
        <v>0</v>
      </c>
      <c r="F17" s="74"/>
    </row>
    <row r="18" spans="1:6" ht="15.75">
      <c r="A18" s="43"/>
      <c r="B18" s="69">
        <f>inputPrYr!B31</f>
        <v>0</v>
      </c>
      <c r="C18" s="300"/>
      <c r="D18" s="299">
        <f>IF(C18&gt;0,C18/$D$24,"")</f>
      </c>
      <c r="E18" s="205">
        <f t="shared" si="0"/>
        <v>0</v>
      </c>
      <c r="F18" s="74"/>
    </row>
    <row r="19" spans="1:6" ht="16.5" thickBot="1">
      <c r="A19" s="43"/>
      <c r="B19" s="53" t="s">
        <v>97</v>
      </c>
      <c r="C19" s="301">
        <f>SUM(C6:C18)</f>
        <v>0</v>
      </c>
      <c r="D19" s="302">
        <f>SUM(D6:D17)</f>
        <v>0</v>
      </c>
      <c r="E19" s="301">
        <f>SUM(E6:E17)</f>
        <v>0</v>
      </c>
      <c r="F19" s="74"/>
    </row>
    <row r="20" spans="1:6" ht="16.5" thickTop="1">
      <c r="A20" s="43"/>
      <c r="B20" s="43"/>
      <c r="C20" s="43"/>
      <c r="D20" s="43"/>
      <c r="E20" s="43"/>
      <c r="F20" s="74"/>
    </row>
    <row r="21" spans="1:6" ht="15.75">
      <c r="A21" s="43"/>
      <c r="B21" s="43"/>
      <c r="C21" s="43"/>
      <c r="D21" s="43"/>
      <c r="E21" s="43"/>
      <c r="F21" s="74"/>
    </row>
    <row r="22" spans="1:6" ht="15.75">
      <c r="A22" s="925" t="str">
        <f>CONCATENATE("",F1-1," July 1 Valuation:")</f>
        <v>-1 July 1 Valuation:</v>
      </c>
      <c r="B22" s="897"/>
      <c r="C22" s="925"/>
      <c r="D22" s="294">
        <f>inputOth!E7</f>
        <v>0</v>
      </c>
      <c r="E22" s="43"/>
      <c r="F22" s="74"/>
    </row>
    <row r="23" spans="1:6" ht="15.75">
      <c r="A23" s="43"/>
      <c r="B23" s="43"/>
      <c r="C23" s="43"/>
      <c r="D23" s="43"/>
      <c r="E23" s="43"/>
      <c r="F23" s="74"/>
    </row>
    <row r="24" spans="1:6" ht="15.75">
      <c r="A24" s="43"/>
      <c r="B24" s="925" t="s">
        <v>318</v>
      </c>
      <c r="C24" s="925"/>
      <c r="D24" s="303">
        <f>IF(D22&gt;0,(D22*0.001),"")</f>
      </c>
      <c r="E24" s="43"/>
      <c r="F24" s="74"/>
    </row>
    <row r="25" spans="1:6" ht="15.75">
      <c r="A25" s="43"/>
      <c r="B25" s="103"/>
      <c r="C25" s="103"/>
      <c r="D25" s="304"/>
      <c r="E25" s="43"/>
      <c r="F25" s="74"/>
    </row>
    <row r="26" spans="1:6" ht="15.75">
      <c r="A26" s="923" t="s">
        <v>319</v>
      </c>
      <c r="B26" s="867"/>
      <c r="C26" s="867"/>
      <c r="D26" s="305">
        <f>inputOth!E17</f>
        <v>0</v>
      </c>
      <c r="E26" s="55"/>
      <c r="F26" s="55"/>
    </row>
    <row r="27" spans="1:6" ht="15">
      <c r="A27" s="55"/>
      <c r="B27" s="55"/>
      <c r="C27" s="55"/>
      <c r="D27" s="306"/>
      <c r="E27" s="55"/>
      <c r="F27" s="55"/>
    </row>
    <row r="28" spans="1:6" ht="15.75">
      <c r="A28" s="55"/>
      <c r="B28" s="923" t="s">
        <v>320</v>
      </c>
      <c r="C28" s="897"/>
      <c r="D28" s="307">
        <f>IF(D26&gt;0,(D26*0.001),"")</f>
      </c>
      <c r="E28" s="55"/>
      <c r="F28" s="55"/>
    </row>
    <row r="29" spans="1:6" ht="15">
      <c r="A29" s="55"/>
      <c r="B29" s="55"/>
      <c r="C29" s="55"/>
      <c r="D29" s="55"/>
      <c r="E29" s="55"/>
      <c r="F29" s="55"/>
    </row>
    <row r="30" spans="1:6" ht="15">
      <c r="A30" s="55"/>
      <c r="B30" s="55"/>
      <c r="C30" s="55"/>
      <c r="D30" s="55"/>
      <c r="E30" s="55"/>
      <c r="F30" s="55"/>
    </row>
    <row r="31" spans="1:6" ht="15">
      <c r="A31" s="55"/>
      <c r="B31" s="55"/>
      <c r="C31" s="55"/>
      <c r="D31" s="55"/>
      <c r="E31" s="55"/>
      <c r="F31" s="55"/>
    </row>
    <row r="32" spans="1:6" ht="15.75">
      <c r="A32" s="335" t="str">
        <f>CONCATENATE("**This information comes from the ",F1," Budget Summary page.  See instructions tab #13 for completing")</f>
        <v>**This information comes from the 0 Budget Summary page.  See instructions tab #13 for completing</v>
      </c>
      <c r="B32" s="55"/>
      <c r="C32" s="55"/>
      <c r="D32" s="55"/>
      <c r="E32" s="55"/>
      <c r="F32" s="55"/>
    </row>
    <row r="33" spans="1:6" ht="15.75">
      <c r="A33" s="335" t="s">
        <v>608</v>
      </c>
      <c r="B33" s="55"/>
      <c r="C33" s="55"/>
      <c r="D33" s="55"/>
      <c r="E33" s="55"/>
      <c r="F33" s="55"/>
    </row>
    <row r="34" spans="1:6" ht="15.75">
      <c r="A34" s="335"/>
      <c r="B34" s="55"/>
      <c r="C34" s="55"/>
      <c r="D34" s="55"/>
      <c r="E34" s="55"/>
      <c r="F34" s="55"/>
    </row>
    <row r="35" spans="1:6" ht="15.75">
      <c r="A35" s="335"/>
      <c r="B35" s="55"/>
      <c r="C35" s="55"/>
      <c r="D35" s="55"/>
      <c r="E35" s="55"/>
      <c r="F35" s="55"/>
    </row>
    <row r="36" spans="1:6" ht="15.75">
      <c r="A36" s="335"/>
      <c r="B36" s="55"/>
      <c r="C36" s="55"/>
      <c r="D36" s="55"/>
      <c r="E36" s="55"/>
      <c r="F36" s="55"/>
    </row>
    <row r="37" spans="1:6" ht="15.75">
      <c r="A37" s="335"/>
      <c r="B37" s="55"/>
      <c r="C37" s="55"/>
      <c r="D37" s="55"/>
      <c r="E37" s="55"/>
      <c r="F37" s="55"/>
    </row>
    <row r="38" spans="1:6" ht="15">
      <c r="A38" s="55"/>
      <c r="B38" s="55"/>
      <c r="C38" s="55"/>
      <c r="D38" s="55"/>
      <c r="E38" s="55"/>
      <c r="F38" s="55"/>
    </row>
    <row r="39" spans="1:6" ht="15.75">
      <c r="A39" s="55"/>
      <c r="B39" s="152" t="s">
        <v>120</v>
      </c>
      <c r="C39" s="743"/>
      <c r="D39" s="55"/>
      <c r="E39" s="55"/>
      <c r="F39" s="55"/>
    </row>
    <row r="40" spans="1:6" ht="15.75">
      <c r="A40" s="74"/>
      <c r="B40" s="43"/>
      <c r="C40" s="43"/>
      <c r="D40" s="308"/>
      <c r="E40" s="74"/>
      <c r="F40" s="74"/>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55" sqref="S55"/>
    </sheetView>
  </sheetViews>
  <sheetFormatPr defaultColWidth="8.796875" defaultRowHeight="15"/>
  <cols>
    <col min="1" max="1" width="13.796875" style="0" customWidth="1"/>
    <col min="2" max="2" width="16.09765625" style="0" customWidth="1"/>
  </cols>
  <sheetData>
    <row r="1" ht="15">
      <c r="J1" s="566" t="s">
        <v>819</v>
      </c>
    </row>
    <row r="2" spans="1:10" ht="54" customHeight="1">
      <c r="A2" s="861" t="s">
        <v>379</v>
      </c>
      <c r="B2" s="862"/>
      <c r="C2" s="862"/>
      <c r="D2" s="862"/>
      <c r="E2" s="862"/>
      <c r="F2" s="862"/>
      <c r="J2" s="566" t="s">
        <v>820</v>
      </c>
    </row>
    <row r="3" spans="1:10" ht="15.75">
      <c r="A3" s="1" t="s">
        <v>821</v>
      </c>
      <c r="B3" s="700"/>
      <c r="C3" s="701"/>
      <c r="J3" s="566" t="s">
        <v>822</v>
      </c>
    </row>
    <row r="4" spans="1:10" ht="15.75">
      <c r="A4" s="1"/>
      <c r="B4" s="567"/>
      <c r="J4" s="566" t="s">
        <v>823</v>
      </c>
    </row>
    <row r="5" spans="1:10" ht="15.75">
      <c r="A5" s="1" t="s">
        <v>716</v>
      </c>
      <c r="B5" s="702"/>
      <c r="J5" s="566" t="s">
        <v>824</v>
      </c>
    </row>
    <row r="6" spans="1:10" ht="15.75">
      <c r="A6" s="317"/>
      <c r="B6" s="317"/>
      <c r="C6" s="317"/>
      <c r="D6" s="318" t="s">
        <v>825</v>
      </c>
      <c r="E6" s="317"/>
      <c r="F6" s="317"/>
      <c r="J6" s="566" t="s">
        <v>826</v>
      </c>
    </row>
    <row r="7" spans="1:10" ht="15.75">
      <c r="A7" s="318" t="s">
        <v>380</v>
      </c>
      <c r="B7" s="702"/>
      <c r="C7" s="319"/>
      <c r="D7" s="318">
        <f>IF(B7="","",CONCATENATE("Latest date for notice to be published in your newspaper: ",G18," ",G22,", ",G23))</f>
      </c>
      <c r="E7" s="317"/>
      <c r="F7" s="317"/>
      <c r="J7" s="566" t="s">
        <v>827</v>
      </c>
    </row>
    <row r="8" spans="1:10" ht="15.75">
      <c r="A8" s="318"/>
      <c r="B8" s="320"/>
      <c r="C8" s="321"/>
      <c r="D8" s="318"/>
      <c r="E8" s="317"/>
      <c r="F8" s="317"/>
      <c r="J8" s="566" t="s">
        <v>828</v>
      </c>
    </row>
    <row r="9" spans="1:10" ht="15.75">
      <c r="A9" s="318" t="s">
        <v>381</v>
      </c>
      <c r="B9" s="702"/>
      <c r="C9" s="322"/>
      <c r="D9" s="318"/>
      <c r="E9" s="317"/>
      <c r="F9" s="317"/>
      <c r="J9" s="566" t="s">
        <v>829</v>
      </c>
    </row>
    <row r="10" spans="1:10" ht="15.75">
      <c r="A10" s="318"/>
      <c r="B10" s="318"/>
      <c r="C10" s="318"/>
      <c r="D10" s="318"/>
      <c r="E10" s="317"/>
      <c r="F10" s="317"/>
      <c r="J10" s="566" t="s">
        <v>830</v>
      </c>
    </row>
    <row r="11" spans="1:10" ht="15.75">
      <c r="A11" s="318" t="s">
        <v>382</v>
      </c>
      <c r="B11" s="703"/>
      <c r="C11" s="704"/>
      <c r="D11" s="704"/>
      <c r="E11" s="705"/>
      <c r="F11" s="317"/>
      <c r="J11" s="566" t="s">
        <v>831</v>
      </c>
    </row>
    <row r="12" spans="1:10" ht="15.75">
      <c r="A12" s="318"/>
      <c r="B12" s="318"/>
      <c r="C12" s="318"/>
      <c r="D12" s="318"/>
      <c r="E12" s="317"/>
      <c r="F12" s="317"/>
      <c r="J12" s="566" t="s">
        <v>832</v>
      </c>
    </row>
    <row r="13" spans="1:6" ht="15.75">
      <c r="A13" s="318"/>
      <c r="B13" s="318"/>
      <c r="C13" s="318"/>
      <c r="D13" s="318"/>
      <c r="E13" s="317"/>
      <c r="F13" s="317"/>
    </row>
    <row r="14" spans="1:6" ht="15.75">
      <c r="A14" s="318" t="s">
        <v>383</v>
      </c>
      <c r="B14" s="703"/>
      <c r="C14" s="704"/>
      <c r="D14" s="704"/>
      <c r="E14" s="705"/>
      <c r="F14" s="317"/>
    </row>
    <row r="17" spans="1:6" ht="15.75">
      <c r="A17" s="863" t="s">
        <v>384</v>
      </c>
      <c r="B17" s="863"/>
      <c r="C17" s="318"/>
      <c r="D17" s="318"/>
      <c r="E17" s="318"/>
      <c r="F17" s="317"/>
    </row>
    <row r="18" spans="1:7" ht="15.75">
      <c r="A18" s="318"/>
      <c r="B18" s="318"/>
      <c r="C18" s="318"/>
      <c r="D18" s="318"/>
      <c r="E18" s="318"/>
      <c r="F18" s="317"/>
      <c r="G18" s="566">
        <f ca="1">IF(B7="","",INDIRECT(G19))</f>
      </c>
    </row>
    <row r="19" spans="1:7" ht="15.75">
      <c r="A19" s="318" t="s">
        <v>716</v>
      </c>
      <c r="B19" s="318" t="s">
        <v>717</v>
      </c>
      <c r="C19" s="318"/>
      <c r="D19" s="318"/>
      <c r="E19" s="318"/>
      <c r="F19" s="317"/>
      <c r="G19" s="568">
        <f>IF(B7="","",CONCATENATE("J",G21))</f>
      </c>
    </row>
    <row r="20" spans="1:7" ht="15.75">
      <c r="A20" s="318"/>
      <c r="B20" s="318"/>
      <c r="C20" s="318"/>
      <c r="D20" s="318"/>
      <c r="E20" s="318"/>
      <c r="F20" s="317"/>
      <c r="G20" s="569">
        <f>B7-10</f>
        <v>-10</v>
      </c>
    </row>
    <row r="21" spans="1:7" ht="15.75">
      <c r="A21" s="318" t="s">
        <v>380</v>
      </c>
      <c r="B21" s="320" t="s">
        <v>385</v>
      </c>
      <c r="C21" s="318"/>
      <c r="D21" s="318"/>
      <c r="E21" s="318"/>
      <c r="G21" s="570">
        <f>IF(B7="","",MONTH(G20))</f>
      </c>
    </row>
    <row r="22" spans="1:7" ht="15.75">
      <c r="A22" s="318"/>
      <c r="B22" s="318"/>
      <c r="C22" s="318"/>
      <c r="D22" s="318"/>
      <c r="E22" s="318"/>
      <c r="G22" s="571">
        <f>IF(B7="","",DAY(G20))</f>
      </c>
    </row>
    <row r="23" spans="1:7" ht="15.75">
      <c r="A23" s="318" t="s">
        <v>381</v>
      </c>
      <c r="B23" s="318" t="s">
        <v>386</v>
      </c>
      <c r="C23" s="318"/>
      <c r="D23" s="318"/>
      <c r="E23" s="318"/>
      <c r="G23" s="572">
        <f>IF(B7="","",YEAR(G20))</f>
      </c>
    </row>
    <row r="24" spans="1:5" ht="15.75">
      <c r="A24" s="318"/>
      <c r="B24" s="318"/>
      <c r="C24" s="318"/>
      <c r="D24" s="318"/>
      <c r="E24" s="318"/>
    </row>
    <row r="25" spans="1:5" ht="15.75">
      <c r="A25" s="318" t="s">
        <v>382</v>
      </c>
      <c r="B25" s="318" t="s">
        <v>387</v>
      </c>
      <c r="C25" s="318"/>
      <c r="D25" s="318"/>
      <c r="E25" s="318"/>
    </row>
    <row r="26" spans="1:5" ht="15.75">
      <c r="A26" s="318"/>
      <c r="B26" s="318"/>
      <c r="C26" s="318"/>
      <c r="D26" s="318"/>
      <c r="E26" s="318"/>
    </row>
    <row r="27" spans="1:5" ht="15.75">
      <c r="A27" s="318" t="s">
        <v>383</v>
      </c>
      <c r="B27" s="318" t="s">
        <v>387</v>
      </c>
      <c r="C27" s="318"/>
      <c r="D27" s="318"/>
      <c r="E27" s="31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70" sqref="U70"/>
    </sheetView>
  </sheetViews>
  <sheetFormatPr defaultColWidth="8.796875" defaultRowHeight="15"/>
  <sheetData>
    <row r="2" ht="15.75">
      <c r="H2" s="724">
        <f>inputPrYr!C6</f>
        <v>0</v>
      </c>
    </row>
    <row r="3" ht="15.75" thickBot="1"/>
    <row r="4" spans="2:8" ht="19.5" thickBot="1">
      <c r="B4" s="929" t="s">
        <v>966</v>
      </c>
      <c r="C4" s="930"/>
      <c r="D4" s="930"/>
      <c r="E4" s="930"/>
      <c r="F4" s="930"/>
      <c r="G4" s="930"/>
      <c r="H4" s="931"/>
    </row>
    <row r="5" spans="2:8" ht="16.5" thickBot="1">
      <c r="B5" s="721"/>
      <c r="C5" s="721"/>
      <c r="D5" s="722"/>
      <c r="E5" s="723"/>
      <c r="F5" s="721"/>
      <c r="G5" s="721"/>
      <c r="H5" s="721"/>
    </row>
    <row r="6" spans="2:8" ht="15.75">
      <c r="B6" s="932" t="str">
        <f>CONCATENATE("Notice of Vote - ",inputPrYr!D3)</f>
        <v>Notice of Vote - </v>
      </c>
      <c r="C6" s="933"/>
      <c r="D6" s="933"/>
      <c r="E6" s="933"/>
      <c r="F6" s="933"/>
      <c r="G6" s="933"/>
      <c r="H6" s="934"/>
    </row>
    <row r="7" spans="2:8" ht="60.75" customHeight="1" thickBot="1">
      <c r="B7" s="926"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27"/>
      <c r="D7" s="927"/>
      <c r="E7" s="927"/>
      <c r="F7" s="927"/>
      <c r="G7" s="927"/>
      <c r="H7" s="928"/>
    </row>
  </sheetData>
  <sheetProtection sheet="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41.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58" sqref="U58"/>
    </sheetView>
  </sheetViews>
  <sheetFormatPr defaultColWidth="8.796875" defaultRowHeight="15"/>
  <cols>
    <col min="4" max="4" width="12.19921875" style="0" customWidth="1"/>
    <col min="6" max="6" width="3.296875" style="0" customWidth="1"/>
  </cols>
  <sheetData>
    <row r="2" ht="15.75">
      <c r="G2" s="724">
        <f>inputPrYr!C6</f>
        <v>0</v>
      </c>
    </row>
    <row r="3" ht="15.75" thickBot="1"/>
    <row r="4" spans="2:7" ht="19.5" thickBot="1">
      <c r="B4" s="935" t="s">
        <v>967</v>
      </c>
      <c r="C4" s="936"/>
      <c r="D4" s="936"/>
      <c r="E4" s="936"/>
      <c r="F4" s="936"/>
      <c r="G4" s="937"/>
    </row>
    <row r="5" spans="2:7" ht="16.5" thickBot="1">
      <c r="B5" s="725"/>
      <c r="C5" s="725"/>
      <c r="D5" s="725"/>
      <c r="E5" s="725"/>
      <c r="F5" s="725"/>
      <c r="G5" s="725"/>
    </row>
    <row r="6" spans="2:7" ht="15.75">
      <c r="B6" s="932" t="str">
        <f>CONCATENATE("Notice of Vote - ",inputPrYr!D3)</f>
        <v>Notice of Vote - </v>
      </c>
      <c r="C6" s="933"/>
      <c r="D6" s="933"/>
      <c r="E6" s="933"/>
      <c r="F6" s="933"/>
      <c r="G6" s="934"/>
    </row>
    <row r="7" spans="2:7" ht="15.75">
      <c r="B7" s="938" t="s">
        <v>968</v>
      </c>
      <c r="C7" s="939"/>
      <c r="D7" s="939"/>
      <c r="E7" s="939"/>
      <c r="F7" s="939"/>
      <c r="G7" s="940"/>
    </row>
    <row r="8" spans="2:7" ht="15.75">
      <c r="B8" s="938" t="s">
        <v>969</v>
      </c>
      <c r="C8" s="939"/>
      <c r="D8" s="939"/>
      <c r="E8" s="939"/>
      <c r="F8" s="939"/>
      <c r="G8" s="940"/>
    </row>
    <row r="9" spans="2:7" ht="15.75">
      <c r="B9" s="728" t="str">
        <f>CONCATENATE(G2-1," Budget")</f>
        <v>-1 Budget</v>
      </c>
      <c r="C9" s="732" t="s">
        <v>178</v>
      </c>
      <c r="D9" s="734">
        <f>inputPrYr!E32</f>
        <v>0</v>
      </c>
      <c r="E9" s="726"/>
      <c r="F9" s="726"/>
      <c r="G9" s="727"/>
    </row>
    <row r="10" spans="2:7" ht="15.75">
      <c r="B10" s="728" t="str">
        <f>CONCATENATE(G2," Budget")</f>
        <v>0 Budget</v>
      </c>
      <c r="C10" s="732" t="s">
        <v>178</v>
      </c>
      <c r="D10" s="735">
        <f>cert!F57</f>
        <v>0</v>
      </c>
      <c r="E10" s="726"/>
      <c r="F10" s="726"/>
      <c r="G10" s="727"/>
    </row>
    <row r="11" spans="2:7" ht="15.75">
      <c r="B11" s="728"/>
      <c r="C11" s="726"/>
      <c r="D11" s="726" t="s">
        <v>970</v>
      </c>
      <c r="E11" s="737"/>
      <c r="F11" s="731" t="s">
        <v>971</v>
      </c>
      <c r="G11" s="738"/>
    </row>
    <row r="12" spans="2:7" ht="16.5" thickBot="1">
      <c r="B12" s="729"/>
      <c r="C12" s="730"/>
      <c r="D12" s="730"/>
      <c r="E12" s="730"/>
      <c r="F12" s="730"/>
      <c r="G12" s="733"/>
    </row>
  </sheetData>
  <sheetProtection sheet="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61" sqref="U61"/>
    </sheetView>
  </sheetViews>
  <sheetFormatPr defaultColWidth="8.796875" defaultRowHeight="15"/>
  <cols>
    <col min="4" max="4" width="12.19921875" style="0" customWidth="1"/>
    <col min="6" max="6" width="6.796875" style="0" customWidth="1"/>
  </cols>
  <sheetData>
    <row r="2" ht="15.75">
      <c r="G2" s="724">
        <f>inputPrYr!C6</f>
        <v>0</v>
      </c>
    </row>
    <row r="3" ht="15.75" thickBot="1"/>
    <row r="4" spans="2:7" ht="19.5" thickBot="1">
      <c r="B4" s="935" t="s">
        <v>967</v>
      </c>
      <c r="C4" s="936"/>
      <c r="D4" s="936"/>
      <c r="E4" s="936"/>
      <c r="F4" s="936"/>
      <c r="G4" s="937"/>
    </row>
    <row r="5" spans="2:7" ht="16.5" thickBot="1">
      <c r="B5" s="810"/>
      <c r="C5" s="810"/>
      <c r="D5" s="810"/>
      <c r="E5" s="810"/>
      <c r="F5" s="810"/>
      <c r="G5" s="810"/>
    </row>
    <row r="6" spans="2:7" ht="15.75">
      <c r="B6" s="932" t="str">
        <f>CONCATENATE("Notice of Vote - ",inputPrYr!D3)</f>
        <v>Notice of Vote - </v>
      </c>
      <c r="C6" s="933"/>
      <c r="D6" s="933"/>
      <c r="E6" s="933"/>
      <c r="F6" s="933"/>
      <c r="G6" s="934"/>
    </row>
    <row r="7" spans="2:7" ht="15.75">
      <c r="B7" s="938" t="s">
        <v>968</v>
      </c>
      <c r="C7" s="939"/>
      <c r="D7" s="939"/>
      <c r="E7" s="939"/>
      <c r="F7" s="939"/>
      <c r="G7" s="940"/>
    </row>
    <row r="8" spans="2:7" ht="15.75">
      <c r="B8" s="821"/>
      <c r="C8" s="816"/>
      <c r="D8" s="835" t="s">
        <v>969</v>
      </c>
      <c r="E8" s="816"/>
      <c r="F8" s="835" t="s">
        <v>1031</v>
      </c>
      <c r="G8" s="822"/>
    </row>
    <row r="9" spans="2:7" ht="15.75">
      <c r="B9" s="813" t="str">
        <f>CONCATENATE(G2-1," Budget")</f>
        <v>-1 Budget</v>
      </c>
      <c r="C9" s="817" t="s">
        <v>178</v>
      </c>
      <c r="D9" s="832">
        <f>summ!D55</f>
        <v>0</v>
      </c>
      <c r="E9" s="811"/>
      <c r="F9" s="834">
        <f>summ!E52</f>
        <v>0</v>
      </c>
      <c r="G9" s="812"/>
    </row>
    <row r="10" spans="2:7" ht="15.75">
      <c r="B10" s="813" t="str">
        <f>CONCATENATE(G2," Budget")</f>
        <v>0 Budget</v>
      </c>
      <c r="C10" s="817" t="s">
        <v>178</v>
      </c>
      <c r="D10" s="833">
        <f>summ!G52</f>
        <v>0</v>
      </c>
      <c r="E10" s="811"/>
      <c r="F10" s="834">
        <f>summ!H52</f>
        <v>0</v>
      </c>
      <c r="G10" s="812"/>
    </row>
    <row r="11" spans="2:7" ht="15.75">
      <c r="B11" s="813"/>
      <c r="C11" s="817"/>
      <c r="D11" s="825"/>
      <c r="E11" s="811"/>
      <c r="F11" s="811"/>
      <c r="G11" s="812"/>
    </row>
    <row r="12" spans="2:7" ht="15.75">
      <c r="B12" s="813"/>
      <c r="C12" s="811"/>
      <c r="D12" s="811" t="s">
        <v>970</v>
      </c>
      <c r="E12" s="819"/>
      <c r="F12" s="816" t="s">
        <v>971</v>
      </c>
      <c r="G12" s="820"/>
    </row>
    <row r="13" spans="2:7" ht="15.75">
      <c r="B13" s="813"/>
      <c r="C13" s="811"/>
      <c r="D13" s="811"/>
      <c r="E13" s="823"/>
      <c r="F13" s="816"/>
      <c r="G13" s="824"/>
    </row>
    <row r="14" spans="2:7" ht="16.5" thickBot="1">
      <c r="B14" s="814" t="str">
        <f>CONCATENATE("* ",G2-1," mill levy is actual.  ",G2," mill levy is estimated.")</f>
        <v>* -1 mill levy is actual.  0 mill levy is estimated.</v>
      </c>
      <c r="C14" s="815"/>
      <c r="D14" s="815"/>
      <c r="E14" s="815"/>
      <c r="F14" s="815"/>
      <c r="G14" s="818"/>
    </row>
  </sheetData>
  <sheetProtection sheet="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43.xml><?xml version="1.0" encoding="utf-8"?>
<worksheet xmlns="http://schemas.openxmlformats.org/spreadsheetml/2006/main" xmlns:r="http://schemas.openxmlformats.org/officeDocument/2006/relationships">
  <sheetPr>
    <pageSetUpPr fitToPage="1"/>
  </sheetPr>
  <dimension ref="B1:F16"/>
  <sheetViews>
    <sheetView zoomScalePageLayoutView="0" workbookViewId="0" topLeftCell="A1">
      <selection activeCell="J76" sqref="J76"/>
    </sheetView>
  </sheetViews>
  <sheetFormatPr defaultColWidth="8.796875" defaultRowHeight="15"/>
  <cols>
    <col min="2" max="2" width="100.796875" style="0" customWidth="1"/>
  </cols>
  <sheetData>
    <row r="1" ht="15">
      <c r="C1" s="831">
        <f>inputPrYr!D3</f>
        <v>0</v>
      </c>
    </row>
    <row r="2" ht="15">
      <c r="C2" s="831">
        <f>inputPrYr!D4</f>
        <v>0</v>
      </c>
    </row>
    <row r="3" ht="15">
      <c r="C3" s="830">
        <f>inputPrYr!C6</f>
        <v>0</v>
      </c>
    </row>
    <row r="5" ht="49.5" customHeight="1">
      <c r="B5" s="836" t="s">
        <v>1032</v>
      </c>
    </row>
    <row r="6" ht="49.5" customHeight="1">
      <c r="B6" s="829"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28"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28" t="s">
        <v>1033</v>
      </c>
    </row>
    <row r="9" ht="49.5" customHeight="1">
      <c r="B9" s="828" t="str">
        <f>CONCATENATE("Whereas, ",C1," provides essential services to its citizens; and")</f>
        <v>Whereas, 0 provides essential services to its citizens; and</v>
      </c>
    </row>
    <row r="10" ht="49.5" customHeight="1">
      <c r="B10" s="828" t="s">
        <v>1034</v>
      </c>
    </row>
    <row r="11" ht="49.5" customHeight="1">
      <c r="B11" s="828"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spans="2:6" ht="49.5" customHeight="1">
      <c r="B12" s="828" t="str">
        <f>CONCATENATE("Adopted this _____day of____________, ",C3-1," by the ",C1," governing body, ",C2,", Kansas.")</f>
        <v>Adopted this _____day of____________, -1 by the 0 governing body, 0, Kansas.</v>
      </c>
      <c r="F12" s="81"/>
    </row>
    <row r="13" ht="49.5" customHeight="1">
      <c r="B13" s="837" t="str">
        <f>CONCATENATE(C1," Governing Body")</f>
        <v>0 Governing Body</v>
      </c>
    </row>
    <row r="14" ht="49.5" customHeight="1">
      <c r="B14" s="838" t="s">
        <v>1035</v>
      </c>
    </row>
    <row r="15" ht="49.5" customHeight="1">
      <c r="B15" s="838" t="s">
        <v>1035</v>
      </c>
    </row>
    <row r="16" ht="49.5" customHeight="1">
      <c r="B16" s="838" t="s">
        <v>1035</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4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5" sqref="N135"/>
    </sheetView>
  </sheetViews>
  <sheetFormatPr defaultColWidth="8.796875" defaultRowHeight="15"/>
  <cols>
    <col min="1" max="1" width="71.296875" style="0" customWidth="1"/>
  </cols>
  <sheetData>
    <row r="3" spans="1:12" ht="15">
      <c r="A3" s="325" t="s">
        <v>391</v>
      </c>
      <c r="B3" s="325"/>
      <c r="C3" s="325"/>
      <c r="D3" s="325"/>
      <c r="E3" s="325"/>
      <c r="F3" s="325"/>
      <c r="G3" s="325"/>
      <c r="H3" s="325"/>
      <c r="I3" s="325"/>
      <c r="J3" s="325"/>
      <c r="K3" s="325"/>
      <c r="L3" s="325"/>
    </row>
    <row r="5" ht="15">
      <c r="A5" s="326" t="s">
        <v>392</v>
      </c>
    </row>
    <row r="6" ht="15">
      <c r="A6" s="326" t="str">
        <f>CONCATENATE(inputPrYr!C6-2," 'total expenditures' exceed your ",inputPrYr!C6-2," 'budget authority.'")</f>
        <v>-2 'total expenditures' exceed your -2 'budget authority.'</v>
      </c>
    </row>
    <row r="7" ht="15">
      <c r="A7" s="326"/>
    </row>
    <row r="8" ht="15">
      <c r="A8" s="326" t="s">
        <v>393</v>
      </c>
    </row>
    <row r="9" ht="15">
      <c r="A9" s="326" t="s">
        <v>394</v>
      </c>
    </row>
    <row r="10" ht="15">
      <c r="A10" s="326" t="s">
        <v>395</v>
      </c>
    </row>
    <row r="11" ht="15">
      <c r="A11" s="326"/>
    </row>
    <row r="12" ht="15">
      <c r="A12" s="326"/>
    </row>
    <row r="13" ht="15">
      <c r="A13" s="327" t="s">
        <v>396</v>
      </c>
    </row>
    <row r="15" ht="15">
      <c r="A15" s="326" t="s">
        <v>397</v>
      </c>
    </row>
    <row r="16" ht="15">
      <c r="A16" s="326" t="str">
        <f>CONCATENATE("(i.e. an audit has not been completed, or the ",inputPrYr!C6," adopted")</f>
        <v>(i.e. an audit has not been completed, or the  adopted</v>
      </c>
    </row>
    <row r="17" ht="15">
      <c r="A17" s="326" t="s">
        <v>398</v>
      </c>
    </row>
    <row r="18" ht="15">
      <c r="A18" s="326" t="s">
        <v>399</v>
      </c>
    </row>
    <row r="19" ht="15">
      <c r="A19" s="326" t="s">
        <v>400</v>
      </c>
    </row>
    <row r="21" ht="15">
      <c r="A21" s="327" t="s">
        <v>401</v>
      </c>
    </row>
    <row r="22" ht="15">
      <c r="A22" s="327"/>
    </row>
    <row r="23" ht="15">
      <c r="A23" s="326" t="s">
        <v>402</v>
      </c>
    </row>
    <row r="24" ht="15">
      <c r="A24" s="326" t="s">
        <v>403</v>
      </c>
    </row>
    <row r="25" ht="15">
      <c r="A25" s="326" t="str">
        <f>CONCATENATE("particular fund.  If your ",inputPrYr!C6-2," budget was amended, did you")</f>
        <v>particular fund.  If your -2 budget was amended, did you</v>
      </c>
    </row>
    <row r="26" ht="15">
      <c r="A26" s="326" t="s">
        <v>404</v>
      </c>
    </row>
    <row r="27" ht="15">
      <c r="A27" s="326"/>
    </row>
    <row r="28" ht="15">
      <c r="A28" s="326" t="str">
        <f>CONCATENATE("Next, look to see if any of your ",inputPrYr!C6-2," expenditures can be")</f>
        <v>Next, look to see if any of your -2 expenditures can be</v>
      </c>
    </row>
    <row r="29" ht="15">
      <c r="A29" s="326" t="s">
        <v>405</v>
      </c>
    </row>
    <row r="30" ht="15">
      <c r="A30" s="326" t="s">
        <v>406</v>
      </c>
    </row>
    <row r="31" ht="15">
      <c r="A31" s="326" t="s">
        <v>407</v>
      </c>
    </row>
    <row r="32" ht="15">
      <c r="A32" s="326"/>
    </row>
    <row r="33" ht="15">
      <c r="A33" s="326" t="str">
        <f>CONCATENATE("Additionally, do your ",inputPrYr!C6-2," receipts contain a reimbursement")</f>
        <v>Additionally, do your -2 receipts contain a reimbursement</v>
      </c>
    </row>
    <row r="34" ht="15">
      <c r="A34" s="326" t="s">
        <v>408</v>
      </c>
    </row>
    <row r="35" ht="15">
      <c r="A35" s="326" t="s">
        <v>409</v>
      </c>
    </row>
    <row r="36" ht="15">
      <c r="A36" s="326"/>
    </row>
    <row r="37" ht="15">
      <c r="A37" s="326" t="s">
        <v>410</v>
      </c>
    </row>
    <row r="38" ht="15">
      <c r="A38" s="326" t="s">
        <v>411</v>
      </c>
    </row>
    <row r="39" ht="15">
      <c r="A39" s="326" t="s">
        <v>412</v>
      </c>
    </row>
    <row r="40" ht="15">
      <c r="A40" s="326" t="s">
        <v>413</v>
      </c>
    </row>
    <row r="41" ht="15">
      <c r="A41" s="326" t="s">
        <v>414</v>
      </c>
    </row>
    <row r="42" ht="15">
      <c r="A42" s="326" t="s">
        <v>415</v>
      </c>
    </row>
    <row r="43" ht="15">
      <c r="A43" s="326" t="s">
        <v>416</v>
      </c>
    </row>
    <row r="44" ht="15">
      <c r="A44" s="326" t="s">
        <v>417</v>
      </c>
    </row>
    <row r="45" ht="15">
      <c r="A45" s="326"/>
    </row>
    <row r="46" ht="15">
      <c r="A46" s="326" t="s">
        <v>418</v>
      </c>
    </row>
    <row r="47" ht="15">
      <c r="A47" s="326" t="s">
        <v>419</v>
      </c>
    </row>
    <row r="48" ht="15">
      <c r="A48" s="326" t="s">
        <v>420</v>
      </c>
    </row>
    <row r="49" ht="15">
      <c r="A49" s="326"/>
    </row>
    <row r="50" ht="15">
      <c r="A50" s="326" t="s">
        <v>421</v>
      </c>
    </row>
    <row r="51" ht="15">
      <c r="A51" s="326" t="s">
        <v>422</v>
      </c>
    </row>
    <row r="52" ht="15">
      <c r="A52" s="326" t="s">
        <v>423</v>
      </c>
    </row>
    <row r="53" ht="15">
      <c r="A53" s="326"/>
    </row>
    <row r="54" ht="15">
      <c r="A54" s="327" t="s">
        <v>424</v>
      </c>
    </row>
    <row r="55" ht="15">
      <c r="A55" s="326"/>
    </row>
    <row r="56" ht="15">
      <c r="A56" s="326" t="s">
        <v>425</v>
      </c>
    </row>
    <row r="57" ht="15">
      <c r="A57" s="326" t="s">
        <v>426</v>
      </c>
    </row>
    <row r="58" ht="15">
      <c r="A58" s="326" t="s">
        <v>427</v>
      </c>
    </row>
    <row r="59" ht="15">
      <c r="A59" s="326" t="s">
        <v>428</v>
      </c>
    </row>
    <row r="60" ht="15">
      <c r="A60" s="326" t="s">
        <v>429</v>
      </c>
    </row>
    <row r="61" ht="15">
      <c r="A61" s="326" t="s">
        <v>430</v>
      </c>
    </row>
    <row r="62" ht="15">
      <c r="A62" s="326" t="s">
        <v>431</v>
      </c>
    </row>
    <row r="63" ht="15">
      <c r="A63" s="326" t="s">
        <v>432</v>
      </c>
    </row>
    <row r="64" ht="15">
      <c r="A64" s="326" t="s">
        <v>433</v>
      </c>
    </row>
    <row r="65" ht="15">
      <c r="A65" s="326" t="s">
        <v>434</v>
      </c>
    </row>
    <row r="66" ht="15">
      <c r="A66" s="326" t="s">
        <v>435</v>
      </c>
    </row>
    <row r="67" ht="15">
      <c r="A67" s="326" t="s">
        <v>436</v>
      </c>
    </row>
    <row r="68" ht="15">
      <c r="A68" s="326" t="s">
        <v>437</v>
      </c>
    </row>
    <row r="69" ht="15">
      <c r="A69" s="326"/>
    </row>
    <row r="70" ht="15">
      <c r="A70" s="326" t="s">
        <v>438</v>
      </c>
    </row>
    <row r="71" ht="15">
      <c r="A71" s="326" t="s">
        <v>439</v>
      </c>
    </row>
    <row r="72" ht="15">
      <c r="A72" s="326" t="s">
        <v>440</v>
      </c>
    </row>
    <row r="73" ht="15">
      <c r="A73" s="326"/>
    </row>
    <row r="74" ht="15">
      <c r="A74" s="327" t="str">
        <f>CONCATENATE("What if the ",inputPrYr!C6-2," financial records have been closed?")</f>
        <v>What if the -2 financial records have been closed?</v>
      </c>
    </row>
    <row r="76" ht="15">
      <c r="A76" s="326" t="s">
        <v>441</v>
      </c>
    </row>
    <row r="77" ht="15">
      <c r="A77" s="326" t="str">
        <f>CONCATENATE("(i.e. an audit for ",inputPrYr!C6-2," has been completed, or the ",inputPrYr!C6)</f>
        <v>(i.e. an audit for -2 has been completed, or the </v>
      </c>
    </row>
    <row r="78" ht="15">
      <c r="A78" s="326" t="s">
        <v>442</v>
      </c>
    </row>
    <row r="79" ht="15">
      <c r="A79" s="326" t="s">
        <v>443</v>
      </c>
    </row>
    <row r="80" ht="15">
      <c r="A80" s="326"/>
    </row>
    <row r="81" ht="15">
      <c r="A81" s="326" t="s">
        <v>444</v>
      </c>
    </row>
    <row r="82" ht="15">
      <c r="A82" s="326" t="s">
        <v>445</v>
      </c>
    </row>
    <row r="83" ht="15">
      <c r="A83" s="326" t="s">
        <v>446</v>
      </c>
    </row>
    <row r="84" ht="15">
      <c r="A84" s="326"/>
    </row>
    <row r="85" ht="15">
      <c r="A85" s="326"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20" sqref="N120"/>
    </sheetView>
  </sheetViews>
  <sheetFormatPr defaultColWidth="8.796875" defaultRowHeight="15"/>
  <cols>
    <col min="1" max="1" width="71.296875" style="0" customWidth="1"/>
  </cols>
  <sheetData>
    <row r="3" spans="1:10" ht="15">
      <c r="A3" s="325" t="s">
        <v>448</v>
      </c>
      <c r="B3" s="325"/>
      <c r="C3" s="325"/>
      <c r="D3" s="325"/>
      <c r="E3" s="325"/>
      <c r="F3" s="325"/>
      <c r="G3" s="325"/>
      <c r="H3" s="328"/>
      <c r="I3" s="328"/>
      <c r="J3" s="328"/>
    </row>
    <row r="5" ht="15">
      <c r="A5" s="326" t="s">
        <v>449</v>
      </c>
    </row>
    <row r="6" ht="15">
      <c r="A6" t="str">
        <f>CONCATENATE(inputPrYr!C6-2," expenditures show that you finished the year with a ")</f>
        <v>-2 expenditures show that you finished the year with a </v>
      </c>
    </row>
    <row r="7" ht="15">
      <c r="A7" t="s">
        <v>450</v>
      </c>
    </row>
    <row r="9" ht="15">
      <c r="A9" t="s">
        <v>451</v>
      </c>
    </row>
    <row r="10" ht="15">
      <c r="A10" t="s">
        <v>452</v>
      </c>
    </row>
    <row r="11" ht="15">
      <c r="A11" t="s">
        <v>453</v>
      </c>
    </row>
    <row r="13" ht="15">
      <c r="A13" s="327" t="s">
        <v>454</v>
      </c>
    </row>
    <row r="14" ht="15">
      <c r="A14" s="327"/>
    </row>
    <row r="15" ht="15">
      <c r="A15" s="326" t="s">
        <v>455</v>
      </c>
    </row>
    <row r="16" ht="15">
      <c r="A16" s="326" t="s">
        <v>456</v>
      </c>
    </row>
    <row r="17" ht="15">
      <c r="A17" s="326" t="s">
        <v>457</v>
      </c>
    </row>
    <row r="18" ht="15">
      <c r="A18" s="326"/>
    </row>
    <row r="19" ht="15">
      <c r="A19" s="327" t="s">
        <v>458</v>
      </c>
    </row>
    <row r="20" ht="15">
      <c r="A20" s="327"/>
    </row>
    <row r="21" ht="15">
      <c r="A21" s="326" t="s">
        <v>459</v>
      </c>
    </row>
    <row r="22" ht="15">
      <c r="A22" s="326" t="s">
        <v>460</v>
      </c>
    </row>
    <row r="23" ht="15">
      <c r="A23" s="326" t="s">
        <v>461</v>
      </c>
    </row>
    <row r="24" ht="15">
      <c r="A24" s="326"/>
    </row>
    <row r="25" ht="15">
      <c r="A25" s="327" t="s">
        <v>462</v>
      </c>
    </row>
    <row r="26" ht="15">
      <c r="A26" s="327"/>
    </row>
    <row r="27" ht="15">
      <c r="A27" s="326" t="s">
        <v>463</v>
      </c>
    </row>
    <row r="28" ht="15">
      <c r="A28" s="326" t="s">
        <v>464</v>
      </c>
    </row>
    <row r="29" ht="15">
      <c r="A29" s="326" t="s">
        <v>465</v>
      </c>
    </row>
    <row r="30" ht="15">
      <c r="A30" s="326"/>
    </row>
    <row r="31" ht="15">
      <c r="A31" s="327" t="s">
        <v>466</v>
      </c>
    </row>
    <row r="32" ht="15">
      <c r="A32" s="327"/>
    </row>
    <row r="33" spans="1:8" ht="15">
      <c r="A33" s="326" t="str">
        <f>CONCATENATE("If your financial records for ",inputPrYr!C6-2," are not closed")</f>
        <v>If your financial records for -2 are not closed</v>
      </c>
      <c r="B33" s="326"/>
      <c r="C33" s="326"/>
      <c r="D33" s="326"/>
      <c r="E33" s="326"/>
      <c r="F33" s="326"/>
      <c r="G33" s="326"/>
      <c r="H33" s="326"/>
    </row>
    <row r="34" spans="1:8" ht="15">
      <c r="A34" s="326" t="str">
        <f>CONCATENATE("(i.e. an audit has not been completed, or the ",inputPrYr!C6," adopted ")</f>
        <v>(i.e. an audit has not been completed, or the  adopted </v>
      </c>
      <c r="B34" s="326"/>
      <c r="C34" s="326"/>
      <c r="D34" s="326"/>
      <c r="E34" s="326"/>
      <c r="F34" s="326"/>
      <c r="G34" s="326"/>
      <c r="H34" s="326"/>
    </row>
    <row r="35" spans="1:8" ht="15">
      <c r="A35" s="326" t="s">
        <v>467</v>
      </c>
      <c r="B35" s="326"/>
      <c r="C35" s="326"/>
      <c r="D35" s="326"/>
      <c r="E35" s="326"/>
      <c r="F35" s="326"/>
      <c r="G35" s="326"/>
      <c r="H35" s="326"/>
    </row>
    <row r="36" spans="1:8" ht="15">
      <c r="A36" s="326" t="s">
        <v>468</v>
      </c>
      <c r="B36" s="326"/>
      <c r="C36" s="326"/>
      <c r="D36" s="326"/>
      <c r="E36" s="326"/>
      <c r="F36" s="326"/>
      <c r="G36" s="326"/>
      <c r="H36" s="326"/>
    </row>
    <row r="37" spans="1:8" ht="15">
      <c r="A37" s="326" t="s">
        <v>469</v>
      </c>
      <c r="B37" s="326"/>
      <c r="C37" s="326"/>
      <c r="D37" s="326"/>
      <c r="E37" s="326"/>
      <c r="F37" s="326"/>
      <c r="G37" s="326"/>
      <c r="H37" s="326"/>
    </row>
    <row r="38" spans="1:8" ht="15">
      <c r="A38" s="326" t="s">
        <v>470</v>
      </c>
      <c r="B38" s="326"/>
      <c r="C38" s="326"/>
      <c r="D38" s="326"/>
      <c r="E38" s="326"/>
      <c r="F38" s="326"/>
      <c r="G38" s="326"/>
      <c r="H38" s="326"/>
    </row>
    <row r="39" spans="1:8" ht="15">
      <c r="A39" s="326" t="s">
        <v>471</v>
      </c>
      <c r="B39" s="326"/>
      <c r="C39" s="326"/>
      <c r="D39" s="326"/>
      <c r="E39" s="326"/>
      <c r="F39" s="326"/>
      <c r="G39" s="326"/>
      <c r="H39" s="326"/>
    </row>
    <row r="40" spans="1:8" ht="15">
      <c r="A40" s="326"/>
      <c r="B40" s="326"/>
      <c r="C40" s="326"/>
      <c r="D40" s="326"/>
      <c r="E40" s="326"/>
      <c r="F40" s="326"/>
      <c r="G40" s="326"/>
      <c r="H40" s="326"/>
    </row>
    <row r="41" spans="1:8" ht="15">
      <c r="A41" s="326" t="s">
        <v>472</v>
      </c>
      <c r="B41" s="326"/>
      <c r="C41" s="326"/>
      <c r="D41" s="326"/>
      <c r="E41" s="326"/>
      <c r="F41" s="326"/>
      <c r="G41" s="326"/>
      <c r="H41" s="326"/>
    </row>
    <row r="42" spans="1:8" ht="15">
      <c r="A42" s="326" t="s">
        <v>473</v>
      </c>
      <c r="B42" s="326"/>
      <c r="C42" s="326"/>
      <c r="D42" s="326"/>
      <c r="E42" s="326"/>
      <c r="F42" s="326"/>
      <c r="G42" s="326"/>
      <c r="H42" s="326"/>
    </row>
    <row r="43" spans="1:8" ht="15">
      <c r="A43" s="326" t="s">
        <v>474</v>
      </c>
      <c r="B43" s="326"/>
      <c r="C43" s="326"/>
      <c r="D43" s="326"/>
      <c r="E43" s="326"/>
      <c r="F43" s="326"/>
      <c r="G43" s="326"/>
      <c r="H43" s="326"/>
    </row>
    <row r="44" spans="1:8" ht="15">
      <c r="A44" s="326" t="s">
        <v>475</v>
      </c>
      <c r="B44" s="326"/>
      <c r="C44" s="326"/>
      <c r="D44" s="326"/>
      <c r="E44" s="326"/>
      <c r="F44" s="326"/>
      <c r="G44" s="326"/>
      <c r="H44" s="326"/>
    </row>
    <row r="45" spans="1:8" ht="15">
      <c r="A45" s="326"/>
      <c r="B45" s="326"/>
      <c r="C45" s="326"/>
      <c r="D45" s="326"/>
      <c r="E45" s="326"/>
      <c r="F45" s="326"/>
      <c r="G45" s="326"/>
      <c r="H45" s="326"/>
    </row>
    <row r="46" spans="1:8" ht="15">
      <c r="A46" s="326" t="s">
        <v>476</v>
      </c>
      <c r="B46" s="326"/>
      <c r="C46" s="326"/>
      <c r="D46" s="326"/>
      <c r="E46" s="326"/>
      <c r="F46" s="326"/>
      <c r="G46" s="326"/>
      <c r="H46" s="326"/>
    </row>
    <row r="47" spans="1:8" ht="15">
      <c r="A47" s="326" t="s">
        <v>477</v>
      </c>
      <c r="B47" s="326"/>
      <c r="C47" s="326"/>
      <c r="D47" s="326"/>
      <c r="E47" s="326"/>
      <c r="F47" s="326"/>
      <c r="G47" s="326"/>
      <c r="H47" s="326"/>
    </row>
    <row r="48" spans="1:8" ht="15">
      <c r="A48" s="326" t="s">
        <v>478</v>
      </c>
      <c r="B48" s="326"/>
      <c r="C48" s="326"/>
      <c r="D48" s="326"/>
      <c r="E48" s="326"/>
      <c r="F48" s="326"/>
      <c r="G48" s="326"/>
      <c r="H48" s="326"/>
    </row>
    <row r="49" spans="1:8" ht="15">
      <c r="A49" s="326" t="s">
        <v>479</v>
      </c>
      <c r="B49" s="326"/>
      <c r="C49" s="326"/>
      <c r="D49" s="326"/>
      <c r="E49" s="326"/>
      <c r="F49" s="326"/>
      <c r="G49" s="326"/>
      <c r="H49" s="326"/>
    </row>
    <row r="50" spans="1:8" ht="15">
      <c r="A50" s="326" t="s">
        <v>480</v>
      </c>
      <c r="B50" s="326"/>
      <c r="C50" s="326"/>
      <c r="D50" s="326"/>
      <c r="E50" s="326"/>
      <c r="F50" s="326"/>
      <c r="G50" s="326"/>
      <c r="H50" s="326"/>
    </row>
    <row r="51" spans="1:8" ht="15">
      <c r="A51" s="326"/>
      <c r="B51" s="326"/>
      <c r="C51" s="326"/>
      <c r="D51" s="326"/>
      <c r="E51" s="326"/>
      <c r="F51" s="326"/>
      <c r="G51" s="326"/>
      <c r="H51" s="326"/>
    </row>
    <row r="52" spans="1:8" ht="15">
      <c r="A52" s="327" t="s">
        <v>481</v>
      </c>
      <c r="B52" s="327"/>
      <c r="C52" s="327"/>
      <c r="D52" s="327"/>
      <c r="E52" s="327"/>
      <c r="F52" s="327"/>
      <c r="G52" s="327"/>
      <c r="H52" s="326"/>
    </row>
    <row r="53" spans="1:8" ht="15">
      <c r="A53" s="327" t="s">
        <v>482</v>
      </c>
      <c r="B53" s="327"/>
      <c r="C53" s="327"/>
      <c r="D53" s="327"/>
      <c r="E53" s="327"/>
      <c r="F53" s="327"/>
      <c r="G53" s="327"/>
      <c r="H53" s="326"/>
    </row>
    <row r="54" spans="1:8" ht="15">
      <c r="A54" s="326"/>
      <c r="B54" s="326"/>
      <c r="C54" s="326"/>
      <c r="D54" s="326"/>
      <c r="E54" s="326"/>
      <c r="F54" s="326"/>
      <c r="G54" s="326"/>
      <c r="H54" s="326"/>
    </row>
    <row r="55" spans="1:8" ht="15">
      <c r="A55" s="326" t="s">
        <v>483</v>
      </c>
      <c r="B55" s="326"/>
      <c r="C55" s="326"/>
      <c r="D55" s="326"/>
      <c r="E55" s="326"/>
      <c r="F55" s="326"/>
      <c r="G55" s="326"/>
      <c r="H55" s="326"/>
    </row>
    <row r="56" spans="1:8" ht="15">
      <c r="A56" s="326" t="s">
        <v>484</v>
      </c>
      <c r="B56" s="326"/>
      <c r="C56" s="326"/>
      <c r="D56" s="326"/>
      <c r="E56" s="326"/>
      <c r="F56" s="326"/>
      <c r="G56" s="326"/>
      <c r="H56" s="326"/>
    </row>
    <row r="57" spans="1:8" ht="15">
      <c r="A57" s="326" t="s">
        <v>485</v>
      </c>
      <c r="B57" s="326"/>
      <c r="C57" s="326"/>
      <c r="D57" s="326"/>
      <c r="E57" s="326"/>
      <c r="F57" s="326"/>
      <c r="G57" s="326"/>
      <c r="H57" s="326"/>
    </row>
    <row r="58" spans="1:8" ht="15">
      <c r="A58" s="326" t="s">
        <v>486</v>
      </c>
      <c r="B58" s="326"/>
      <c r="C58" s="326"/>
      <c r="D58" s="326"/>
      <c r="E58" s="326"/>
      <c r="F58" s="326"/>
      <c r="G58" s="326"/>
      <c r="H58" s="326"/>
    </row>
    <row r="59" spans="1:8" ht="15">
      <c r="A59" s="326"/>
      <c r="B59" s="326"/>
      <c r="C59" s="326"/>
      <c r="D59" s="326"/>
      <c r="E59" s="326"/>
      <c r="F59" s="326"/>
      <c r="G59" s="326"/>
      <c r="H59" s="326"/>
    </row>
    <row r="60" spans="1:8" ht="15">
      <c r="A60" s="326" t="s">
        <v>487</v>
      </c>
      <c r="B60" s="326"/>
      <c r="C60" s="326"/>
      <c r="D60" s="326"/>
      <c r="E60" s="326"/>
      <c r="F60" s="326"/>
      <c r="G60" s="326"/>
      <c r="H60" s="326"/>
    </row>
    <row r="61" spans="1:8" ht="15">
      <c r="A61" s="326" t="s">
        <v>488</v>
      </c>
      <c r="B61" s="326"/>
      <c r="C61" s="326"/>
      <c r="D61" s="326"/>
      <c r="E61" s="326"/>
      <c r="F61" s="326"/>
      <c r="G61" s="326"/>
      <c r="H61" s="326"/>
    </row>
    <row r="62" spans="1:8" ht="15">
      <c r="A62" s="326" t="s">
        <v>489</v>
      </c>
      <c r="B62" s="326"/>
      <c r="C62" s="326"/>
      <c r="D62" s="326"/>
      <c r="E62" s="326"/>
      <c r="F62" s="326"/>
      <c r="G62" s="326"/>
      <c r="H62" s="326"/>
    </row>
    <row r="63" spans="1:8" ht="15">
      <c r="A63" s="326" t="s">
        <v>490</v>
      </c>
      <c r="B63" s="326"/>
      <c r="C63" s="326"/>
      <c r="D63" s="326"/>
      <c r="E63" s="326"/>
      <c r="F63" s="326"/>
      <c r="G63" s="326"/>
      <c r="H63" s="326"/>
    </row>
    <row r="64" spans="1:8" ht="15">
      <c r="A64" s="326" t="s">
        <v>491</v>
      </c>
      <c r="B64" s="326"/>
      <c r="C64" s="326"/>
      <c r="D64" s="326"/>
      <c r="E64" s="326"/>
      <c r="F64" s="326"/>
      <c r="G64" s="326"/>
      <c r="H64" s="326"/>
    </row>
    <row r="65" spans="1:8" ht="15">
      <c r="A65" s="326" t="s">
        <v>492</v>
      </c>
      <c r="B65" s="326"/>
      <c r="C65" s="326"/>
      <c r="D65" s="326"/>
      <c r="E65" s="326"/>
      <c r="F65" s="326"/>
      <c r="G65" s="326"/>
      <c r="H65" s="326"/>
    </row>
    <row r="66" spans="1:8" ht="15">
      <c r="A66" s="326"/>
      <c r="B66" s="326"/>
      <c r="C66" s="326"/>
      <c r="D66" s="326"/>
      <c r="E66" s="326"/>
      <c r="F66" s="326"/>
      <c r="G66" s="326"/>
      <c r="H66" s="326"/>
    </row>
    <row r="67" spans="1:8" ht="15">
      <c r="A67" s="326" t="s">
        <v>493</v>
      </c>
      <c r="B67" s="326"/>
      <c r="C67" s="326"/>
      <c r="D67" s="326"/>
      <c r="E67" s="326"/>
      <c r="F67" s="326"/>
      <c r="G67" s="326"/>
      <c r="H67" s="326"/>
    </row>
    <row r="68" spans="1:8" ht="15">
      <c r="A68" s="326" t="s">
        <v>494</v>
      </c>
      <c r="B68" s="326"/>
      <c r="C68" s="326"/>
      <c r="D68" s="326"/>
      <c r="E68" s="326"/>
      <c r="F68" s="326"/>
      <c r="G68" s="326"/>
      <c r="H68" s="326"/>
    </row>
    <row r="69" spans="1:8" ht="15">
      <c r="A69" s="326" t="s">
        <v>495</v>
      </c>
      <c r="B69" s="326"/>
      <c r="C69" s="326"/>
      <c r="D69" s="326"/>
      <c r="E69" s="326"/>
      <c r="F69" s="326"/>
      <c r="G69" s="326"/>
      <c r="H69" s="326"/>
    </row>
    <row r="70" spans="1:8" ht="15">
      <c r="A70" s="326" t="s">
        <v>496</v>
      </c>
      <c r="B70" s="326"/>
      <c r="C70" s="326"/>
      <c r="D70" s="326"/>
      <c r="E70" s="326"/>
      <c r="F70" s="326"/>
      <c r="G70" s="326"/>
      <c r="H70" s="326"/>
    </row>
    <row r="71" spans="1:8" ht="15">
      <c r="A71" s="326" t="s">
        <v>497</v>
      </c>
      <c r="B71" s="326"/>
      <c r="C71" s="326"/>
      <c r="D71" s="326"/>
      <c r="E71" s="326"/>
      <c r="F71" s="326"/>
      <c r="G71" s="326"/>
      <c r="H71" s="326"/>
    </row>
    <row r="72" spans="1:8" ht="15">
      <c r="A72" s="326" t="s">
        <v>498</v>
      </c>
      <c r="B72" s="326"/>
      <c r="C72" s="326"/>
      <c r="D72" s="326"/>
      <c r="E72" s="326"/>
      <c r="F72" s="326"/>
      <c r="G72" s="326"/>
      <c r="H72" s="326"/>
    </row>
    <row r="73" spans="1:8" ht="15">
      <c r="A73" s="326" t="s">
        <v>499</v>
      </c>
      <c r="B73" s="326"/>
      <c r="C73" s="326"/>
      <c r="D73" s="326"/>
      <c r="E73" s="326"/>
      <c r="F73" s="326"/>
      <c r="G73" s="326"/>
      <c r="H73" s="326"/>
    </row>
    <row r="74" spans="1:8" ht="15">
      <c r="A74" s="326"/>
      <c r="B74" s="326"/>
      <c r="C74" s="326"/>
      <c r="D74" s="326"/>
      <c r="E74" s="326"/>
      <c r="F74" s="326"/>
      <c r="G74" s="326"/>
      <c r="H74" s="326"/>
    </row>
    <row r="75" spans="1:8" ht="15">
      <c r="A75" s="326" t="s">
        <v>500</v>
      </c>
      <c r="B75" s="326"/>
      <c r="C75" s="326"/>
      <c r="D75" s="326"/>
      <c r="E75" s="326"/>
      <c r="F75" s="326"/>
      <c r="G75" s="326"/>
      <c r="H75" s="326"/>
    </row>
    <row r="76" spans="1:8" ht="15">
      <c r="A76" s="326" t="s">
        <v>501</v>
      </c>
      <c r="B76" s="326"/>
      <c r="C76" s="326"/>
      <c r="D76" s="326"/>
      <c r="E76" s="326"/>
      <c r="F76" s="326"/>
      <c r="G76" s="326"/>
      <c r="H76" s="326"/>
    </row>
    <row r="77" spans="1:8" ht="15">
      <c r="A77" s="326" t="s">
        <v>502</v>
      </c>
      <c r="B77" s="326"/>
      <c r="C77" s="326"/>
      <c r="D77" s="326"/>
      <c r="E77" s="326"/>
      <c r="F77" s="326"/>
      <c r="G77" s="326"/>
      <c r="H77" s="326"/>
    </row>
    <row r="78" spans="1:8" ht="15">
      <c r="A78" s="326"/>
      <c r="B78" s="326"/>
      <c r="C78" s="326"/>
      <c r="D78" s="326"/>
      <c r="E78" s="326"/>
      <c r="F78" s="326"/>
      <c r="G78" s="326"/>
      <c r="H78" s="326"/>
    </row>
    <row r="79" ht="15">
      <c r="A79" s="326" t="s">
        <v>447</v>
      </c>
    </row>
    <row r="80" ht="15">
      <c r="A80" s="327"/>
    </row>
    <row r="81" ht="15">
      <c r="A81" s="326"/>
    </row>
    <row r="82" ht="15">
      <c r="A82" s="326"/>
    </row>
    <row r="83" ht="15">
      <c r="A83" s="326"/>
    </row>
    <row r="84" ht="15">
      <c r="A84" s="326"/>
    </row>
    <row r="85" ht="15">
      <c r="A85" s="326"/>
    </row>
    <row r="86" ht="15">
      <c r="A86" s="326"/>
    </row>
    <row r="87" ht="15">
      <c r="A87" s="326"/>
    </row>
    <row r="88" ht="15">
      <c r="A88" s="326"/>
    </row>
    <row r="89" ht="15">
      <c r="A89" s="326"/>
    </row>
    <row r="90" ht="15">
      <c r="A90" s="326"/>
    </row>
    <row r="91" ht="15">
      <c r="A91" s="326"/>
    </row>
    <row r="92" ht="15">
      <c r="A92" s="326"/>
    </row>
    <row r="93" ht="15">
      <c r="A93" s="326"/>
    </row>
    <row r="94" ht="15">
      <c r="A94" s="326"/>
    </row>
    <row r="95" ht="15">
      <c r="A95" s="326"/>
    </row>
    <row r="96" ht="15">
      <c r="A96" s="326"/>
    </row>
    <row r="97" ht="15">
      <c r="A97" s="326"/>
    </row>
    <row r="98" ht="15">
      <c r="A98" s="326"/>
    </row>
    <row r="99" ht="15">
      <c r="A99" s="326"/>
    </row>
    <row r="100" ht="15">
      <c r="A100" s="326"/>
    </row>
    <row r="101" ht="15">
      <c r="A101" s="326"/>
    </row>
    <row r="103" ht="15">
      <c r="A103" s="326"/>
    </row>
    <row r="104" ht="15">
      <c r="A104" s="326"/>
    </row>
    <row r="105" ht="15">
      <c r="A105" s="326"/>
    </row>
    <row r="107" ht="15">
      <c r="A107" s="327"/>
    </row>
    <row r="108" ht="15">
      <c r="A108" s="327"/>
    </row>
    <row r="109" ht="15">
      <c r="A109" s="32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44" sqref="N144"/>
    </sheetView>
  </sheetViews>
  <sheetFormatPr defaultColWidth="8.796875" defaultRowHeight="15"/>
  <cols>
    <col min="1" max="1" width="71.296875" style="0" customWidth="1"/>
  </cols>
  <sheetData>
    <row r="3" spans="1:12" ht="15">
      <c r="A3" s="325" t="s">
        <v>503</v>
      </c>
      <c r="B3" s="325"/>
      <c r="C3" s="325"/>
      <c r="D3" s="325"/>
      <c r="E3" s="325"/>
      <c r="F3" s="325"/>
      <c r="G3" s="325"/>
      <c r="H3" s="325"/>
      <c r="I3" s="325"/>
      <c r="J3" s="325"/>
      <c r="K3" s="325"/>
      <c r="L3" s="325"/>
    </row>
    <row r="4" spans="1:12" ht="15">
      <c r="A4" s="325"/>
      <c r="B4" s="325"/>
      <c r="C4" s="325"/>
      <c r="D4" s="325"/>
      <c r="E4" s="325"/>
      <c r="F4" s="325"/>
      <c r="G4" s="325"/>
      <c r="H4" s="325"/>
      <c r="I4" s="325"/>
      <c r="J4" s="325"/>
      <c r="K4" s="325"/>
      <c r="L4" s="325"/>
    </row>
    <row r="5" spans="1:12" ht="15">
      <c r="A5" s="326" t="s">
        <v>392</v>
      </c>
      <c r="I5" s="325"/>
      <c r="J5" s="325"/>
      <c r="K5" s="325"/>
      <c r="L5" s="325"/>
    </row>
    <row r="6" spans="1:12" ht="15">
      <c r="A6" s="326" t="str">
        <f>CONCATENATE("estimated ",inputPrYr!C6-1," 'total expenditures' exceed your ",inputPrYr!C6-1,"")</f>
        <v>estimated -1 'total expenditures' exceed your -1</v>
      </c>
      <c r="I6" s="325"/>
      <c r="J6" s="325"/>
      <c r="K6" s="325"/>
      <c r="L6" s="325"/>
    </row>
    <row r="7" spans="1:12" ht="15">
      <c r="A7" s="329" t="s">
        <v>504</v>
      </c>
      <c r="I7" s="325"/>
      <c r="J7" s="325"/>
      <c r="K7" s="325"/>
      <c r="L7" s="325"/>
    </row>
    <row r="8" spans="1:12" ht="15">
      <c r="A8" s="326"/>
      <c r="I8" s="325"/>
      <c r="J8" s="325"/>
      <c r="K8" s="325"/>
      <c r="L8" s="325"/>
    </row>
    <row r="9" spans="1:12" ht="15">
      <c r="A9" s="326" t="s">
        <v>505</v>
      </c>
      <c r="I9" s="325"/>
      <c r="J9" s="325"/>
      <c r="K9" s="325"/>
      <c r="L9" s="325"/>
    </row>
    <row r="10" spans="1:12" ht="15">
      <c r="A10" s="326" t="s">
        <v>506</v>
      </c>
      <c r="I10" s="325"/>
      <c r="J10" s="325"/>
      <c r="K10" s="325"/>
      <c r="L10" s="325"/>
    </row>
    <row r="11" spans="1:12" ht="15">
      <c r="A11" s="326" t="s">
        <v>507</v>
      </c>
      <c r="I11" s="325"/>
      <c r="J11" s="325"/>
      <c r="K11" s="325"/>
      <c r="L11" s="325"/>
    </row>
    <row r="12" spans="1:12" ht="15">
      <c r="A12" s="326" t="s">
        <v>508</v>
      </c>
      <c r="I12" s="325"/>
      <c r="J12" s="325"/>
      <c r="K12" s="325"/>
      <c r="L12" s="325"/>
    </row>
    <row r="13" spans="1:12" ht="15">
      <c r="A13" s="326" t="s">
        <v>509</v>
      </c>
      <c r="I13" s="325"/>
      <c r="J13" s="325"/>
      <c r="K13" s="325"/>
      <c r="L13" s="325"/>
    </row>
    <row r="14" spans="1:12" ht="15">
      <c r="A14" s="325"/>
      <c r="B14" s="325"/>
      <c r="C14" s="325"/>
      <c r="D14" s="325"/>
      <c r="E14" s="325"/>
      <c r="F14" s="325"/>
      <c r="G14" s="325"/>
      <c r="H14" s="325"/>
      <c r="I14" s="325"/>
      <c r="J14" s="325"/>
      <c r="K14" s="325"/>
      <c r="L14" s="325"/>
    </row>
    <row r="15" ht="15">
      <c r="A15" s="327" t="s">
        <v>510</v>
      </c>
    </row>
    <row r="16" ht="15">
      <c r="A16" s="327" t="s">
        <v>511</v>
      </c>
    </row>
    <row r="17" ht="15">
      <c r="A17" s="327"/>
    </row>
    <row r="18" spans="1:7" ht="15">
      <c r="A18" s="326" t="s">
        <v>512</v>
      </c>
      <c r="B18" s="326"/>
      <c r="C18" s="326"/>
      <c r="D18" s="326"/>
      <c r="E18" s="326"/>
      <c r="F18" s="326"/>
      <c r="G18" s="326"/>
    </row>
    <row r="19" spans="1:7" ht="15">
      <c r="A19" s="326" t="str">
        <f>CONCATENATE("your ",inputPrYr!C6-1," numbers to see what steps might be necessary to")</f>
        <v>your -1 numbers to see what steps might be necessary to</v>
      </c>
      <c r="B19" s="326"/>
      <c r="C19" s="326"/>
      <c r="D19" s="326"/>
      <c r="E19" s="326"/>
      <c r="F19" s="326"/>
      <c r="G19" s="326"/>
    </row>
    <row r="20" spans="1:7" ht="15">
      <c r="A20" s="326" t="s">
        <v>513</v>
      </c>
      <c r="B20" s="326"/>
      <c r="C20" s="326"/>
      <c r="D20" s="326"/>
      <c r="E20" s="326"/>
      <c r="F20" s="326"/>
      <c r="G20" s="326"/>
    </row>
    <row r="21" spans="1:7" ht="15">
      <c r="A21" s="326" t="s">
        <v>514</v>
      </c>
      <c r="B21" s="326"/>
      <c r="C21" s="326"/>
      <c r="D21" s="326"/>
      <c r="E21" s="326"/>
      <c r="F21" s="326"/>
      <c r="G21" s="326"/>
    </row>
    <row r="22" ht="15">
      <c r="A22" s="326"/>
    </row>
    <row r="23" ht="15">
      <c r="A23" s="327" t="s">
        <v>515</v>
      </c>
    </row>
    <row r="24" ht="15">
      <c r="A24" s="327"/>
    </row>
    <row r="25" ht="15">
      <c r="A25" s="326" t="s">
        <v>516</v>
      </c>
    </row>
    <row r="26" spans="1:6" ht="15">
      <c r="A26" s="326" t="s">
        <v>517</v>
      </c>
      <c r="B26" s="326"/>
      <c r="C26" s="326"/>
      <c r="D26" s="326"/>
      <c r="E26" s="326"/>
      <c r="F26" s="326"/>
    </row>
    <row r="27" spans="1:6" ht="15">
      <c r="A27" s="326" t="s">
        <v>518</v>
      </c>
      <c r="B27" s="326"/>
      <c r="C27" s="326"/>
      <c r="D27" s="326"/>
      <c r="E27" s="326"/>
      <c r="F27" s="326"/>
    </row>
    <row r="28" spans="1:6" ht="15">
      <c r="A28" s="326" t="s">
        <v>519</v>
      </c>
      <c r="B28" s="326"/>
      <c r="C28" s="326"/>
      <c r="D28" s="326"/>
      <c r="E28" s="326"/>
      <c r="F28" s="326"/>
    </row>
    <row r="29" spans="1:6" ht="15">
      <c r="A29" s="326"/>
      <c r="B29" s="326"/>
      <c r="C29" s="326"/>
      <c r="D29" s="326"/>
      <c r="E29" s="326"/>
      <c r="F29" s="326"/>
    </row>
    <row r="30" spans="1:7" ht="15">
      <c r="A30" s="327" t="s">
        <v>520</v>
      </c>
      <c r="B30" s="327"/>
      <c r="C30" s="327"/>
      <c r="D30" s="327"/>
      <c r="E30" s="327"/>
      <c r="F30" s="327"/>
      <c r="G30" s="327"/>
    </row>
    <row r="31" spans="1:7" ht="15">
      <c r="A31" s="327" t="s">
        <v>521</v>
      </c>
      <c r="B31" s="327"/>
      <c r="C31" s="327"/>
      <c r="D31" s="327"/>
      <c r="E31" s="327"/>
      <c r="F31" s="327"/>
      <c r="G31" s="327"/>
    </row>
    <row r="32" spans="1:6" ht="15">
      <c r="A32" s="326"/>
      <c r="B32" s="326"/>
      <c r="C32" s="326"/>
      <c r="D32" s="326"/>
      <c r="E32" s="326"/>
      <c r="F32" s="326"/>
    </row>
    <row r="33" spans="1:6" ht="15">
      <c r="A33" s="324" t="str">
        <f>CONCATENATE("Well, let's look to see if any of your ",inputPrYr!C6-1," expenditures can")</f>
        <v>Well, let's look to see if any of your -1 expenditures can</v>
      </c>
      <c r="B33" s="326"/>
      <c r="C33" s="326"/>
      <c r="D33" s="326"/>
      <c r="E33" s="326"/>
      <c r="F33" s="326"/>
    </row>
    <row r="34" spans="1:6" ht="15">
      <c r="A34" s="324" t="s">
        <v>522</v>
      </c>
      <c r="B34" s="326"/>
      <c r="C34" s="326"/>
      <c r="D34" s="326"/>
      <c r="E34" s="326"/>
      <c r="F34" s="326"/>
    </row>
    <row r="35" spans="1:6" ht="15">
      <c r="A35" s="324" t="s">
        <v>406</v>
      </c>
      <c r="B35" s="326"/>
      <c r="C35" s="326"/>
      <c r="D35" s="326"/>
      <c r="E35" s="326"/>
      <c r="F35" s="326"/>
    </row>
    <row r="36" spans="1:6" ht="15">
      <c r="A36" s="324" t="s">
        <v>407</v>
      </c>
      <c r="B36" s="326"/>
      <c r="C36" s="326"/>
      <c r="D36" s="326"/>
      <c r="E36" s="326"/>
      <c r="F36" s="326"/>
    </row>
    <row r="37" spans="1:6" ht="15">
      <c r="A37" s="324"/>
      <c r="B37" s="326"/>
      <c r="C37" s="326"/>
      <c r="D37" s="326"/>
      <c r="E37" s="326"/>
      <c r="F37" s="326"/>
    </row>
    <row r="38" spans="1:6" ht="15">
      <c r="A38" s="324" t="str">
        <f>CONCATENATE("Additionally, do your ",inputPrYr!C6-1," receipts contain a reimbursement")</f>
        <v>Additionally, do your -1 receipts contain a reimbursement</v>
      </c>
      <c r="B38" s="326"/>
      <c r="C38" s="326"/>
      <c r="D38" s="326"/>
      <c r="E38" s="326"/>
      <c r="F38" s="326"/>
    </row>
    <row r="39" spans="1:6" ht="15">
      <c r="A39" s="324" t="s">
        <v>408</v>
      </c>
      <c r="B39" s="326"/>
      <c r="C39" s="326"/>
      <c r="D39" s="326"/>
      <c r="E39" s="326"/>
      <c r="F39" s="326"/>
    </row>
    <row r="40" spans="1:6" ht="15">
      <c r="A40" s="324" t="s">
        <v>409</v>
      </c>
      <c r="B40" s="326"/>
      <c r="C40" s="326"/>
      <c r="D40" s="326"/>
      <c r="E40" s="326"/>
      <c r="F40" s="326"/>
    </row>
    <row r="41" spans="1:6" ht="15">
      <c r="A41" s="324"/>
      <c r="B41" s="326"/>
      <c r="C41" s="326"/>
      <c r="D41" s="326"/>
      <c r="E41" s="326"/>
      <c r="F41" s="326"/>
    </row>
    <row r="42" spans="1:6" ht="15">
      <c r="A42" s="324" t="s">
        <v>410</v>
      </c>
      <c r="B42" s="326"/>
      <c r="C42" s="326"/>
      <c r="D42" s="326"/>
      <c r="E42" s="326"/>
      <c r="F42" s="326"/>
    </row>
    <row r="43" spans="1:6" ht="15">
      <c r="A43" s="324" t="s">
        <v>411</v>
      </c>
      <c r="B43" s="326"/>
      <c r="C43" s="326"/>
      <c r="D43" s="326"/>
      <c r="E43" s="326"/>
      <c r="F43" s="326"/>
    </row>
    <row r="44" spans="1:6" ht="15">
      <c r="A44" s="324" t="s">
        <v>412</v>
      </c>
      <c r="B44" s="326"/>
      <c r="C44" s="326"/>
      <c r="D44" s="326"/>
      <c r="E44" s="326"/>
      <c r="F44" s="326"/>
    </row>
    <row r="45" spans="1:6" ht="15">
      <c r="A45" s="324" t="s">
        <v>523</v>
      </c>
      <c r="B45" s="326"/>
      <c r="C45" s="326"/>
      <c r="D45" s="326"/>
      <c r="E45" s="326"/>
      <c r="F45" s="326"/>
    </row>
    <row r="46" spans="1:6" ht="15">
      <c r="A46" s="324" t="s">
        <v>414</v>
      </c>
      <c r="B46" s="326"/>
      <c r="C46" s="326"/>
      <c r="D46" s="326"/>
      <c r="E46" s="326"/>
      <c r="F46" s="326"/>
    </row>
    <row r="47" spans="1:6" ht="15">
      <c r="A47" s="324" t="s">
        <v>524</v>
      </c>
      <c r="B47" s="326"/>
      <c r="C47" s="326"/>
      <c r="D47" s="326"/>
      <c r="E47" s="326"/>
      <c r="F47" s="326"/>
    </row>
    <row r="48" spans="1:6" ht="15">
      <c r="A48" s="324" t="s">
        <v>525</v>
      </c>
      <c r="B48" s="326"/>
      <c r="C48" s="326"/>
      <c r="D48" s="326"/>
      <c r="E48" s="326"/>
      <c r="F48" s="326"/>
    </row>
    <row r="49" spans="1:6" ht="15">
      <c r="A49" s="324" t="s">
        <v>417</v>
      </c>
      <c r="B49" s="326"/>
      <c r="C49" s="326"/>
      <c r="D49" s="326"/>
      <c r="E49" s="326"/>
      <c r="F49" s="326"/>
    </row>
    <row r="50" spans="1:6" ht="15">
      <c r="A50" s="324"/>
      <c r="B50" s="326"/>
      <c r="C50" s="326"/>
      <c r="D50" s="326"/>
      <c r="E50" s="326"/>
      <c r="F50" s="326"/>
    </row>
    <row r="51" spans="1:6" ht="15">
      <c r="A51" s="324" t="s">
        <v>418</v>
      </c>
      <c r="B51" s="326"/>
      <c r="C51" s="326"/>
      <c r="D51" s="326"/>
      <c r="E51" s="326"/>
      <c r="F51" s="326"/>
    </row>
    <row r="52" spans="1:6" ht="15">
      <c r="A52" s="324" t="s">
        <v>419</v>
      </c>
      <c r="B52" s="326"/>
      <c r="C52" s="326"/>
      <c r="D52" s="326"/>
      <c r="E52" s="326"/>
      <c r="F52" s="326"/>
    </row>
    <row r="53" spans="1:6" ht="15">
      <c r="A53" s="324" t="s">
        <v>420</v>
      </c>
      <c r="B53" s="326"/>
      <c r="C53" s="326"/>
      <c r="D53" s="326"/>
      <c r="E53" s="326"/>
      <c r="F53" s="326"/>
    </row>
    <row r="54" spans="1:6" ht="15">
      <c r="A54" s="324"/>
      <c r="B54" s="326"/>
      <c r="C54" s="326"/>
      <c r="D54" s="326"/>
      <c r="E54" s="326"/>
      <c r="F54" s="326"/>
    </row>
    <row r="55" spans="1:6" ht="15">
      <c r="A55" s="324" t="s">
        <v>526</v>
      </c>
      <c r="B55" s="326"/>
      <c r="C55" s="326"/>
      <c r="D55" s="326"/>
      <c r="E55" s="326"/>
      <c r="F55" s="326"/>
    </row>
    <row r="56" spans="1:6" ht="15">
      <c r="A56" s="324" t="s">
        <v>527</v>
      </c>
      <c r="B56" s="326"/>
      <c r="C56" s="326"/>
      <c r="D56" s="326"/>
      <c r="E56" s="326"/>
      <c r="F56" s="326"/>
    </row>
    <row r="57" spans="1:6" ht="15">
      <c r="A57" s="324" t="s">
        <v>528</v>
      </c>
      <c r="B57" s="326"/>
      <c r="C57" s="326"/>
      <c r="D57" s="326"/>
      <c r="E57" s="326"/>
      <c r="F57" s="326"/>
    </row>
    <row r="58" spans="1:6" ht="15">
      <c r="A58" s="324" t="s">
        <v>529</v>
      </c>
      <c r="B58" s="326"/>
      <c r="C58" s="326"/>
      <c r="D58" s="326"/>
      <c r="E58" s="326"/>
      <c r="F58" s="326"/>
    </row>
    <row r="59" spans="1:6" ht="15">
      <c r="A59" s="324" t="s">
        <v>530</v>
      </c>
      <c r="B59" s="326"/>
      <c r="C59" s="326"/>
      <c r="D59" s="326"/>
      <c r="E59" s="326"/>
      <c r="F59" s="326"/>
    </row>
    <row r="60" spans="1:6" ht="15">
      <c r="A60" s="324"/>
      <c r="B60" s="326"/>
      <c r="C60" s="326"/>
      <c r="D60" s="326"/>
      <c r="E60" s="326"/>
      <c r="F60" s="326"/>
    </row>
    <row r="61" spans="1:6" ht="15">
      <c r="A61" s="323" t="s">
        <v>531</v>
      </c>
      <c r="B61" s="326"/>
      <c r="C61" s="326"/>
      <c r="D61" s="326"/>
      <c r="E61" s="326"/>
      <c r="F61" s="326"/>
    </row>
    <row r="62" spans="1:6" ht="15">
      <c r="A62" s="323" t="s">
        <v>532</v>
      </c>
      <c r="B62" s="326"/>
      <c r="C62" s="326"/>
      <c r="D62" s="326"/>
      <c r="E62" s="326"/>
      <c r="F62" s="326"/>
    </row>
    <row r="63" spans="1:6" ht="15">
      <c r="A63" s="323" t="s">
        <v>533</v>
      </c>
      <c r="B63" s="326"/>
      <c r="C63" s="326"/>
      <c r="D63" s="326"/>
      <c r="E63" s="326"/>
      <c r="F63" s="326"/>
    </row>
    <row r="64" ht="15">
      <c r="A64" s="323" t="s">
        <v>534</v>
      </c>
    </row>
    <row r="65" ht="15">
      <c r="A65" s="323" t="s">
        <v>535</v>
      </c>
    </row>
    <row r="66" ht="15">
      <c r="A66" s="323" t="s">
        <v>536</v>
      </c>
    </row>
    <row r="68" ht="15">
      <c r="A68" s="326" t="s">
        <v>537</v>
      </c>
    </row>
    <row r="69" ht="15">
      <c r="A69" s="326" t="s">
        <v>538</v>
      </c>
    </row>
    <row r="70" ht="15">
      <c r="A70" s="326" t="s">
        <v>539</v>
      </c>
    </row>
    <row r="71" ht="15">
      <c r="A71" s="326" t="s">
        <v>540</v>
      </c>
    </row>
    <row r="72" ht="15">
      <c r="A72" s="326" t="s">
        <v>541</v>
      </c>
    </row>
    <row r="73" ht="15">
      <c r="A73" s="326" t="s">
        <v>542</v>
      </c>
    </row>
    <row r="75" ht="15">
      <c r="A75" s="326"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38" sqref="N138"/>
    </sheetView>
  </sheetViews>
  <sheetFormatPr defaultColWidth="8.796875" defaultRowHeight="15"/>
  <cols>
    <col min="1" max="1" width="71.296875" style="0" customWidth="1"/>
  </cols>
  <sheetData>
    <row r="3" spans="1:7" ht="15">
      <c r="A3" s="325" t="s">
        <v>543</v>
      </c>
      <c r="B3" s="325"/>
      <c r="C3" s="325"/>
      <c r="D3" s="325"/>
      <c r="E3" s="325"/>
      <c r="F3" s="325"/>
      <c r="G3" s="325"/>
    </row>
    <row r="4" spans="1:7" ht="15">
      <c r="A4" s="325"/>
      <c r="B4" s="325"/>
      <c r="C4" s="325"/>
      <c r="D4" s="325"/>
      <c r="E4" s="325"/>
      <c r="F4" s="325"/>
      <c r="G4" s="325"/>
    </row>
    <row r="5" ht="15">
      <c r="A5" s="326" t="s">
        <v>449</v>
      </c>
    </row>
    <row r="6" ht="15">
      <c r="A6" s="326" t="str">
        <f>CONCATENATE(inputPrYr!C6," estimated expenditures show that at the end of this year")</f>
        <v> estimated expenditures show that at the end of this year</v>
      </c>
    </row>
    <row r="7" ht="15">
      <c r="A7" s="326" t="s">
        <v>544</v>
      </c>
    </row>
    <row r="8" ht="15">
      <c r="A8" s="326" t="s">
        <v>545</v>
      </c>
    </row>
    <row r="10" ht="15">
      <c r="A10" t="s">
        <v>451</v>
      </c>
    </row>
    <row r="11" ht="15">
      <c r="A11" t="s">
        <v>452</v>
      </c>
    </row>
    <row r="12" ht="15">
      <c r="A12" t="s">
        <v>453</v>
      </c>
    </row>
    <row r="13" spans="1:7" ht="15">
      <c r="A13" s="325"/>
      <c r="B13" s="325"/>
      <c r="C13" s="325"/>
      <c r="D13" s="325"/>
      <c r="E13" s="325"/>
      <c r="F13" s="325"/>
      <c r="G13" s="325"/>
    </row>
    <row r="14" ht="15">
      <c r="A14" s="327" t="s">
        <v>546</v>
      </c>
    </row>
    <row r="15" ht="15">
      <c r="A15" s="326"/>
    </row>
    <row r="16" ht="15">
      <c r="A16" s="326" t="s">
        <v>547</v>
      </c>
    </row>
    <row r="17" ht="15">
      <c r="A17" s="326" t="s">
        <v>548</v>
      </c>
    </row>
    <row r="18" ht="15">
      <c r="A18" s="326" t="s">
        <v>549</v>
      </c>
    </row>
    <row r="19" ht="15">
      <c r="A19" s="326"/>
    </row>
    <row r="20" ht="15">
      <c r="A20" s="326" t="s">
        <v>550</v>
      </c>
    </row>
    <row r="21" ht="15">
      <c r="A21" s="326" t="s">
        <v>551</v>
      </c>
    </row>
    <row r="22" ht="15">
      <c r="A22" s="326" t="s">
        <v>552</v>
      </c>
    </row>
    <row r="23" ht="15">
      <c r="A23" s="326" t="s">
        <v>553</v>
      </c>
    </row>
    <row r="24" ht="15">
      <c r="A24" s="326"/>
    </row>
    <row r="25" ht="15">
      <c r="A25" s="327" t="s">
        <v>515</v>
      </c>
    </row>
    <row r="26" ht="15">
      <c r="A26" s="327"/>
    </row>
    <row r="27" ht="15">
      <c r="A27" s="326" t="s">
        <v>516</v>
      </c>
    </row>
    <row r="28" spans="1:6" ht="15">
      <c r="A28" s="326" t="s">
        <v>517</v>
      </c>
      <c r="B28" s="326"/>
      <c r="C28" s="326"/>
      <c r="D28" s="326"/>
      <c r="E28" s="326"/>
      <c r="F28" s="326"/>
    </row>
    <row r="29" spans="1:6" ht="15">
      <c r="A29" s="326" t="s">
        <v>518</v>
      </c>
      <c r="B29" s="326"/>
      <c r="C29" s="326"/>
      <c r="D29" s="326"/>
      <c r="E29" s="326"/>
      <c r="F29" s="326"/>
    </row>
    <row r="30" spans="1:6" ht="15">
      <c r="A30" s="326" t="s">
        <v>519</v>
      </c>
      <c r="B30" s="326"/>
      <c r="C30" s="326"/>
      <c r="D30" s="326"/>
      <c r="E30" s="326"/>
      <c r="F30" s="326"/>
    </row>
    <row r="31" ht="15">
      <c r="A31" s="326"/>
    </row>
    <row r="32" spans="1:7" ht="15">
      <c r="A32" s="327" t="s">
        <v>520</v>
      </c>
      <c r="B32" s="327"/>
      <c r="C32" s="327"/>
      <c r="D32" s="327"/>
      <c r="E32" s="327"/>
      <c r="F32" s="327"/>
      <c r="G32" s="327"/>
    </row>
    <row r="33" spans="1:7" ht="15">
      <c r="A33" s="327" t="s">
        <v>521</v>
      </c>
      <c r="B33" s="327"/>
      <c r="C33" s="327"/>
      <c r="D33" s="327"/>
      <c r="E33" s="327"/>
      <c r="F33" s="327"/>
      <c r="G33" s="327"/>
    </row>
    <row r="34" spans="1:7" ht="15">
      <c r="A34" s="327"/>
      <c r="B34" s="327"/>
      <c r="C34" s="327"/>
      <c r="D34" s="327"/>
      <c r="E34" s="327"/>
      <c r="F34" s="327"/>
      <c r="G34" s="327"/>
    </row>
    <row r="35" spans="1:7" ht="15">
      <c r="A35" s="326" t="s">
        <v>554</v>
      </c>
      <c r="B35" s="326"/>
      <c r="C35" s="326"/>
      <c r="D35" s="326"/>
      <c r="E35" s="326"/>
      <c r="F35" s="326"/>
      <c r="G35" s="326"/>
    </row>
    <row r="36" spans="1:7" ht="15">
      <c r="A36" s="326" t="s">
        <v>555</v>
      </c>
      <c r="B36" s="326"/>
      <c r="C36" s="326"/>
      <c r="D36" s="326"/>
      <c r="E36" s="326"/>
      <c r="F36" s="326"/>
      <c r="G36" s="326"/>
    </row>
    <row r="37" spans="1:7" ht="15">
      <c r="A37" s="326" t="s">
        <v>556</v>
      </c>
      <c r="B37" s="326"/>
      <c r="C37" s="326"/>
      <c r="D37" s="326"/>
      <c r="E37" s="326"/>
      <c r="F37" s="326"/>
      <c r="G37" s="326"/>
    </row>
    <row r="38" spans="1:7" ht="15">
      <c r="A38" s="326" t="s">
        <v>557</v>
      </c>
      <c r="B38" s="326"/>
      <c r="C38" s="326"/>
      <c r="D38" s="326"/>
      <c r="E38" s="326"/>
      <c r="F38" s="326"/>
      <c r="G38" s="326"/>
    </row>
    <row r="39" spans="1:7" ht="15">
      <c r="A39" s="326" t="s">
        <v>558</v>
      </c>
      <c r="B39" s="326"/>
      <c r="C39" s="326"/>
      <c r="D39" s="326"/>
      <c r="E39" s="326"/>
      <c r="F39" s="326"/>
      <c r="G39" s="326"/>
    </row>
    <row r="40" spans="1:7" ht="15">
      <c r="A40" s="327"/>
      <c r="B40" s="327"/>
      <c r="C40" s="327"/>
      <c r="D40" s="327"/>
      <c r="E40" s="327"/>
      <c r="F40" s="327"/>
      <c r="G40" s="327"/>
    </row>
    <row r="41" spans="1:6" ht="15">
      <c r="A41" s="324" t="str">
        <f>CONCATENATE("So, let's look to see if any of your ",inputPrYr!C6-1," expenditures can")</f>
        <v>So, let's look to see if any of your -1 expenditures can</v>
      </c>
      <c r="B41" s="326"/>
      <c r="C41" s="326"/>
      <c r="D41" s="326"/>
      <c r="E41" s="326"/>
      <c r="F41" s="326"/>
    </row>
    <row r="42" spans="1:6" ht="15">
      <c r="A42" s="324" t="s">
        <v>522</v>
      </c>
      <c r="B42" s="326"/>
      <c r="C42" s="326"/>
      <c r="D42" s="326"/>
      <c r="E42" s="326"/>
      <c r="F42" s="326"/>
    </row>
    <row r="43" spans="1:6" ht="15">
      <c r="A43" s="324" t="s">
        <v>406</v>
      </c>
      <c r="B43" s="326"/>
      <c r="C43" s="326"/>
      <c r="D43" s="326"/>
      <c r="E43" s="326"/>
      <c r="F43" s="326"/>
    </row>
    <row r="44" spans="1:6" ht="15">
      <c r="A44" s="324" t="s">
        <v>407</v>
      </c>
      <c r="B44" s="326"/>
      <c r="C44" s="326"/>
      <c r="D44" s="326"/>
      <c r="E44" s="326"/>
      <c r="F44" s="326"/>
    </row>
    <row r="45" ht="15">
      <c r="A45" s="326"/>
    </row>
    <row r="46" spans="1:6" ht="15">
      <c r="A46" s="324" t="str">
        <f>CONCATENATE("Additionally, do your ",inputPrYr!C6-1," receipts contain a reimbursement")</f>
        <v>Additionally, do your -1 receipts contain a reimbursement</v>
      </c>
      <c r="B46" s="326"/>
      <c r="C46" s="326"/>
      <c r="D46" s="326"/>
      <c r="E46" s="326"/>
      <c r="F46" s="326"/>
    </row>
    <row r="47" spans="1:6" ht="15">
      <c r="A47" s="324" t="s">
        <v>408</v>
      </c>
      <c r="B47" s="326"/>
      <c r="C47" s="326"/>
      <c r="D47" s="326"/>
      <c r="E47" s="326"/>
      <c r="F47" s="326"/>
    </row>
    <row r="48" spans="1:6" ht="15">
      <c r="A48" s="324" t="s">
        <v>409</v>
      </c>
      <c r="B48" s="326"/>
      <c r="C48" s="326"/>
      <c r="D48" s="326"/>
      <c r="E48" s="326"/>
      <c r="F48" s="326"/>
    </row>
    <row r="49" spans="1:7" ht="15">
      <c r="A49" s="326"/>
      <c r="B49" s="326"/>
      <c r="C49" s="326"/>
      <c r="D49" s="326"/>
      <c r="E49" s="326"/>
      <c r="F49" s="326"/>
      <c r="G49" s="326"/>
    </row>
    <row r="50" spans="1:7" ht="15">
      <c r="A50" s="326" t="s">
        <v>476</v>
      </c>
      <c r="B50" s="326"/>
      <c r="C50" s="326"/>
      <c r="D50" s="326"/>
      <c r="E50" s="326"/>
      <c r="F50" s="326"/>
      <c r="G50" s="326"/>
    </row>
    <row r="51" spans="1:7" ht="15">
      <c r="A51" s="326" t="s">
        <v>477</v>
      </c>
      <c r="B51" s="326"/>
      <c r="C51" s="326"/>
      <c r="D51" s="326"/>
      <c r="E51" s="326"/>
      <c r="F51" s="326"/>
      <c r="G51" s="326"/>
    </row>
    <row r="52" spans="1:7" ht="15">
      <c r="A52" s="326" t="s">
        <v>478</v>
      </c>
      <c r="B52" s="326"/>
      <c r="C52" s="326"/>
      <c r="D52" s="326"/>
      <c r="E52" s="326"/>
      <c r="F52" s="326"/>
      <c r="G52" s="326"/>
    </row>
    <row r="53" spans="1:7" ht="15">
      <c r="A53" s="326" t="s">
        <v>479</v>
      </c>
      <c r="B53" s="326"/>
      <c r="C53" s="326"/>
      <c r="D53" s="326"/>
      <c r="E53" s="326"/>
      <c r="F53" s="326"/>
      <c r="G53" s="326"/>
    </row>
    <row r="54" spans="1:7" ht="15">
      <c r="A54" s="326" t="s">
        <v>480</v>
      </c>
      <c r="B54" s="326"/>
      <c r="C54" s="326"/>
      <c r="D54" s="326"/>
      <c r="E54" s="326"/>
      <c r="F54" s="326"/>
      <c r="G54" s="326"/>
    </row>
    <row r="55" spans="1:7" ht="15">
      <c r="A55" s="326"/>
      <c r="B55" s="326"/>
      <c r="C55" s="326"/>
      <c r="D55" s="326"/>
      <c r="E55" s="326"/>
      <c r="F55" s="326"/>
      <c r="G55" s="326"/>
    </row>
    <row r="56" spans="1:6" ht="15">
      <c r="A56" s="324" t="s">
        <v>418</v>
      </c>
      <c r="B56" s="326"/>
      <c r="C56" s="326"/>
      <c r="D56" s="326"/>
      <c r="E56" s="326"/>
      <c r="F56" s="326"/>
    </row>
    <row r="57" spans="1:6" ht="15">
      <c r="A57" s="324" t="s">
        <v>419</v>
      </c>
      <c r="B57" s="326"/>
      <c r="C57" s="326"/>
      <c r="D57" s="326"/>
      <c r="E57" s="326"/>
      <c r="F57" s="326"/>
    </row>
    <row r="58" spans="1:6" ht="15">
      <c r="A58" s="324" t="s">
        <v>420</v>
      </c>
      <c r="B58" s="326"/>
      <c r="C58" s="326"/>
      <c r="D58" s="326"/>
      <c r="E58" s="326"/>
      <c r="F58" s="326"/>
    </row>
    <row r="59" spans="1:6" ht="15">
      <c r="A59" s="324"/>
      <c r="B59" s="326"/>
      <c r="C59" s="326"/>
      <c r="D59" s="326"/>
      <c r="E59" s="326"/>
      <c r="F59" s="326"/>
    </row>
    <row r="60" spans="1:7" ht="15">
      <c r="A60" s="326" t="s">
        <v>559</v>
      </c>
      <c r="B60" s="326"/>
      <c r="C60" s="326"/>
      <c r="D60" s="326"/>
      <c r="E60" s="326"/>
      <c r="F60" s="326"/>
      <c r="G60" s="326"/>
    </row>
    <row r="61" spans="1:7" ht="15">
      <c r="A61" s="326" t="s">
        <v>560</v>
      </c>
      <c r="B61" s="326"/>
      <c r="C61" s="326"/>
      <c r="D61" s="326"/>
      <c r="E61" s="326"/>
      <c r="F61" s="326"/>
      <c r="G61" s="326"/>
    </row>
    <row r="62" spans="1:7" ht="15">
      <c r="A62" s="326" t="s">
        <v>561</v>
      </c>
      <c r="B62" s="326"/>
      <c r="C62" s="326"/>
      <c r="D62" s="326"/>
      <c r="E62" s="326"/>
      <c r="F62" s="326"/>
      <c r="G62" s="326"/>
    </row>
    <row r="63" spans="1:7" ht="15">
      <c r="A63" s="326" t="s">
        <v>562</v>
      </c>
      <c r="B63" s="326"/>
      <c r="C63" s="326"/>
      <c r="D63" s="326"/>
      <c r="E63" s="326"/>
      <c r="F63" s="326"/>
      <c r="G63" s="326"/>
    </row>
    <row r="64" spans="1:7" ht="15">
      <c r="A64" s="326" t="s">
        <v>563</v>
      </c>
      <c r="B64" s="326"/>
      <c r="C64" s="326"/>
      <c r="D64" s="326"/>
      <c r="E64" s="326"/>
      <c r="F64" s="326"/>
      <c r="G64" s="326"/>
    </row>
    <row r="66" spans="1:6" ht="15">
      <c r="A66" s="324" t="s">
        <v>526</v>
      </c>
      <c r="B66" s="326"/>
      <c r="C66" s="326"/>
      <c r="D66" s="326"/>
      <c r="E66" s="326"/>
      <c r="F66" s="326"/>
    </row>
    <row r="67" spans="1:6" ht="15">
      <c r="A67" s="324" t="s">
        <v>527</v>
      </c>
      <c r="B67" s="326"/>
      <c r="C67" s="326"/>
      <c r="D67" s="326"/>
      <c r="E67" s="326"/>
      <c r="F67" s="326"/>
    </row>
    <row r="68" spans="1:6" ht="15">
      <c r="A68" s="324" t="s">
        <v>528</v>
      </c>
      <c r="B68" s="326"/>
      <c r="C68" s="326"/>
      <c r="D68" s="326"/>
      <c r="E68" s="326"/>
      <c r="F68" s="326"/>
    </row>
    <row r="69" spans="1:6" ht="15">
      <c r="A69" s="324" t="s">
        <v>529</v>
      </c>
      <c r="B69" s="326"/>
      <c r="C69" s="326"/>
      <c r="D69" s="326"/>
      <c r="E69" s="326"/>
      <c r="F69" s="326"/>
    </row>
    <row r="70" spans="1:6" ht="15">
      <c r="A70" s="324" t="s">
        <v>530</v>
      </c>
      <c r="B70" s="326"/>
      <c r="C70" s="326"/>
      <c r="D70" s="326"/>
      <c r="E70" s="326"/>
      <c r="F70" s="326"/>
    </row>
    <row r="71" ht="15">
      <c r="A71" s="326"/>
    </row>
    <row r="72" ht="15">
      <c r="A72" s="326" t="s">
        <v>447</v>
      </c>
    </row>
    <row r="73" ht="15">
      <c r="A73" s="326"/>
    </row>
    <row r="74" ht="15">
      <c r="A74" s="326"/>
    </row>
    <row r="75" ht="15">
      <c r="A75" s="326"/>
    </row>
    <row r="78" ht="15">
      <c r="A78" s="327"/>
    </row>
    <row r="80" ht="15">
      <c r="A80" s="326"/>
    </row>
    <row r="81" ht="15">
      <c r="A81" s="326"/>
    </row>
    <row r="82" ht="15">
      <c r="A82" s="326"/>
    </row>
    <row r="83" ht="15">
      <c r="A83" s="326"/>
    </row>
    <row r="84" ht="15">
      <c r="A84" s="326"/>
    </row>
    <row r="85" ht="15">
      <c r="A85" s="326"/>
    </row>
    <row r="86" ht="15">
      <c r="A86" s="326"/>
    </row>
    <row r="87" ht="15">
      <c r="A87" s="326"/>
    </row>
    <row r="88" ht="15">
      <c r="A88" s="326"/>
    </row>
    <row r="89" ht="15">
      <c r="A89" s="326"/>
    </row>
    <row r="90" ht="15">
      <c r="A90" s="326"/>
    </row>
    <row r="92" ht="15">
      <c r="A92" s="326"/>
    </row>
    <row r="93" ht="15">
      <c r="A93" s="326"/>
    </row>
    <row r="94" ht="15">
      <c r="A94" s="326"/>
    </row>
    <row r="95" ht="15">
      <c r="A95" s="326"/>
    </row>
    <row r="96" ht="15">
      <c r="A96" s="326"/>
    </row>
    <row r="97" ht="15">
      <c r="A97" s="326"/>
    </row>
    <row r="98" ht="15">
      <c r="A98" s="326"/>
    </row>
    <row r="99" ht="15">
      <c r="A99" s="326"/>
    </row>
    <row r="100" ht="15">
      <c r="A100" s="326"/>
    </row>
    <row r="101" ht="15">
      <c r="A101" s="326"/>
    </row>
    <row r="102" ht="15">
      <c r="A102" s="326"/>
    </row>
    <row r="103" ht="15">
      <c r="A103" s="326"/>
    </row>
    <row r="104" ht="15">
      <c r="A104" s="326"/>
    </row>
    <row r="105" ht="15">
      <c r="A105" s="326"/>
    </row>
    <row r="106" ht="15">
      <c r="A106" s="32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117" sqref="N117"/>
    </sheetView>
  </sheetViews>
  <sheetFormatPr defaultColWidth="8.796875" defaultRowHeight="15"/>
  <cols>
    <col min="1" max="1" width="71.296875" style="0" customWidth="1"/>
  </cols>
  <sheetData>
    <row r="3" spans="1:7" ht="15">
      <c r="A3" s="325" t="s">
        <v>564</v>
      </c>
      <c r="B3" s="325"/>
      <c r="C3" s="325"/>
      <c r="D3" s="325"/>
      <c r="E3" s="325"/>
      <c r="F3" s="325"/>
      <c r="G3" s="325"/>
    </row>
    <row r="4" spans="1:7" ht="15">
      <c r="A4" s="325" t="s">
        <v>565</v>
      </c>
      <c r="B4" s="325"/>
      <c r="C4" s="325"/>
      <c r="D4" s="325"/>
      <c r="E4" s="325"/>
      <c r="F4" s="325"/>
      <c r="G4" s="325"/>
    </row>
    <row r="5" spans="1:7" ht="15">
      <c r="A5" s="325"/>
      <c r="B5" s="325"/>
      <c r="C5" s="325"/>
      <c r="D5" s="325"/>
      <c r="E5" s="325"/>
      <c r="F5" s="325"/>
      <c r="G5" s="325"/>
    </row>
    <row r="6" spans="1:7" ht="15">
      <c r="A6" s="325"/>
      <c r="B6" s="325"/>
      <c r="C6" s="325"/>
      <c r="D6" s="325"/>
      <c r="E6" s="325"/>
      <c r="F6" s="325"/>
      <c r="G6" s="325"/>
    </row>
    <row r="7" ht="15">
      <c r="A7" s="326" t="s">
        <v>392</v>
      </c>
    </row>
    <row r="8" ht="15">
      <c r="A8" s="326" t="str">
        <f>CONCATENATE("estimated ",inputPrYr!C6," 'total expenditures' exceed your ",inputPrYr!C6,"")</f>
        <v>estimated  'total expenditures' exceed your </v>
      </c>
    </row>
    <row r="9" ht="15">
      <c r="A9" s="329" t="s">
        <v>566</v>
      </c>
    </row>
    <row r="10" ht="15">
      <c r="A10" s="326"/>
    </row>
    <row r="11" ht="15">
      <c r="A11" s="326" t="s">
        <v>567</v>
      </c>
    </row>
    <row r="12" ht="15">
      <c r="A12" s="326" t="s">
        <v>568</v>
      </c>
    </row>
    <row r="13" ht="15">
      <c r="A13" s="326" t="s">
        <v>569</v>
      </c>
    </row>
    <row r="14" ht="15">
      <c r="A14" s="326"/>
    </row>
    <row r="15" ht="15">
      <c r="A15" s="327" t="s">
        <v>570</v>
      </c>
    </row>
    <row r="16" spans="1:7" ht="15">
      <c r="A16" s="325"/>
      <c r="B16" s="325"/>
      <c r="C16" s="325"/>
      <c r="D16" s="325"/>
      <c r="E16" s="325"/>
      <c r="F16" s="325"/>
      <c r="G16" s="325"/>
    </row>
    <row r="17" spans="1:8" ht="15">
      <c r="A17" s="330" t="s">
        <v>571</v>
      </c>
      <c r="B17" s="331"/>
      <c r="C17" s="331"/>
      <c r="D17" s="331"/>
      <c r="E17" s="331"/>
      <c r="F17" s="331"/>
      <c r="G17" s="331"/>
      <c r="H17" s="331"/>
    </row>
    <row r="18" spans="1:7" ht="15">
      <c r="A18" s="326" t="s">
        <v>572</v>
      </c>
      <c r="B18" s="332"/>
      <c r="C18" s="332"/>
      <c r="D18" s="332"/>
      <c r="E18" s="332"/>
      <c r="F18" s="332"/>
      <c r="G18" s="332"/>
    </row>
    <row r="19" ht="15">
      <c r="A19" s="326" t="s">
        <v>573</v>
      </c>
    </row>
    <row r="20" ht="15">
      <c r="A20" s="326" t="s">
        <v>574</v>
      </c>
    </row>
    <row r="22" ht="15">
      <c r="A22" s="327" t="s">
        <v>575</v>
      </c>
    </row>
    <row r="24" ht="15">
      <c r="A24" s="326" t="s">
        <v>576</v>
      </c>
    </row>
    <row r="25" ht="15">
      <c r="A25" s="326" t="s">
        <v>577</v>
      </c>
    </row>
    <row r="26" ht="15">
      <c r="A26" s="326" t="s">
        <v>578</v>
      </c>
    </row>
    <row r="28" ht="15">
      <c r="A28" s="327" t="s">
        <v>579</v>
      </c>
    </row>
    <row r="30" ht="15">
      <c r="A30" t="s">
        <v>580</v>
      </c>
    </row>
    <row r="31" ht="15">
      <c r="A31" t="s">
        <v>581</v>
      </c>
    </row>
    <row r="32" ht="15">
      <c r="A32" t="s">
        <v>582</v>
      </c>
    </row>
    <row r="33" ht="15">
      <c r="A33" s="326"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26" t="s">
        <v>596</v>
      </c>
    </row>
    <row r="50" ht="15">
      <c r="A50" s="326" t="s">
        <v>597</v>
      </c>
    </row>
    <row r="52" ht="15">
      <c r="A52"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9.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V242" sqref="V242"/>
    </sheetView>
  </sheetViews>
  <sheetFormatPr defaultColWidth="8.796875" defaultRowHeight="15"/>
  <cols>
    <col min="1" max="1" width="7.59765625" style="396" customWidth="1"/>
    <col min="2" max="2" width="11.19921875" style="398" customWidth="1"/>
    <col min="3" max="3" width="7.3984375" style="398" customWidth="1"/>
    <col min="4" max="4" width="8.8984375" style="398" customWidth="1"/>
    <col min="5" max="5" width="1.59765625" style="398" customWidth="1"/>
    <col min="6" max="6" width="14.296875" style="398" customWidth="1"/>
    <col min="7" max="7" width="2.59765625" style="398" customWidth="1"/>
    <col min="8" max="8" width="9.796875" style="398" customWidth="1"/>
    <col min="9" max="9" width="2" style="398" customWidth="1"/>
    <col min="10" max="10" width="8.59765625" style="398" customWidth="1"/>
    <col min="11" max="11" width="11.69921875" style="398" customWidth="1"/>
    <col min="12" max="12" width="7.59765625" style="396" customWidth="1"/>
    <col min="13" max="14" width="8.8984375" style="396" customWidth="1"/>
    <col min="15" max="15" width="9.8984375" style="396" bestFit="1" customWidth="1"/>
    <col min="16" max="16384" width="8.8984375" style="396"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950" t="s">
        <v>1008</v>
      </c>
      <c r="C6" s="954"/>
      <c r="D6" s="954"/>
      <c r="E6" s="954"/>
      <c r="F6" s="954"/>
      <c r="G6" s="954"/>
      <c r="H6" s="954"/>
      <c r="I6" s="954"/>
      <c r="J6" s="954"/>
      <c r="K6" s="954"/>
      <c r="L6" s="399"/>
    </row>
    <row r="7" spans="1:12" ht="40.5" customHeight="1">
      <c r="A7" s="397"/>
      <c r="B7" s="967" t="s">
        <v>628</v>
      </c>
      <c r="C7" s="968"/>
      <c r="D7" s="968"/>
      <c r="E7" s="968"/>
      <c r="F7" s="968"/>
      <c r="G7" s="968"/>
      <c r="H7" s="968"/>
      <c r="I7" s="968"/>
      <c r="J7" s="968"/>
      <c r="K7" s="968"/>
      <c r="L7" s="397"/>
    </row>
    <row r="8" spans="1:12" ht="14.25">
      <c r="A8" s="397"/>
      <c r="B8" s="960" t="s">
        <v>629</v>
      </c>
      <c r="C8" s="960"/>
      <c r="D8" s="960"/>
      <c r="E8" s="960"/>
      <c r="F8" s="960"/>
      <c r="G8" s="960"/>
      <c r="H8" s="960"/>
      <c r="I8" s="960"/>
      <c r="J8" s="960"/>
      <c r="K8" s="960"/>
      <c r="L8" s="397"/>
    </row>
    <row r="9" spans="1:12" ht="14.25">
      <c r="A9" s="397"/>
      <c r="L9" s="397"/>
    </row>
    <row r="10" spans="1:12" ht="14.25">
      <c r="A10" s="397"/>
      <c r="B10" s="960" t="s">
        <v>630</v>
      </c>
      <c r="C10" s="960"/>
      <c r="D10" s="960"/>
      <c r="E10" s="960"/>
      <c r="F10" s="960"/>
      <c r="G10" s="960"/>
      <c r="H10" s="960"/>
      <c r="I10" s="960"/>
      <c r="J10" s="960"/>
      <c r="K10" s="960"/>
      <c r="L10" s="397"/>
    </row>
    <row r="11" spans="1:12" ht="14.25">
      <c r="A11" s="397"/>
      <c r="B11" s="557"/>
      <c r="C11" s="557"/>
      <c r="D11" s="557"/>
      <c r="E11" s="557"/>
      <c r="F11" s="557"/>
      <c r="G11" s="557"/>
      <c r="H11" s="557"/>
      <c r="I11" s="557"/>
      <c r="J11" s="557"/>
      <c r="K11" s="557"/>
      <c r="L11" s="397"/>
    </row>
    <row r="12" spans="1:12" ht="32.25" customHeight="1">
      <c r="A12" s="397"/>
      <c r="B12" s="952" t="s">
        <v>631</v>
      </c>
      <c r="C12" s="952"/>
      <c r="D12" s="952"/>
      <c r="E12" s="952"/>
      <c r="F12" s="952"/>
      <c r="G12" s="952"/>
      <c r="H12" s="952"/>
      <c r="I12" s="952"/>
      <c r="J12" s="952"/>
      <c r="K12" s="952"/>
      <c r="L12" s="397"/>
    </row>
    <row r="13" spans="1:12" ht="14.25">
      <c r="A13" s="397"/>
      <c r="L13" s="397"/>
    </row>
    <row r="14" spans="1:12" ht="14.25">
      <c r="A14" s="397"/>
      <c r="B14" s="400" t="s">
        <v>632</v>
      </c>
      <c r="L14" s="397"/>
    </row>
    <row r="15" spans="1:12" ht="14.25">
      <c r="A15" s="397"/>
      <c r="L15" s="397"/>
    </row>
    <row r="16" spans="1:12" ht="14.25">
      <c r="A16" s="397"/>
      <c r="B16" s="398" t="s">
        <v>633</v>
      </c>
      <c r="L16" s="397"/>
    </row>
    <row r="17" spans="1:12" ht="14.25">
      <c r="A17" s="397"/>
      <c r="B17" s="398" t="s">
        <v>634</v>
      </c>
      <c r="L17" s="397"/>
    </row>
    <row r="18" spans="1:12" ht="14.25">
      <c r="A18" s="397"/>
      <c r="L18" s="397"/>
    </row>
    <row r="19" spans="1:12" ht="14.25">
      <c r="A19" s="397"/>
      <c r="B19" s="400" t="s">
        <v>805</v>
      </c>
      <c r="L19" s="397"/>
    </row>
    <row r="20" spans="1:12" ht="14.25">
      <c r="A20" s="397"/>
      <c r="B20" s="400"/>
      <c r="L20" s="397"/>
    </row>
    <row r="21" spans="1:12" ht="14.25">
      <c r="A21" s="397"/>
      <c r="B21" s="398" t="s">
        <v>806</v>
      </c>
      <c r="L21" s="397"/>
    </row>
    <row r="22" spans="1:12" ht="14.25">
      <c r="A22" s="397"/>
      <c r="L22" s="397"/>
    </row>
    <row r="23" spans="1:12" ht="14.25">
      <c r="A23" s="397"/>
      <c r="B23" s="398" t="s">
        <v>635</v>
      </c>
      <c r="E23" s="398" t="s">
        <v>636</v>
      </c>
      <c r="F23" s="958">
        <v>312000000</v>
      </c>
      <c r="G23" s="958"/>
      <c r="L23" s="397"/>
    </row>
    <row r="24" spans="1:12" ht="14.25">
      <c r="A24" s="397"/>
      <c r="L24" s="397"/>
    </row>
    <row r="25" spans="1:12" ht="14.25">
      <c r="A25" s="397"/>
      <c r="C25" s="969">
        <f>F23</f>
        <v>312000000</v>
      </c>
      <c r="D25" s="969"/>
      <c r="E25" s="398" t="s">
        <v>637</v>
      </c>
      <c r="F25" s="401">
        <v>1000</v>
      </c>
      <c r="G25" s="401" t="s">
        <v>636</v>
      </c>
      <c r="H25" s="745">
        <f>F23/F25</f>
        <v>312000</v>
      </c>
      <c r="L25" s="397"/>
    </row>
    <row r="26" spans="1:12" ht="15" thickBot="1">
      <c r="A26" s="397"/>
      <c r="L26" s="397"/>
    </row>
    <row r="27" spans="1:12" ht="14.25">
      <c r="A27" s="397"/>
      <c r="B27" s="402" t="s">
        <v>632</v>
      </c>
      <c r="C27" s="403"/>
      <c r="D27" s="403"/>
      <c r="E27" s="403"/>
      <c r="F27" s="403"/>
      <c r="G27" s="403"/>
      <c r="H27" s="403"/>
      <c r="I27" s="403"/>
      <c r="J27" s="403"/>
      <c r="K27" s="404"/>
      <c r="L27" s="397"/>
    </row>
    <row r="28" spans="1:12" ht="14.25">
      <c r="A28" s="397"/>
      <c r="B28" s="405">
        <f>F23</f>
        <v>312000000</v>
      </c>
      <c r="C28" s="406" t="s">
        <v>638</v>
      </c>
      <c r="D28" s="406"/>
      <c r="E28" s="406" t="s">
        <v>637</v>
      </c>
      <c r="F28" s="555">
        <v>1000</v>
      </c>
      <c r="G28" s="555" t="s">
        <v>636</v>
      </c>
      <c r="H28" s="746">
        <f>B28/F28</f>
        <v>312000</v>
      </c>
      <c r="I28" s="406" t="s">
        <v>639</v>
      </c>
      <c r="J28" s="406"/>
      <c r="K28" s="407"/>
      <c r="L28" s="397"/>
    </row>
    <row r="29" spans="1:12" ht="15" thickBot="1">
      <c r="A29" s="397"/>
      <c r="B29" s="408"/>
      <c r="C29" s="409"/>
      <c r="D29" s="409"/>
      <c r="E29" s="409"/>
      <c r="F29" s="409"/>
      <c r="G29" s="409"/>
      <c r="H29" s="409"/>
      <c r="I29" s="409"/>
      <c r="J29" s="409"/>
      <c r="K29" s="410"/>
      <c r="L29" s="397"/>
    </row>
    <row r="30" spans="1:12" ht="40.5" customHeight="1">
      <c r="A30" s="397"/>
      <c r="B30" s="949" t="s">
        <v>628</v>
      </c>
      <c r="C30" s="949"/>
      <c r="D30" s="949"/>
      <c r="E30" s="949"/>
      <c r="F30" s="949"/>
      <c r="G30" s="949"/>
      <c r="H30" s="949"/>
      <c r="I30" s="949"/>
      <c r="J30" s="949"/>
      <c r="K30" s="949"/>
      <c r="L30" s="397"/>
    </row>
    <row r="31" spans="1:12" ht="14.25">
      <c r="A31" s="397"/>
      <c r="B31" s="960" t="s">
        <v>640</v>
      </c>
      <c r="C31" s="960"/>
      <c r="D31" s="960"/>
      <c r="E31" s="960"/>
      <c r="F31" s="960"/>
      <c r="G31" s="960"/>
      <c r="H31" s="960"/>
      <c r="I31" s="960"/>
      <c r="J31" s="960"/>
      <c r="K31" s="960"/>
      <c r="L31" s="397"/>
    </row>
    <row r="32" spans="1:12" ht="14.25">
      <c r="A32" s="397"/>
      <c r="L32" s="397"/>
    </row>
    <row r="33" spans="1:12" ht="14.25">
      <c r="A33" s="397"/>
      <c r="B33" s="960" t="s">
        <v>641</v>
      </c>
      <c r="C33" s="960"/>
      <c r="D33" s="960"/>
      <c r="E33" s="960"/>
      <c r="F33" s="960"/>
      <c r="G33" s="960"/>
      <c r="H33" s="960"/>
      <c r="I33" s="960"/>
      <c r="J33" s="960"/>
      <c r="K33" s="960"/>
      <c r="L33" s="397"/>
    </row>
    <row r="34" spans="1:12" ht="14.25">
      <c r="A34" s="397"/>
      <c r="L34" s="397"/>
    </row>
    <row r="35" spans="1:12" ht="89.25" customHeight="1">
      <c r="A35" s="397"/>
      <c r="B35" s="952" t="s">
        <v>642</v>
      </c>
      <c r="C35" s="957"/>
      <c r="D35" s="957"/>
      <c r="E35" s="957"/>
      <c r="F35" s="957"/>
      <c r="G35" s="957"/>
      <c r="H35" s="957"/>
      <c r="I35" s="957"/>
      <c r="J35" s="957"/>
      <c r="K35" s="957"/>
      <c r="L35" s="397"/>
    </row>
    <row r="36" spans="1:12" ht="14.25">
      <c r="A36" s="397"/>
      <c r="L36" s="397"/>
    </row>
    <row r="37" spans="1:12" ht="14.25">
      <c r="A37" s="397"/>
      <c r="B37" s="400" t="s">
        <v>643</v>
      </c>
      <c r="L37" s="397"/>
    </row>
    <row r="38" spans="1:12" ht="14.25">
      <c r="A38" s="397"/>
      <c r="L38" s="397"/>
    </row>
    <row r="39" spans="1:12" ht="14.25">
      <c r="A39" s="397"/>
      <c r="B39" s="398" t="s">
        <v>644</v>
      </c>
      <c r="L39" s="397"/>
    </row>
    <row r="40" spans="1:12" ht="14.25">
      <c r="A40" s="397"/>
      <c r="L40" s="397"/>
    </row>
    <row r="41" spans="1:12" ht="14.25">
      <c r="A41" s="397"/>
      <c r="C41" s="961">
        <v>312000000</v>
      </c>
      <c r="D41" s="961"/>
      <c r="E41" s="398" t="s">
        <v>637</v>
      </c>
      <c r="F41" s="401">
        <v>1000</v>
      </c>
      <c r="G41" s="401" t="s">
        <v>636</v>
      </c>
      <c r="H41" s="747">
        <f>C41/F41</f>
        <v>312000</v>
      </c>
      <c r="L41" s="397"/>
    </row>
    <row r="42" spans="1:12" ht="14.25">
      <c r="A42" s="397"/>
      <c r="L42" s="397"/>
    </row>
    <row r="43" spans="1:12" ht="14.25">
      <c r="A43" s="397"/>
      <c r="B43" s="398" t="s">
        <v>645</v>
      </c>
      <c r="L43" s="397"/>
    </row>
    <row r="44" spans="1:12" ht="14.25">
      <c r="A44" s="397"/>
      <c r="L44" s="397"/>
    </row>
    <row r="45" spans="1:12" ht="14.25">
      <c r="A45" s="397"/>
      <c r="B45" s="398" t="s">
        <v>646</v>
      </c>
      <c r="L45" s="397"/>
    </row>
    <row r="46" spans="1:12" ht="15" thickBot="1">
      <c r="A46" s="397"/>
      <c r="L46" s="397"/>
    </row>
    <row r="47" spans="1:12" ht="14.25">
      <c r="A47" s="397"/>
      <c r="B47" s="411" t="s">
        <v>632</v>
      </c>
      <c r="C47" s="403"/>
      <c r="D47" s="403"/>
      <c r="E47" s="403"/>
      <c r="F47" s="403"/>
      <c r="G47" s="403"/>
      <c r="H47" s="403"/>
      <c r="I47" s="403"/>
      <c r="J47" s="403"/>
      <c r="K47" s="404"/>
      <c r="L47" s="397"/>
    </row>
    <row r="48" spans="1:12" ht="14.25">
      <c r="A48" s="397"/>
      <c r="B48" s="962">
        <v>312000000</v>
      </c>
      <c r="C48" s="958"/>
      <c r="D48" s="406" t="s">
        <v>647</v>
      </c>
      <c r="E48" s="406" t="s">
        <v>637</v>
      </c>
      <c r="F48" s="555">
        <v>1000</v>
      </c>
      <c r="G48" s="555" t="s">
        <v>636</v>
      </c>
      <c r="H48" s="746">
        <f>B48/F48</f>
        <v>312000</v>
      </c>
      <c r="I48" s="406" t="s">
        <v>648</v>
      </c>
      <c r="J48" s="406"/>
      <c r="K48" s="407"/>
      <c r="L48" s="397"/>
    </row>
    <row r="49" spans="1:12" ht="14.25">
      <c r="A49" s="397"/>
      <c r="B49" s="412"/>
      <c r="C49" s="406"/>
      <c r="D49" s="406"/>
      <c r="E49" s="406"/>
      <c r="F49" s="406"/>
      <c r="G49" s="406"/>
      <c r="H49" s="406"/>
      <c r="I49" s="406"/>
      <c r="J49" s="406"/>
      <c r="K49" s="407"/>
      <c r="L49" s="397"/>
    </row>
    <row r="50" spans="1:12" ht="14.25">
      <c r="A50" s="397"/>
      <c r="B50" s="413">
        <v>50000</v>
      </c>
      <c r="C50" s="406" t="s">
        <v>649</v>
      </c>
      <c r="D50" s="406"/>
      <c r="E50" s="406" t="s">
        <v>637</v>
      </c>
      <c r="F50" s="746">
        <f>H48</f>
        <v>312000</v>
      </c>
      <c r="G50" s="963" t="s">
        <v>650</v>
      </c>
      <c r="H50" s="964"/>
      <c r="I50" s="555" t="s">
        <v>636</v>
      </c>
      <c r="J50" s="414">
        <f>B50/F50</f>
        <v>0.16025641025641027</v>
      </c>
      <c r="K50" s="407"/>
      <c r="L50" s="397"/>
    </row>
    <row r="51" spans="1:15" ht="15" thickBot="1">
      <c r="A51" s="397"/>
      <c r="B51" s="408"/>
      <c r="C51" s="409"/>
      <c r="D51" s="409"/>
      <c r="E51" s="409"/>
      <c r="F51" s="409"/>
      <c r="G51" s="409"/>
      <c r="H51" s="409"/>
      <c r="I51" s="965" t="s">
        <v>651</v>
      </c>
      <c r="J51" s="965"/>
      <c r="K51" s="966"/>
      <c r="L51" s="397"/>
      <c r="O51" s="538"/>
    </row>
    <row r="52" spans="1:12" ht="40.5" customHeight="1">
      <c r="A52" s="397"/>
      <c r="B52" s="949" t="s">
        <v>628</v>
      </c>
      <c r="C52" s="949"/>
      <c r="D52" s="949"/>
      <c r="E52" s="949"/>
      <c r="F52" s="949"/>
      <c r="G52" s="949"/>
      <c r="H52" s="949"/>
      <c r="I52" s="949"/>
      <c r="J52" s="949"/>
      <c r="K52" s="949"/>
      <c r="L52" s="397"/>
    </row>
    <row r="53" spans="1:12" ht="14.25">
      <c r="A53" s="397"/>
      <c r="B53" s="960" t="s">
        <v>652</v>
      </c>
      <c r="C53" s="960"/>
      <c r="D53" s="960"/>
      <c r="E53" s="960"/>
      <c r="F53" s="960"/>
      <c r="G53" s="960"/>
      <c r="H53" s="960"/>
      <c r="I53" s="960"/>
      <c r="J53" s="960"/>
      <c r="K53" s="960"/>
      <c r="L53" s="397"/>
    </row>
    <row r="54" spans="1:12" ht="14.25">
      <c r="A54" s="397"/>
      <c r="B54" s="557"/>
      <c r="C54" s="557"/>
      <c r="D54" s="557"/>
      <c r="E54" s="557"/>
      <c r="F54" s="557"/>
      <c r="G54" s="557"/>
      <c r="H54" s="557"/>
      <c r="I54" s="557"/>
      <c r="J54" s="557"/>
      <c r="K54" s="557"/>
      <c r="L54" s="397"/>
    </row>
    <row r="55" spans="1:12" ht="14.25">
      <c r="A55" s="397"/>
      <c r="B55" s="950" t="s">
        <v>653</v>
      </c>
      <c r="C55" s="950"/>
      <c r="D55" s="950"/>
      <c r="E55" s="950"/>
      <c r="F55" s="950"/>
      <c r="G55" s="950"/>
      <c r="H55" s="950"/>
      <c r="I55" s="950"/>
      <c r="J55" s="950"/>
      <c r="K55" s="950"/>
      <c r="L55" s="397"/>
    </row>
    <row r="56" spans="1:12" ht="15" customHeight="1">
      <c r="A56" s="397"/>
      <c r="L56" s="397"/>
    </row>
    <row r="57" spans="1:24" ht="74.25" customHeight="1">
      <c r="A57" s="397"/>
      <c r="B57" s="952" t="s">
        <v>654</v>
      </c>
      <c r="C57" s="957"/>
      <c r="D57" s="957"/>
      <c r="E57" s="957"/>
      <c r="F57" s="957"/>
      <c r="G57" s="957"/>
      <c r="H57" s="957"/>
      <c r="I57" s="957"/>
      <c r="J57" s="957"/>
      <c r="K57" s="957"/>
      <c r="L57" s="397"/>
      <c r="M57" s="415"/>
      <c r="N57" s="416"/>
      <c r="O57" s="416"/>
      <c r="P57" s="416"/>
      <c r="Q57" s="416"/>
      <c r="R57" s="416"/>
      <c r="S57" s="416"/>
      <c r="T57" s="416"/>
      <c r="U57" s="416"/>
      <c r="V57" s="416"/>
      <c r="W57" s="416"/>
      <c r="X57" s="416"/>
    </row>
    <row r="58" spans="1:24" ht="15" customHeight="1">
      <c r="A58" s="397"/>
      <c r="B58" s="952"/>
      <c r="C58" s="957"/>
      <c r="D58" s="957"/>
      <c r="E58" s="957"/>
      <c r="F58" s="957"/>
      <c r="G58" s="957"/>
      <c r="H58" s="957"/>
      <c r="I58" s="957"/>
      <c r="J58" s="957"/>
      <c r="K58" s="957"/>
      <c r="L58" s="397"/>
      <c r="M58" s="415"/>
      <c r="N58" s="416"/>
      <c r="O58" s="416"/>
      <c r="P58" s="416"/>
      <c r="Q58" s="416"/>
      <c r="R58" s="416"/>
      <c r="S58" s="416"/>
      <c r="T58" s="416"/>
      <c r="U58" s="416"/>
      <c r="V58" s="416"/>
      <c r="W58" s="416"/>
      <c r="X58" s="416"/>
    </row>
    <row r="59" spans="1:24" ht="14.25">
      <c r="A59" s="397"/>
      <c r="B59" s="400" t="s">
        <v>643</v>
      </c>
      <c r="L59" s="397"/>
      <c r="M59" s="416"/>
      <c r="N59" s="416"/>
      <c r="O59" s="416"/>
      <c r="P59" s="416"/>
      <c r="Q59" s="416"/>
      <c r="R59" s="416"/>
      <c r="S59" s="416"/>
      <c r="T59" s="416"/>
      <c r="U59" s="416"/>
      <c r="V59" s="416"/>
      <c r="W59" s="416"/>
      <c r="X59" s="416"/>
    </row>
    <row r="60" spans="1:24" ht="14.25">
      <c r="A60" s="397"/>
      <c r="L60" s="397"/>
      <c r="M60" s="416"/>
      <c r="N60" s="416"/>
      <c r="O60" s="416"/>
      <c r="P60" s="416"/>
      <c r="Q60" s="416"/>
      <c r="R60" s="416"/>
      <c r="S60" s="416"/>
      <c r="T60" s="416"/>
      <c r="U60" s="416"/>
      <c r="V60" s="416"/>
      <c r="W60" s="416"/>
      <c r="X60" s="416"/>
    </row>
    <row r="61" spans="1:24" ht="14.25">
      <c r="A61" s="397"/>
      <c r="B61" s="398" t="s">
        <v>655</v>
      </c>
      <c r="L61" s="397"/>
      <c r="M61" s="416"/>
      <c r="N61" s="416"/>
      <c r="O61" s="416"/>
      <c r="P61" s="416"/>
      <c r="Q61" s="416"/>
      <c r="R61" s="416"/>
      <c r="S61" s="416"/>
      <c r="T61" s="416"/>
      <c r="U61" s="416"/>
      <c r="V61" s="416"/>
      <c r="W61" s="416"/>
      <c r="X61" s="416"/>
    </row>
    <row r="62" spans="1:24" ht="14.25">
      <c r="A62" s="397"/>
      <c r="B62" s="398" t="s">
        <v>807</v>
      </c>
      <c r="L62" s="397"/>
      <c r="M62" s="416"/>
      <c r="N62" s="416"/>
      <c r="O62" s="416"/>
      <c r="P62" s="416"/>
      <c r="Q62" s="416"/>
      <c r="R62" s="416"/>
      <c r="S62" s="416"/>
      <c r="T62" s="416"/>
      <c r="U62" s="416"/>
      <c r="V62" s="416"/>
      <c r="W62" s="416"/>
      <c r="X62" s="416"/>
    </row>
    <row r="63" spans="1:24" ht="14.25">
      <c r="A63" s="397"/>
      <c r="B63" s="398" t="s">
        <v>808</v>
      </c>
      <c r="L63" s="397"/>
      <c r="M63" s="416"/>
      <c r="N63" s="416"/>
      <c r="O63" s="416"/>
      <c r="P63" s="416"/>
      <c r="Q63" s="416"/>
      <c r="R63" s="416"/>
      <c r="S63" s="416"/>
      <c r="T63" s="416"/>
      <c r="U63" s="416"/>
      <c r="V63" s="416"/>
      <c r="W63" s="416"/>
      <c r="X63" s="416"/>
    </row>
    <row r="64" spans="1:24" ht="14.25">
      <c r="A64" s="397"/>
      <c r="L64" s="397"/>
      <c r="M64" s="416"/>
      <c r="N64" s="416"/>
      <c r="O64" s="416"/>
      <c r="P64" s="416"/>
      <c r="Q64" s="416"/>
      <c r="R64" s="416"/>
      <c r="S64" s="416"/>
      <c r="T64" s="416"/>
      <c r="U64" s="416"/>
      <c r="V64" s="416"/>
      <c r="W64" s="416"/>
      <c r="X64" s="416"/>
    </row>
    <row r="65" spans="1:24" ht="14.25">
      <c r="A65" s="397"/>
      <c r="B65" s="398" t="s">
        <v>656</v>
      </c>
      <c r="L65" s="397"/>
      <c r="M65" s="416"/>
      <c r="N65" s="416"/>
      <c r="O65" s="416"/>
      <c r="P65" s="416"/>
      <c r="Q65" s="416"/>
      <c r="R65" s="416"/>
      <c r="S65" s="416"/>
      <c r="T65" s="416"/>
      <c r="U65" s="416"/>
      <c r="V65" s="416"/>
      <c r="W65" s="416"/>
      <c r="X65" s="416"/>
    </row>
    <row r="66" spans="1:24" ht="14.25">
      <c r="A66" s="397"/>
      <c r="B66" s="398" t="s">
        <v>657</v>
      </c>
      <c r="L66" s="397"/>
      <c r="M66" s="416"/>
      <c r="N66" s="416"/>
      <c r="O66" s="416"/>
      <c r="P66" s="416"/>
      <c r="Q66" s="416"/>
      <c r="R66" s="416"/>
      <c r="S66" s="416"/>
      <c r="T66" s="416"/>
      <c r="U66" s="416"/>
      <c r="V66" s="416"/>
      <c r="W66" s="416"/>
      <c r="X66" s="416"/>
    </row>
    <row r="67" spans="1:24" ht="14.25">
      <c r="A67" s="397"/>
      <c r="L67" s="397"/>
      <c r="M67" s="416"/>
      <c r="N67" s="416"/>
      <c r="O67" s="416"/>
      <c r="P67" s="416"/>
      <c r="Q67" s="416"/>
      <c r="R67" s="416"/>
      <c r="S67" s="416"/>
      <c r="T67" s="416"/>
      <c r="U67" s="416"/>
      <c r="V67" s="416"/>
      <c r="W67" s="416"/>
      <c r="X67" s="416"/>
    </row>
    <row r="68" spans="1:24" ht="14.25">
      <c r="A68" s="397"/>
      <c r="B68" s="398" t="s">
        <v>658</v>
      </c>
      <c r="L68" s="397"/>
      <c r="M68" s="417"/>
      <c r="N68" s="418"/>
      <c r="O68" s="418"/>
      <c r="P68" s="418"/>
      <c r="Q68" s="418"/>
      <c r="R68" s="418"/>
      <c r="S68" s="418"/>
      <c r="T68" s="418"/>
      <c r="U68" s="418"/>
      <c r="V68" s="418"/>
      <c r="W68" s="418"/>
      <c r="X68" s="416"/>
    </row>
    <row r="69" spans="1:24" ht="14.25">
      <c r="A69" s="397"/>
      <c r="B69" s="398" t="s">
        <v>809</v>
      </c>
      <c r="L69" s="397"/>
      <c r="M69" s="416"/>
      <c r="N69" s="416"/>
      <c r="O69" s="416"/>
      <c r="P69" s="416"/>
      <c r="Q69" s="416"/>
      <c r="R69" s="416"/>
      <c r="S69" s="416"/>
      <c r="T69" s="416"/>
      <c r="U69" s="416"/>
      <c r="V69" s="416"/>
      <c r="W69" s="416"/>
      <c r="X69" s="416"/>
    </row>
    <row r="70" spans="1:24" ht="14.25">
      <c r="A70" s="397"/>
      <c r="B70" s="398" t="s">
        <v>810</v>
      </c>
      <c r="L70" s="397"/>
      <c r="M70" s="416"/>
      <c r="N70" s="416"/>
      <c r="O70" s="416"/>
      <c r="P70" s="416"/>
      <c r="Q70" s="416"/>
      <c r="R70" s="416"/>
      <c r="S70" s="416"/>
      <c r="T70" s="416"/>
      <c r="U70" s="416"/>
      <c r="V70" s="416"/>
      <c r="W70" s="416"/>
      <c r="X70" s="416"/>
    </row>
    <row r="71" spans="1:12" ht="15" thickBot="1">
      <c r="A71" s="397"/>
      <c r="B71" s="406"/>
      <c r="C71" s="406"/>
      <c r="D71" s="406"/>
      <c r="E71" s="406"/>
      <c r="F71" s="406"/>
      <c r="G71" s="406"/>
      <c r="H71" s="406"/>
      <c r="I71" s="406"/>
      <c r="J71" s="406"/>
      <c r="K71" s="406"/>
      <c r="L71" s="397"/>
    </row>
    <row r="72" spans="1:12" ht="14.25">
      <c r="A72" s="397"/>
      <c r="B72" s="402" t="s">
        <v>632</v>
      </c>
      <c r="C72" s="403"/>
      <c r="D72" s="403"/>
      <c r="E72" s="403"/>
      <c r="F72" s="403"/>
      <c r="G72" s="403"/>
      <c r="H72" s="403"/>
      <c r="I72" s="403"/>
      <c r="J72" s="403"/>
      <c r="K72" s="404"/>
      <c r="L72" s="419"/>
    </row>
    <row r="73" spans="1:12" ht="14.25">
      <c r="A73" s="397"/>
      <c r="B73" s="412"/>
      <c r="C73" s="406" t="s">
        <v>638</v>
      </c>
      <c r="D73" s="406"/>
      <c r="E73" s="406"/>
      <c r="F73" s="406"/>
      <c r="G73" s="406"/>
      <c r="H73" s="406"/>
      <c r="I73" s="406"/>
      <c r="J73" s="406"/>
      <c r="K73" s="407"/>
      <c r="L73" s="419"/>
    </row>
    <row r="74" spans="1:12" ht="14.25">
      <c r="A74" s="397"/>
      <c r="B74" s="412" t="s">
        <v>659</v>
      </c>
      <c r="C74" s="958">
        <v>312000000</v>
      </c>
      <c r="D74" s="958"/>
      <c r="E74" s="555" t="s">
        <v>637</v>
      </c>
      <c r="F74" s="555">
        <v>1000</v>
      </c>
      <c r="G74" s="555" t="s">
        <v>636</v>
      </c>
      <c r="H74" s="739">
        <f>C74/F74</f>
        <v>312000</v>
      </c>
      <c r="I74" s="406" t="s">
        <v>660</v>
      </c>
      <c r="J74" s="406"/>
      <c r="K74" s="407"/>
      <c r="L74" s="419"/>
    </row>
    <row r="75" spans="1:12" ht="14.25">
      <c r="A75" s="397"/>
      <c r="B75" s="412"/>
      <c r="C75" s="406"/>
      <c r="D75" s="406"/>
      <c r="E75" s="555"/>
      <c r="F75" s="406"/>
      <c r="G75" s="406"/>
      <c r="H75" s="406"/>
      <c r="I75" s="406"/>
      <c r="J75" s="406"/>
      <c r="K75" s="407"/>
      <c r="L75" s="419"/>
    </row>
    <row r="76" spans="1:12" ht="14.25">
      <c r="A76" s="397"/>
      <c r="B76" s="412"/>
      <c r="C76" s="406" t="s">
        <v>661</v>
      </c>
      <c r="D76" s="406"/>
      <c r="E76" s="555"/>
      <c r="F76" s="406" t="s">
        <v>660</v>
      </c>
      <c r="G76" s="406"/>
      <c r="H76" s="406"/>
      <c r="I76" s="406"/>
      <c r="J76" s="406"/>
      <c r="K76" s="407"/>
      <c r="L76" s="419"/>
    </row>
    <row r="77" spans="1:12" ht="14.25">
      <c r="A77" s="397"/>
      <c r="B77" s="412" t="s">
        <v>664</v>
      </c>
      <c r="C77" s="958">
        <v>50000</v>
      </c>
      <c r="D77" s="958"/>
      <c r="E77" s="555" t="s">
        <v>637</v>
      </c>
      <c r="F77" s="739">
        <f>H74</f>
        <v>312000</v>
      </c>
      <c r="G77" s="555" t="s">
        <v>636</v>
      </c>
      <c r="H77" s="414">
        <f>C77/F77</f>
        <v>0.16025641025641027</v>
      </c>
      <c r="I77" s="406" t="s">
        <v>662</v>
      </c>
      <c r="J77" s="406"/>
      <c r="K77" s="407"/>
      <c r="L77" s="419"/>
    </row>
    <row r="78" spans="1:12" ht="14.25">
      <c r="A78" s="397"/>
      <c r="B78" s="412"/>
      <c r="C78" s="406"/>
      <c r="D78" s="406"/>
      <c r="E78" s="555"/>
      <c r="F78" s="406"/>
      <c r="G78" s="406"/>
      <c r="H78" s="406"/>
      <c r="I78" s="406"/>
      <c r="J78" s="406"/>
      <c r="K78" s="407"/>
      <c r="L78" s="419"/>
    </row>
    <row r="79" spans="1:12" ht="14.25">
      <c r="A79" s="397"/>
      <c r="B79" s="420"/>
      <c r="C79" s="421" t="s">
        <v>663</v>
      </c>
      <c r="D79" s="421"/>
      <c r="E79" s="560"/>
      <c r="F79" s="421"/>
      <c r="G79" s="421"/>
      <c r="H79" s="421"/>
      <c r="I79" s="421"/>
      <c r="J79" s="421"/>
      <c r="K79" s="422"/>
      <c r="L79" s="419"/>
    </row>
    <row r="80" spans="1:12" ht="14.25">
      <c r="A80" s="397"/>
      <c r="B80" s="412" t="s">
        <v>725</v>
      </c>
      <c r="C80" s="958">
        <v>100000</v>
      </c>
      <c r="D80" s="958"/>
      <c r="E80" s="555" t="s">
        <v>91</v>
      </c>
      <c r="F80" s="555">
        <v>0.115</v>
      </c>
      <c r="G80" s="555" t="s">
        <v>636</v>
      </c>
      <c r="H80" s="552">
        <f>C80*F80</f>
        <v>11500</v>
      </c>
      <c r="I80" s="406" t="s">
        <v>665</v>
      </c>
      <c r="J80" s="406"/>
      <c r="K80" s="407"/>
      <c r="L80" s="419"/>
    </row>
    <row r="81" spans="1:12" ht="14.25">
      <c r="A81" s="397"/>
      <c r="B81" s="412"/>
      <c r="C81" s="406"/>
      <c r="D81" s="406"/>
      <c r="E81" s="555"/>
      <c r="F81" s="406"/>
      <c r="G81" s="406"/>
      <c r="H81" s="406"/>
      <c r="I81" s="406"/>
      <c r="J81" s="406"/>
      <c r="K81" s="407"/>
      <c r="L81" s="419"/>
    </row>
    <row r="82" spans="1:12" ht="14.25">
      <c r="A82" s="397"/>
      <c r="B82" s="420"/>
      <c r="C82" s="421" t="s">
        <v>666</v>
      </c>
      <c r="D82" s="421"/>
      <c r="E82" s="560"/>
      <c r="F82" s="421" t="s">
        <v>662</v>
      </c>
      <c r="G82" s="421"/>
      <c r="H82" s="421"/>
      <c r="I82" s="421"/>
      <c r="J82" s="421" t="s">
        <v>667</v>
      </c>
      <c r="K82" s="422"/>
      <c r="L82" s="419"/>
    </row>
    <row r="83" spans="1:12" ht="14.25">
      <c r="A83" s="397"/>
      <c r="B83" s="412" t="s">
        <v>726</v>
      </c>
      <c r="C83" s="959">
        <f>H80</f>
        <v>11500</v>
      </c>
      <c r="D83" s="959"/>
      <c r="E83" s="555" t="s">
        <v>91</v>
      </c>
      <c r="F83" s="414">
        <f>H77</f>
        <v>0.16025641025641027</v>
      </c>
      <c r="G83" s="555" t="s">
        <v>637</v>
      </c>
      <c r="H83" s="555">
        <v>1000</v>
      </c>
      <c r="I83" s="555" t="s">
        <v>636</v>
      </c>
      <c r="J83" s="553">
        <f>C83*F83/H83</f>
        <v>1.842948717948718</v>
      </c>
      <c r="K83" s="407"/>
      <c r="L83" s="419"/>
    </row>
    <row r="84" spans="1:12" ht="15" thickBot="1">
      <c r="A84" s="397"/>
      <c r="B84" s="408"/>
      <c r="C84" s="423"/>
      <c r="D84" s="423"/>
      <c r="E84" s="424"/>
      <c r="F84" s="425"/>
      <c r="G84" s="424"/>
      <c r="H84" s="424"/>
      <c r="I84" s="424"/>
      <c r="J84" s="426"/>
      <c r="K84" s="410"/>
      <c r="L84" s="419"/>
    </row>
    <row r="85" spans="1:12" ht="40.5" customHeight="1">
      <c r="A85" s="397"/>
      <c r="B85" s="949" t="s">
        <v>628</v>
      </c>
      <c r="C85" s="949"/>
      <c r="D85" s="949"/>
      <c r="E85" s="949"/>
      <c r="F85" s="949"/>
      <c r="G85" s="949"/>
      <c r="H85" s="949"/>
      <c r="I85" s="949"/>
      <c r="J85" s="949"/>
      <c r="K85" s="949"/>
      <c r="L85" s="397"/>
    </row>
    <row r="86" spans="1:12" ht="14.25">
      <c r="A86" s="397"/>
      <c r="B86" s="950" t="s">
        <v>668</v>
      </c>
      <c r="C86" s="950"/>
      <c r="D86" s="950"/>
      <c r="E86" s="950"/>
      <c r="F86" s="950"/>
      <c r="G86" s="950"/>
      <c r="H86" s="950"/>
      <c r="I86" s="950"/>
      <c r="J86" s="950"/>
      <c r="K86" s="950"/>
      <c r="L86" s="397"/>
    </row>
    <row r="87" spans="1:12" ht="14.25">
      <c r="A87" s="397"/>
      <c r="B87" s="427"/>
      <c r="C87" s="427"/>
      <c r="D87" s="427"/>
      <c r="E87" s="427"/>
      <c r="F87" s="427"/>
      <c r="G87" s="427"/>
      <c r="H87" s="427"/>
      <c r="I87" s="427"/>
      <c r="J87" s="427"/>
      <c r="K87" s="427"/>
      <c r="L87" s="397"/>
    </row>
    <row r="88" spans="1:12" ht="14.25">
      <c r="A88" s="397"/>
      <c r="B88" s="950" t="s">
        <v>669</v>
      </c>
      <c r="C88" s="950"/>
      <c r="D88" s="950"/>
      <c r="E88" s="950"/>
      <c r="F88" s="950"/>
      <c r="G88" s="950"/>
      <c r="H88" s="950"/>
      <c r="I88" s="950"/>
      <c r="J88" s="950"/>
      <c r="K88" s="950"/>
      <c r="L88" s="397"/>
    </row>
    <row r="89" spans="1:12" ht="14.25">
      <c r="A89" s="397"/>
      <c r="B89" s="554"/>
      <c r="C89" s="554"/>
      <c r="D89" s="554"/>
      <c r="E89" s="554"/>
      <c r="F89" s="554"/>
      <c r="G89" s="554"/>
      <c r="H89" s="554"/>
      <c r="I89" s="554"/>
      <c r="J89" s="554"/>
      <c r="K89" s="554"/>
      <c r="L89" s="397"/>
    </row>
    <row r="90" spans="1:12" ht="45" customHeight="1">
      <c r="A90" s="397"/>
      <c r="B90" s="952" t="s">
        <v>670</v>
      </c>
      <c r="C90" s="952"/>
      <c r="D90" s="952"/>
      <c r="E90" s="952"/>
      <c r="F90" s="952"/>
      <c r="G90" s="952"/>
      <c r="H90" s="952"/>
      <c r="I90" s="952"/>
      <c r="J90" s="952"/>
      <c r="K90" s="952"/>
      <c r="L90" s="397"/>
    </row>
    <row r="91" spans="1:12" ht="15" customHeight="1" thickBot="1">
      <c r="A91" s="397"/>
      <c r="L91" s="397"/>
    </row>
    <row r="92" spans="1:12" ht="15" customHeight="1">
      <c r="A92" s="397"/>
      <c r="B92" s="428" t="s">
        <v>632</v>
      </c>
      <c r="C92" s="429"/>
      <c r="D92" s="429"/>
      <c r="E92" s="429"/>
      <c r="F92" s="429"/>
      <c r="G92" s="429"/>
      <c r="H92" s="429"/>
      <c r="I92" s="429"/>
      <c r="J92" s="429"/>
      <c r="K92" s="430"/>
      <c r="L92" s="397"/>
    </row>
    <row r="93" spans="1:12" ht="15" customHeight="1">
      <c r="A93" s="397"/>
      <c r="B93" s="431"/>
      <c r="C93" s="558" t="s">
        <v>638</v>
      </c>
      <c r="D93" s="558"/>
      <c r="E93" s="558"/>
      <c r="F93" s="558"/>
      <c r="G93" s="558"/>
      <c r="H93" s="558"/>
      <c r="I93" s="558"/>
      <c r="J93" s="558"/>
      <c r="K93" s="432"/>
      <c r="L93" s="397"/>
    </row>
    <row r="94" spans="1:12" ht="15" customHeight="1">
      <c r="A94" s="397"/>
      <c r="B94" s="431" t="s">
        <v>659</v>
      </c>
      <c r="C94" s="958">
        <v>312000000</v>
      </c>
      <c r="D94" s="958"/>
      <c r="E94" s="555" t="s">
        <v>637</v>
      </c>
      <c r="F94" s="555">
        <v>1000</v>
      </c>
      <c r="G94" s="555" t="s">
        <v>636</v>
      </c>
      <c r="H94" s="739">
        <f>C94/F94</f>
        <v>312000</v>
      </c>
      <c r="I94" s="558" t="s">
        <v>660</v>
      </c>
      <c r="J94" s="558"/>
      <c r="K94" s="432"/>
      <c r="L94" s="397"/>
    </row>
    <row r="95" spans="1:12" ht="15" customHeight="1">
      <c r="A95" s="397"/>
      <c r="B95" s="431"/>
      <c r="C95" s="558"/>
      <c r="D95" s="558"/>
      <c r="E95" s="555"/>
      <c r="F95" s="558"/>
      <c r="G95" s="558"/>
      <c r="H95" s="558"/>
      <c r="I95" s="558"/>
      <c r="J95" s="558"/>
      <c r="K95" s="432"/>
      <c r="L95" s="397"/>
    </row>
    <row r="96" spans="1:12" ht="15" customHeight="1">
      <c r="A96" s="397"/>
      <c r="B96" s="431"/>
      <c r="C96" s="558" t="s">
        <v>661</v>
      </c>
      <c r="D96" s="558"/>
      <c r="E96" s="555"/>
      <c r="F96" s="558" t="s">
        <v>660</v>
      </c>
      <c r="G96" s="558"/>
      <c r="H96" s="558"/>
      <c r="I96" s="558"/>
      <c r="J96" s="558"/>
      <c r="K96" s="432"/>
      <c r="L96" s="397"/>
    </row>
    <row r="97" spans="1:12" ht="15" customHeight="1">
      <c r="A97" s="397"/>
      <c r="B97" s="431" t="s">
        <v>664</v>
      </c>
      <c r="C97" s="958">
        <v>50000</v>
      </c>
      <c r="D97" s="958"/>
      <c r="E97" s="555" t="s">
        <v>637</v>
      </c>
      <c r="F97" s="739">
        <f>H94</f>
        <v>312000</v>
      </c>
      <c r="G97" s="555" t="s">
        <v>636</v>
      </c>
      <c r="H97" s="414">
        <f>C97/F97</f>
        <v>0.16025641025641027</v>
      </c>
      <c r="I97" s="558" t="s">
        <v>662</v>
      </c>
      <c r="J97" s="558"/>
      <c r="K97" s="432"/>
      <c r="L97" s="397"/>
    </row>
    <row r="98" spans="1:12" ht="15" customHeight="1">
      <c r="A98" s="397"/>
      <c r="B98" s="431"/>
      <c r="C98" s="558"/>
      <c r="D98" s="558"/>
      <c r="E98" s="555"/>
      <c r="F98" s="558"/>
      <c r="G98" s="558"/>
      <c r="H98" s="558"/>
      <c r="I98" s="558"/>
      <c r="J98" s="558"/>
      <c r="K98" s="432"/>
      <c r="L98" s="397"/>
    </row>
    <row r="99" spans="1:12" ht="15" customHeight="1">
      <c r="A99" s="397"/>
      <c r="B99" s="433"/>
      <c r="C99" s="434" t="s">
        <v>671</v>
      </c>
      <c r="D99" s="434"/>
      <c r="E99" s="560"/>
      <c r="F99" s="434"/>
      <c r="G99" s="434"/>
      <c r="H99" s="434"/>
      <c r="I99" s="434"/>
      <c r="J99" s="434"/>
      <c r="K99" s="435"/>
      <c r="L99" s="397"/>
    </row>
    <row r="100" spans="1:12" ht="15" customHeight="1">
      <c r="A100" s="397"/>
      <c r="B100" s="431" t="s">
        <v>725</v>
      </c>
      <c r="C100" s="958">
        <v>2500000</v>
      </c>
      <c r="D100" s="958"/>
      <c r="E100" s="555" t="s">
        <v>91</v>
      </c>
      <c r="F100" s="436">
        <v>0.3</v>
      </c>
      <c r="G100" s="555" t="s">
        <v>636</v>
      </c>
      <c r="H100" s="552">
        <f>C100*F100</f>
        <v>750000</v>
      </c>
      <c r="I100" s="558" t="s">
        <v>665</v>
      </c>
      <c r="J100" s="558"/>
      <c r="K100" s="432"/>
      <c r="L100" s="397"/>
    </row>
    <row r="101" spans="1:12" ht="15" customHeight="1">
      <c r="A101" s="397"/>
      <c r="B101" s="431"/>
      <c r="C101" s="558"/>
      <c r="D101" s="558"/>
      <c r="E101" s="555"/>
      <c r="F101" s="558"/>
      <c r="G101" s="558"/>
      <c r="H101" s="558"/>
      <c r="I101" s="558"/>
      <c r="J101" s="558"/>
      <c r="K101" s="432"/>
      <c r="L101" s="397"/>
    </row>
    <row r="102" spans="1:12" ht="15" customHeight="1">
      <c r="A102" s="397"/>
      <c r="B102" s="433"/>
      <c r="C102" s="434" t="s">
        <v>666</v>
      </c>
      <c r="D102" s="434"/>
      <c r="E102" s="560"/>
      <c r="F102" s="434" t="s">
        <v>662</v>
      </c>
      <c r="G102" s="434"/>
      <c r="H102" s="434"/>
      <c r="I102" s="434"/>
      <c r="J102" s="434" t="s">
        <v>667</v>
      </c>
      <c r="K102" s="435"/>
      <c r="L102" s="397"/>
    </row>
    <row r="103" spans="1:12" ht="15" customHeight="1">
      <c r="A103" s="397"/>
      <c r="B103" s="431" t="s">
        <v>726</v>
      </c>
      <c r="C103" s="959">
        <f>H100</f>
        <v>750000</v>
      </c>
      <c r="D103" s="959"/>
      <c r="E103" s="555" t="s">
        <v>91</v>
      </c>
      <c r="F103" s="414">
        <f>H97</f>
        <v>0.16025641025641027</v>
      </c>
      <c r="G103" s="555" t="s">
        <v>637</v>
      </c>
      <c r="H103" s="555">
        <v>1000</v>
      </c>
      <c r="I103" s="555" t="s">
        <v>636</v>
      </c>
      <c r="J103" s="553">
        <f>C103*F103/H103</f>
        <v>120.19230769230771</v>
      </c>
      <c r="K103" s="432"/>
      <c r="L103" s="397"/>
    </row>
    <row r="104" spans="1:12" ht="15" customHeight="1" thickBot="1">
      <c r="A104" s="397"/>
      <c r="B104" s="437"/>
      <c r="C104" s="423"/>
      <c r="D104" s="423"/>
      <c r="E104" s="424"/>
      <c r="F104" s="425"/>
      <c r="G104" s="424"/>
      <c r="H104" s="424"/>
      <c r="I104" s="424"/>
      <c r="J104" s="426"/>
      <c r="K104" s="559"/>
      <c r="L104" s="397"/>
    </row>
    <row r="105" spans="1:12" ht="40.5" customHeight="1">
      <c r="A105" s="397"/>
      <c r="B105" s="949" t="s">
        <v>628</v>
      </c>
      <c r="C105" s="971"/>
      <c r="D105" s="971"/>
      <c r="E105" s="971"/>
      <c r="F105" s="971"/>
      <c r="G105" s="971"/>
      <c r="H105" s="971"/>
      <c r="I105" s="971"/>
      <c r="J105" s="971"/>
      <c r="K105" s="971"/>
      <c r="L105" s="397"/>
    </row>
    <row r="106" spans="1:12" ht="15" customHeight="1">
      <c r="A106" s="397"/>
      <c r="B106" s="953" t="s">
        <v>672</v>
      </c>
      <c r="C106" s="954"/>
      <c r="D106" s="954"/>
      <c r="E106" s="954"/>
      <c r="F106" s="954"/>
      <c r="G106" s="954"/>
      <c r="H106" s="954"/>
      <c r="I106" s="954"/>
      <c r="J106" s="954"/>
      <c r="K106" s="954"/>
      <c r="L106" s="397"/>
    </row>
    <row r="107" spans="1:12" ht="15" customHeight="1">
      <c r="A107" s="397"/>
      <c r="B107" s="558"/>
      <c r="C107" s="438"/>
      <c r="D107" s="438"/>
      <c r="E107" s="555"/>
      <c r="F107" s="414"/>
      <c r="G107" s="555"/>
      <c r="H107" s="555"/>
      <c r="I107" s="555"/>
      <c r="J107" s="553"/>
      <c r="K107" s="558"/>
      <c r="L107" s="397"/>
    </row>
    <row r="108" spans="1:12" ht="15" customHeight="1">
      <c r="A108" s="397"/>
      <c r="B108" s="953" t="s">
        <v>673</v>
      </c>
      <c r="C108" s="955"/>
      <c r="D108" s="955"/>
      <c r="E108" s="955"/>
      <c r="F108" s="955"/>
      <c r="G108" s="955"/>
      <c r="H108" s="955"/>
      <c r="I108" s="955"/>
      <c r="J108" s="955"/>
      <c r="K108" s="955"/>
      <c r="L108" s="397"/>
    </row>
    <row r="109" spans="1:12" ht="15" customHeight="1">
      <c r="A109" s="397"/>
      <c r="B109" s="558"/>
      <c r="C109" s="438"/>
      <c r="D109" s="438"/>
      <c r="E109" s="555"/>
      <c r="F109" s="414"/>
      <c r="G109" s="555"/>
      <c r="H109" s="555"/>
      <c r="I109" s="555"/>
      <c r="J109" s="553"/>
      <c r="K109" s="558"/>
      <c r="L109" s="397"/>
    </row>
    <row r="110" spans="1:12" ht="59.25" customHeight="1">
      <c r="A110" s="397"/>
      <c r="B110" s="956" t="s">
        <v>674</v>
      </c>
      <c r="C110" s="957"/>
      <c r="D110" s="957"/>
      <c r="E110" s="957"/>
      <c r="F110" s="957"/>
      <c r="G110" s="957"/>
      <c r="H110" s="957"/>
      <c r="I110" s="957"/>
      <c r="J110" s="957"/>
      <c r="K110" s="957"/>
      <c r="L110" s="397"/>
    </row>
    <row r="111" spans="1:12" ht="15" thickBot="1">
      <c r="A111" s="397"/>
      <c r="B111" s="557"/>
      <c r="C111" s="557"/>
      <c r="D111" s="557"/>
      <c r="E111" s="557"/>
      <c r="F111" s="557"/>
      <c r="G111" s="557"/>
      <c r="H111" s="557"/>
      <c r="I111" s="557"/>
      <c r="J111" s="557"/>
      <c r="K111" s="557"/>
      <c r="L111" s="439"/>
    </row>
    <row r="112" spans="1:12" ht="14.25">
      <c r="A112" s="397"/>
      <c r="B112" s="402" t="s">
        <v>632</v>
      </c>
      <c r="C112" s="403"/>
      <c r="D112" s="403"/>
      <c r="E112" s="403"/>
      <c r="F112" s="403"/>
      <c r="G112" s="403"/>
      <c r="H112" s="403"/>
      <c r="I112" s="403"/>
      <c r="J112" s="403"/>
      <c r="K112" s="404"/>
      <c r="L112" s="397"/>
    </row>
    <row r="113" spans="1:12" ht="14.25">
      <c r="A113" s="397"/>
      <c r="B113" s="412"/>
      <c r="C113" s="406" t="s">
        <v>638</v>
      </c>
      <c r="D113" s="406"/>
      <c r="E113" s="406"/>
      <c r="F113" s="406"/>
      <c r="G113" s="406"/>
      <c r="H113" s="406"/>
      <c r="I113" s="406"/>
      <c r="J113" s="406"/>
      <c r="K113" s="407"/>
      <c r="L113" s="397"/>
    </row>
    <row r="114" spans="1:12" ht="14.25">
      <c r="A114" s="397"/>
      <c r="B114" s="412" t="s">
        <v>659</v>
      </c>
      <c r="C114" s="958">
        <v>312000000</v>
      </c>
      <c r="D114" s="958"/>
      <c r="E114" s="555" t="s">
        <v>637</v>
      </c>
      <c r="F114" s="555">
        <v>1000</v>
      </c>
      <c r="G114" s="555" t="s">
        <v>636</v>
      </c>
      <c r="H114" s="739">
        <f>C114/F114</f>
        <v>312000</v>
      </c>
      <c r="I114" s="406" t="s">
        <v>660</v>
      </c>
      <c r="J114" s="406"/>
      <c r="K114" s="407"/>
      <c r="L114" s="397"/>
    </row>
    <row r="115" spans="1:12" ht="14.25">
      <c r="A115" s="397"/>
      <c r="B115" s="412"/>
      <c r="C115" s="406"/>
      <c r="D115" s="406"/>
      <c r="E115" s="555"/>
      <c r="F115" s="406"/>
      <c r="G115" s="406"/>
      <c r="H115" s="406"/>
      <c r="I115" s="406"/>
      <c r="J115" s="406"/>
      <c r="K115" s="407"/>
      <c r="L115" s="397"/>
    </row>
    <row r="116" spans="1:12" ht="14.25">
      <c r="A116" s="397"/>
      <c r="B116" s="412"/>
      <c r="C116" s="406" t="s">
        <v>661</v>
      </c>
      <c r="D116" s="406"/>
      <c r="E116" s="555"/>
      <c r="F116" s="406" t="s">
        <v>660</v>
      </c>
      <c r="G116" s="406"/>
      <c r="H116" s="406"/>
      <c r="I116" s="406"/>
      <c r="J116" s="406"/>
      <c r="K116" s="407"/>
      <c r="L116" s="397"/>
    </row>
    <row r="117" spans="1:12" ht="14.25">
      <c r="A117" s="397"/>
      <c r="B117" s="412" t="s">
        <v>664</v>
      </c>
      <c r="C117" s="958">
        <v>50000</v>
      </c>
      <c r="D117" s="958"/>
      <c r="E117" s="555" t="s">
        <v>637</v>
      </c>
      <c r="F117" s="739">
        <f>H114</f>
        <v>312000</v>
      </c>
      <c r="G117" s="555" t="s">
        <v>636</v>
      </c>
      <c r="H117" s="414">
        <f>C117/F117</f>
        <v>0.16025641025641027</v>
      </c>
      <c r="I117" s="406" t="s">
        <v>662</v>
      </c>
      <c r="J117" s="406"/>
      <c r="K117" s="407"/>
      <c r="L117" s="397"/>
    </row>
    <row r="118" spans="1:12" ht="14.25">
      <c r="A118" s="397"/>
      <c r="B118" s="412"/>
      <c r="C118" s="406"/>
      <c r="D118" s="406"/>
      <c r="E118" s="555"/>
      <c r="F118" s="406"/>
      <c r="G118" s="406"/>
      <c r="H118" s="406"/>
      <c r="I118" s="406"/>
      <c r="J118" s="406"/>
      <c r="K118" s="407"/>
      <c r="L118" s="397"/>
    </row>
    <row r="119" spans="1:12" ht="14.25">
      <c r="A119" s="397"/>
      <c r="B119" s="420"/>
      <c r="C119" s="421" t="s">
        <v>671</v>
      </c>
      <c r="D119" s="421"/>
      <c r="E119" s="560"/>
      <c r="F119" s="421"/>
      <c r="G119" s="421"/>
      <c r="H119" s="421"/>
      <c r="I119" s="421"/>
      <c r="J119" s="421"/>
      <c r="K119" s="422"/>
      <c r="L119" s="397"/>
    </row>
    <row r="120" spans="1:12" ht="14.25">
      <c r="A120" s="397"/>
      <c r="B120" s="412" t="s">
        <v>725</v>
      </c>
      <c r="C120" s="958">
        <v>2500000</v>
      </c>
      <c r="D120" s="958"/>
      <c r="E120" s="555" t="s">
        <v>91</v>
      </c>
      <c r="F120" s="436">
        <v>0.25</v>
      </c>
      <c r="G120" s="555" t="s">
        <v>636</v>
      </c>
      <c r="H120" s="552">
        <f>C120*F120</f>
        <v>625000</v>
      </c>
      <c r="I120" s="406" t="s">
        <v>665</v>
      </c>
      <c r="J120" s="406"/>
      <c r="K120" s="407"/>
      <c r="L120" s="397"/>
    </row>
    <row r="121" spans="1:12" ht="14.25">
      <c r="A121" s="397"/>
      <c r="B121" s="412"/>
      <c r="C121" s="406"/>
      <c r="D121" s="406"/>
      <c r="E121" s="555"/>
      <c r="F121" s="406"/>
      <c r="G121" s="406"/>
      <c r="H121" s="406"/>
      <c r="I121" s="406"/>
      <c r="J121" s="406"/>
      <c r="K121" s="407"/>
      <c r="L121" s="397"/>
    </row>
    <row r="122" spans="1:12" ht="14.25">
      <c r="A122" s="397"/>
      <c r="B122" s="420"/>
      <c r="C122" s="421" t="s">
        <v>666</v>
      </c>
      <c r="D122" s="421"/>
      <c r="E122" s="560"/>
      <c r="F122" s="421" t="s">
        <v>662</v>
      </c>
      <c r="G122" s="421"/>
      <c r="H122" s="421"/>
      <c r="I122" s="421"/>
      <c r="J122" s="421" t="s">
        <v>667</v>
      </c>
      <c r="K122" s="422"/>
      <c r="L122" s="397"/>
    </row>
    <row r="123" spans="1:12" ht="14.25">
      <c r="A123" s="397"/>
      <c r="B123" s="412" t="s">
        <v>726</v>
      </c>
      <c r="C123" s="959">
        <f>H120</f>
        <v>625000</v>
      </c>
      <c r="D123" s="959"/>
      <c r="E123" s="555" t="s">
        <v>91</v>
      </c>
      <c r="F123" s="414">
        <f>H117</f>
        <v>0.16025641025641027</v>
      </c>
      <c r="G123" s="555" t="s">
        <v>637</v>
      </c>
      <c r="H123" s="555">
        <v>1000</v>
      </c>
      <c r="I123" s="555" t="s">
        <v>636</v>
      </c>
      <c r="J123" s="553">
        <f>C123*F123/H123</f>
        <v>100.16025641025642</v>
      </c>
      <c r="K123" s="407"/>
      <c r="L123" s="397"/>
    </row>
    <row r="124" spans="1:12" ht="15" thickBot="1">
      <c r="A124" s="397"/>
      <c r="B124" s="408"/>
      <c r="C124" s="423"/>
      <c r="D124" s="423"/>
      <c r="E124" s="424"/>
      <c r="F124" s="425"/>
      <c r="G124" s="424"/>
      <c r="H124" s="424"/>
      <c r="I124" s="424"/>
      <c r="J124" s="426"/>
      <c r="K124" s="410"/>
      <c r="L124" s="397"/>
    </row>
    <row r="125" spans="1:12" ht="40.5" customHeight="1">
      <c r="A125" s="397"/>
      <c r="B125" s="949" t="s">
        <v>628</v>
      </c>
      <c r="C125" s="949"/>
      <c r="D125" s="949"/>
      <c r="E125" s="949"/>
      <c r="F125" s="949"/>
      <c r="G125" s="949"/>
      <c r="H125" s="949"/>
      <c r="I125" s="949"/>
      <c r="J125" s="949"/>
      <c r="K125" s="949"/>
      <c r="L125" s="439"/>
    </row>
    <row r="126" spans="1:12" ht="14.25">
      <c r="A126" s="397"/>
      <c r="B126" s="950" t="s">
        <v>675</v>
      </c>
      <c r="C126" s="950"/>
      <c r="D126" s="950"/>
      <c r="E126" s="950"/>
      <c r="F126" s="950"/>
      <c r="G126" s="950"/>
      <c r="H126" s="950"/>
      <c r="I126" s="950"/>
      <c r="J126" s="950"/>
      <c r="K126" s="950"/>
      <c r="L126" s="439"/>
    </row>
    <row r="127" spans="1:12" ht="14.25">
      <c r="A127" s="397"/>
      <c r="B127" s="557"/>
      <c r="C127" s="557"/>
      <c r="D127" s="557"/>
      <c r="E127" s="557"/>
      <c r="F127" s="557"/>
      <c r="G127" s="557"/>
      <c r="H127" s="557"/>
      <c r="I127" s="557"/>
      <c r="J127" s="557"/>
      <c r="K127" s="557"/>
      <c r="L127" s="439"/>
    </row>
    <row r="128" spans="1:12" ht="14.25">
      <c r="A128" s="397"/>
      <c r="B128" s="950" t="s">
        <v>676</v>
      </c>
      <c r="C128" s="950"/>
      <c r="D128" s="950"/>
      <c r="E128" s="950"/>
      <c r="F128" s="950"/>
      <c r="G128" s="950"/>
      <c r="H128" s="950"/>
      <c r="I128" s="950"/>
      <c r="J128" s="950"/>
      <c r="K128" s="950"/>
      <c r="L128" s="439"/>
    </row>
    <row r="129" spans="1:12" ht="14.25">
      <c r="A129" s="397"/>
      <c r="B129" s="554"/>
      <c r="C129" s="554"/>
      <c r="D129" s="554"/>
      <c r="E129" s="554"/>
      <c r="F129" s="554"/>
      <c r="G129" s="554"/>
      <c r="H129" s="554"/>
      <c r="I129" s="554"/>
      <c r="J129" s="554"/>
      <c r="K129" s="554"/>
      <c r="L129" s="439"/>
    </row>
    <row r="130" spans="1:12" ht="74.25" customHeight="1">
      <c r="A130" s="397"/>
      <c r="B130" s="952" t="s">
        <v>727</v>
      </c>
      <c r="C130" s="952"/>
      <c r="D130" s="952"/>
      <c r="E130" s="952"/>
      <c r="F130" s="952"/>
      <c r="G130" s="952"/>
      <c r="H130" s="952"/>
      <c r="I130" s="952"/>
      <c r="J130" s="952"/>
      <c r="K130" s="952"/>
      <c r="L130" s="439"/>
    </row>
    <row r="131" spans="1:12" ht="15" thickBot="1">
      <c r="A131" s="397"/>
      <c r="L131" s="397"/>
    </row>
    <row r="132" spans="1:12" ht="14.25">
      <c r="A132" s="397"/>
      <c r="B132" s="402" t="s">
        <v>632</v>
      </c>
      <c r="C132" s="403"/>
      <c r="D132" s="403"/>
      <c r="E132" s="403"/>
      <c r="F132" s="403"/>
      <c r="G132" s="403"/>
      <c r="H132" s="403"/>
      <c r="I132" s="403"/>
      <c r="J132" s="403"/>
      <c r="K132" s="404"/>
      <c r="L132" s="397"/>
    </row>
    <row r="133" spans="1:12" ht="14.25">
      <c r="A133" s="397"/>
      <c r="B133" s="412"/>
      <c r="C133" s="951" t="s">
        <v>677</v>
      </c>
      <c r="D133" s="951"/>
      <c r="E133" s="406"/>
      <c r="F133" s="555" t="s">
        <v>678</v>
      </c>
      <c r="G133" s="406"/>
      <c r="H133" s="951" t="s">
        <v>665</v>
      </c>
      <c r="I133" s="951"/>
      <c r="J133" s="406"/>
      <c r="K133" s="407"/>
      <c r="L133" s="397"/>
    </row>
    <row r="134" spans="1:12" ht="14.25">
      <c r="A134" s="397"/>
      <c r="B134" s="412" t="s">
        <v>659</v>
      </c>
      <c r="C134" s="958">
        <v>100000</v>
      </c>
      <c r="D134" s="958"/>
      <c r="E134" s="555" t="s">
        <v>91</v>
      </c>
      <c r="F134" s="555">
        <v>0.115</v>
      </c>
      <c r="G134" s="555" t="s">
        <v>636</v>
      </c>
      <c r="H134" s="941">
        <f>C134*F134</f>
        <v>11500</v>
      </c>
      <c r="I134" s="941"/>
      <c r="J134" s="406"/>
      <c r="K134" s="407"/>
      <c r="L134" s="397"/>
    </row>
    <row r="135" spans="1:12" ht="14.25">
      <c r="A135" s="397"/>
      <c r="B135" s="412"/>
      <c r="C135" s="406"/>
      <c r="D135" s="406"/>
      <c r="E135" s="406"/>
      <c r="F135" s="406"/>
      <c r="G135" s="406"/>
      <c r="H135" s="406"/>
      <c r="I135" s="406"/>
      <c r="J135" s="406"/>
      <c r="K135" s="407"/>
      <c r="L135" s="397"/>
    </row>
    <row r="136" spans="1:12" ht="14.25">
      <c r="A136" s="397"/>
      <c r="B136" s="420"/>
      <c r="C136" s="970" t="s">
        <v>665</v>
      </c>
      <c r="D136" s="970"/>
      <c r="E136" s="421"/>
      <c r="F136" s="560" t="s">
        <v>679</v>
      </c>
      <c r="G136" s="560"/>
      <c r="H136" s="421"/>
      <c r="I136" s="421"/>
      <c r="J136" s="421" t="s">
        <v>680</v>
      </c>
      <c r="K136" s="422"/>
      <c r="L136" s="397"/>
    </row>
    <row r="137" spans="1:12" ht="14.25">
      <c r="A137" s="397"/>
      <c r="B137" s="412" t="s">
        <v>664</v>
      </c>
      <c r="C137" s="941">
        <f>H134</f>
        <v>11500</v>
      </c>
      <c r="D137" s="941"/>
      <c r="E137" s="555" t="s">
        <v>91</v>
      </c>
      <c r="F137" s="440">
        <v>52.869</v>
      </c>
      <c r="G137" s="555" t="s">
        <v>637</v>
      </c>
      <c r="H137" s="555">
        <v>1000</v>
      </c>
      <c r="I137" s="555" t="s">
        <v>636</v>
      </c>
      <c r="J137" s="441">
        <f>C137*F137/H137</f>
        <v>607.9935</v>
      </c>
      <c r="K137" s="407"/>
      <c r="L137" s="397"/>
    </row>
    <row r="138" spans="1:12" ht="15" thickBot="1">
      <c r="A138" s="397"/>
      <c r="B138" s="408"/>
      <c r="C138" s="539"/>
      <c r="D138" s="539"/>
      <c r="E138" s="424"/>
      <c r="F138" s="540"/>
      <c r="G138" s="424"/>
      <c r="H138" s="424"/>
      <c r="I138" s="424"/>
      <c r="J138" s="541"/>
      <c r="K138" s="410"/>
      <c r="L138" s="397"/>
    </row>
    <row r="139" spans="1:12" ht="40.5" customHeight="1">
      <c r="A139" s="397"/>
      <c r="B139" s="526" t="s">
        <v>628</v>
      </c>
      <c r="C139" s="527"/>
      <c r="D139" s="527"/>
      <c r="E139" s="528"/>
      <c r="F139" s="529"/>
      <c r="G139" s="528"/>
      <c r="H139" s="528"/>
      <c r="I139" s="528"/>
      <c r="J139" s="530"/>
      <c r="K139" s="531"/>
      <c r="L139" s="397"/>
    </row>
    <row r="140" spans="1:12" ht="14.25">
      <c r="A140" s="397"/>
      <c r="B140" s="532" t="s">
        <v>728</v>
      </c>
      <c r="C140" s="533"/>
      <c r="D140" s="533"/>
      <c r="E140" s="534"/>
      <c r="F140" s="535"/>
      <c r="G140" s="534"/>
      <c r="H140" s="534"/>
      <c r="I140" s="534"/>
      <c r="J140" s="536"/>
      <c r="K140" s="537"/>
      <c r="L140" s="397"/>
    </row>
    <row r="141" spans="1:12" ht="14.25">
      <c r="A141" s="397"/>
      <c r="B141" s="412"/>
      <c r="C141" s="552"/>
      <c r="D141" s="552"/>
      <c r="E141" s="555"/>
      <c r="F141" s="542"/>
      <c r="G141" s="555"/>
      <c r="H141" s="555"/>
      <c r="I141" s="555"/>
      <c r="J141" s="441"/>
      <c r="K141" s="407"/>
      <c r="L141" s="397"/>
    </row>
    <row r="142" spans="1:12" ht="14.25">
      <c r="A142" s="397"/>
      <c r="B142" s="532" t="s">
        <v>729</v>
      </c>
      <c r="C142" s="533"/>
      <c r="D142" s="533"/>
      <c r="E142" s="534"/>
      <c r="F142" s="535"/>
      <c r="G142" s="534"/>
      <c r="H142" s="534"/>
      <c r="I142" s="534"/>
      <c r="J142" s="536"/>
      <c r="K142" s="537"/>
      <c r="L142" s="397"/>
    </row>
    <row r="143" spans="1:12" ht="14.25">
      <c r="A143" s="397"/>
      <c r="B143" s="412"/>
      <c r="C143" s="552"/>
      <c r="D143" s="552"/>
      <c r="E143" s="555"/>
      <c r="F143" s="542"/>
      <c r="G143" s="555"/>
      <c r="H143" s="555"/>
      <c r="I143" s="555"/>
      <c r="J143" s="441"/>
      <c r="K143" s="407"/>
      <c r="L143" s="397"/>
    </row>
    <row r="144" spans="1:12" ht="76.5" customHeight="1">
      <c r="A144" s="397"/>
      <c r="B144" s="942" t="s">
        <v>730</v>
      </c>
      <c r="C144" s="943"/>
      <c r="D144" s="943"/>
      <c r="E144" s="943"/>
      <c r="F144" s="943"/>
      <c r="G144" s="943"/>
      <c r="H144" s="943"/>
      <c r="I144" s="943"/>
      <c r="J144" s="943"/>
      <c r="K144" s="944"/>
      <c r="L144" s="397"/>
    </row>
    <row r="145" spans="1:12" ht="15" thickBot="1">
      <c r="A145" s="397"/>
      <c r="B145" s="412"/>
      <c r="C145" s="552"/>
      <c r="D145" s="552"/>
      <c r="E145" s="555"/>
      <c r="F145" s="542"/>
      <c r="G145" s="555"/>
      <c r="H145" s="555"/>
      <c r="I145" s="555"/>
      <c r="J145" s="441"/>
      <c r="K145" s="407"/>
      <c r="L145" s="397"/>
    </row>
    <row r="146" spans="1:12" ht="14.25">
      <c r="A146" s="397"/>
      <c r="B146" s="402" t="s">
        <v>632</v>
      </c>
      <c r="C146" s="543"/>
      <c r="D146" s="543"/>
      <c r="E146" s="544"/>
      <c r="F146" s="545"/>
      <c r="G146" s="544"/>
      <c r="H146" s="544"/>
      <c r="I146" s="544"/>
      <c r="J146" s="546"/>
      <c r="K146" s="404"/>
      <c r="L146" s="397"/>
    </row>
    <row r="147" spans="1:12" ht="14.25">
      <c r="A147" s="397"/>
      <c r="B147" s="412"/>
      <c r="C147" s="941" t="s">
        <v>731</v>
      </c>
      <c r="D147" s="941"/>
      <c r="E147" s="555"/>
      <c r="F147" s="542" t="s">
        <v>732</v>
      </c>
      <c r="G147" s="555"/>
      <c r="H147" s="555"/>
      <c r="I147" s="555"/>
      <c r="J147" s="945" t="s">
        <v>733</v>
      </c>
      <c r="K147" s="946"/>
      <c r="L147" s="397"/>
    </row>
    <row r="148" spans="1:12" ht="14.25">
      <c r="A148" s="397"/>
      <c r="B148" s="412"/>
      <c r="C148" s="947">
        <v>52.869</v>
      </c>
      <c r="D148" s="947"/>
      <c r="E148" s="555" t="s">
        <v>91</v>
      </c>
      <c r="F148" s="556">
        <v>312000000</v>
      </c>
      <c r="G148" s="547" t="s">
        <v>637</v>
      </c>
      <c r="H148" s="555">
        <v>1000</v>
      </c>
      <c r="I148" s="555" t="s">
        <v>636</v>
      </c>
      <c r="J148" s="945">
        <f>C148*(F148/1000)</f>
        <v>16495128</v>
      </c>
      <c r="K148" s="948"/>
      <c r="L148" s="397"/>
    </row>
    <row r="149" spans="1:12" ht="15" thickBot="1">
      <c r="A149" s="397"/>
      <c r="B149" s="408"/>
      <c r="C149" s="539"/>
      <c r="D149" s="539"/>
      <c r="E149" s="424"/>
      <c r="F149" s="540"/>
      <c r="G149" s="424"/>
      <c r="H149" s="424"/>
      <c r="I149" s="424"/>
      <c r="J149" s="541"/>
      <c r="K149" s="410"/>
      <c r="L149" s="397"/>
    </row>
    <row r="150" spans="1:12" ht="15" thickBot="1">
      <c r="A150" s="397"/>
      <c r="B150" s="408"/>
      <c r="C150" s="409"/>
      <c r="D150" s="409"/>
      <c r="E150" s="409"/>
      <c r="F150" s="409"/>
      <c r="G150" s="409"/>
      <c r="H150" s="409"/>
      <c r="I150" s="409"/>
      <c r="J150" s="409"/>
      <c r="K150" s="410"/>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zoomScalePageLayoutView="0" workbookViewId="0" topLeftCell="A1">
      <selection activeCell="F58" sqref="F58"/>
    </sheetView>
  </sheetViews>
  <sheetFormatPr defaultColWidth="8.796875" defaultRowHeight="15"/>
  <cols>
    <col min="1" max="1" width="2.8984375" style="81" customWidth="1"/>
    <col min="2" max="2" width="24.296875" style="41" customWidth="1"/>
    <col min="3" max="3" width="10.796875" style="41" customWidth="1"/>
    <col min="4" max="4" width="5.796875" style="41" customWidth="1"/>
    <col min="5" max="5" width="14" style="41" customWidth="1"/>
    <col min="6" max="6" width="13.296875" style="41" customWidth="1"/>
    <col min="7" max="7" width="12.296875" style="41" customWidth="1"/>
    <col min="8" max="16384" width="8.8984375" style="81" customWidth="1"/>
  </cols>
  <sheetData>
    <row r="1" spans="2:9" ht="15.75">
      <c r="B1" s="43"/>
      <c r="C1" s="43"/>
      <c r="D1" s="42" t="s">
        <v>163</v>
      </c>
      <c r="E1" s="43"/>
      <c r="F1" s="43"/>
      <c r="G1" s="103"/>
      <c r="I1" s="29">
        <f>inputPrYr!C6</f>
        <v>0</v>
      </c>
    </row>
    <row r="2" spans="2:7" ht="15.75">
      <c r="B2" s="865" t="str">
        <f>CONCATENATE("To the Clerk of ",(inputPrYr!D4),", State of Kansas")</f>
        <v>To the Clerk of , State of Kansas</v>
      </c>
      <c r="C2" s="846"/>
      <c r="D2" s="846"/>
      <c r="E2" s="846"/>
      <c r="F2" s="846"/>
      <c r="G2" s="846"/>
    </row>
    <row r="3" spans="2:7" ht="15.75">
      <c r="B3" s="105" t="s">
        <v>621</v>
      </c>
      <c r="C3" s="48"/>
      <c r="D3" s="48"/>
      <c r="E3" s="48"/>
      <c r="F3" s="48"/>
      <c r="G3" s="48"/>
    </row>
    <row r="4" spans="2:7" ht="15.75">
      <c r="B4" s="845">
        <f>(inputPrYr!D3)</f>
        <v>0</v>
      </c>
      <c r="C4" s="864"/>
      <c r="D4" s="864"/>
      <c r="E4" s="864"/>
      <c r="F4" s="864"/>
      <c r="G4" s="864"/>
    </row>
    <row r="5" spans="2:7" ht="15.75">
      <c r="B5" s="105" t="s">
        <v>77</v>
      </c>
      <c r="C5" s="48"/>
      <c r="D5" s="48"/>
      <c r="E5" s="48"/>
      <c r="F5" s="48"/>
      <c r="G5" s="48"/>
    </row>
    <row r="6" spans="2:7" ht="15.75">
      <c r="B6" s="105" t="s">
        <v>78</v>
      </c>
      <c r="C6" s="48"/>
      <c r="D6" s="48"/>
      <c r="E6" s="48"/>
      <c r="F6" s="48"/>
      <c r="G6" s="48"/>
    </row>
    <row r="7" spans="2:7" ht="15.75">
      <c r="B7" s="105" t="str">
        <f>CONCATENATE("maximum expenditures for the various funds for the year ",I1,"; and")</f>
        <v>maximum expenditures for the various funds for the year 0; and</v>
      </c>
      <c r="C7" s="48"/>
      <c r="D7" s="48"/>
      <c r="E7" s="48"/>
      <c r="F7" s="48"/>
      <c r="G7" s="48"/>
    </row>
    <row r="8" spans="2:7" ht="15.75">
      <c r="B8" s="105" t="str">
        <f>CONCATENATE("(3) the Amounts(s) of ",I1-1," Ad Valorem Tax are within statutory limitations.")</f>
        <v>(3) the Amounts(s) of -1 Ad Valorem Tax are within statutory limitations.</v>
      </c>
      <c r="C8" s="48"/>
      <c r="D8" s="48"/>
      <c r="E8" s="48"/>
      <c r="F8" s="48"/>
      <c r="G8" s="48"/>
    </row>
    <row r="9" spans="2:7" ht="15.75">
      <c r="B9" s="43"/>
      <c r="C9" s="43"/>
      <c r="D9" s="43"/>
      <c r="E9" s="106" t="str">
        <f>CONCATENATE("",I1," Adopted Budget")</f>
        <v>0 Adopted Budget</v>
      </c>
      <c r="F9" s="107"/>
      <c r="G9" s="108"/>
    </row>
    <row r="10" spans="2:7" ht="21" customHeight="1">
      <c r="B10" s="43"/>
      <c r="C10" s="43"/>
      <c r="D10" s="109"/>
      <c r="E10" s="110" t="s">
        <v>79</v>
      </c>
      <c r="F10" s="111" t="str">
        <f>CONCATENATE("Amount of ",I1-1,"")</f>
        <v>Amount of -1</v>
      </c>
      <c r="G10" s="111" t="s">
        <v>80</v>
      </c>
    </row>
    <row r="11" spans="2:7" ht="15.75">
      <c r="B11" s="44"/>
      <c r="C11" s="43"/>
      <c r="D11" s="111" t="s">
        <v>81</v>
      </c>
      <c r="E11" s="393" t="s">
        <v>9</v>
      </c>
      <c r="F11" s="113" t="s">
        <v>250</v>
      </c>
      <c r="G11" s="112" t="s">
        <v>82</v>
      </c>
    </row>
    <row r="12" spans="2:7" ht="15.75">
      <c r="B12" s="114" t="s">
        <v>83</v>
      </c>
      <c r="C12" s="58"/>
      <c r="D12" s="115" t="s">
        <v>84</v>
      </c>
      <c r="E12" s="394" t="s">
        <v>627</v>
      </c>
      <c r="F12" s="116" t="s">
        <v>251</v>
      </c>
      <c r="G12" s="115" t="s">
        <v>85</v>
      </c>
    </row>
    <row r="13" spans="2:7" ht="15.75">
      <c r="B13" s="117" t="str">
        <f>CONCATENATE("Computation to Determine Limit for ",I1,"")</f>
        <v>Computation to Determine Limit for 0</v>
      </c>
      <c r="C13" s="71"/>
      <c r="D13" s="118">
        <v>2</v>
      </c>
      <c r="E13" s="119"/>
      <c r="F13" s="119"/>
      <c r="G13" s="119"/>
    </row>
    <row r="14" spans="2:7" ht="15.75">
      <c r="B14" s="117" t="s">
        <v>891</v>
      </c>
      <c r="C14" s="58"/>
      <c r="D14" s="115">
        <v>3</v>
      </c>
      <c r="E14" s="112"/>
      <c r="F14" s="112"/>
      <c r="G14" s="112"/>
    </row>
    <row r="15" spans="2:7" ht="15.75">
      <c r="B15" s="117" t="s">
        <v>215</v>
      </c>
      <c r="C15" s="58"/>
      <c r="D15" s="115">
        <v>4</v>
      </c>
      <c r="E15" s="112"/>
      <c r="F15" s="112"/>
      <c r="G15" s="112"/>
    </row>
    <row r="16" spans="2:7" ht="15.75">
      <c r="B16" s="117" t="s">
        <v>86</v>
      </c>
      <c r="C16" s="71"/>
      <c r="D16" s="118">
        <v>5</v>
      </c>
      <c r="E16" s="120"/>
      <c r="F16" s="120"/>
      <c r="G16" s="120"/>
    </row>
    <row r="17" spans="2:7" ht="15.75">
      <c r="B17" s="117" t="s">
        <v>87</v>
      </c>
      <c r="C17" s="71"/>
      <c r="D17" s="118">
        <v>6</v>
      </c>
      <c r="E17" s="120"/>
      <c r="F17" s="120"/>
      <c r="G17" s="120"/>
    </row>
    <row r="18" spans="2:7" ht="15.75">
      <c r="B18" s="248">
        <f>IF(inputPrYr!D20="","","Computation to Determine State Library Grant")</f>
      </c>
      <c r="C18" s="71"/>
      <c r="D18" s="128">
        <f>IF(inputPrYr!D20="","",'Library Grant'!F40)</f>
      </c>
      <c r="E18" s="120"/>
      <c r="F18" s="120"/>
      <c r="G18" s="120"/>
    </row>
    <row r="19" spans="2:7" ht="15.75">
      <c r="B19" s="121" t="s">
        <v>88</v>
      </c>
      <c r="C19" s="122" t="s">
        <v>89</v>
      </c>
      <c r="D19" s="123"/>
      <c r="E19" s="124"/>
      <c r="F19" s="124"/>
      <c r="G19" s="124"/>
    </row>
    <row r="20" spans="2:7" ht="15.75">
      <c r="B20" s="52" t="s">
        <v>72</v>
      </c>
      <c r="C20" s="125" t="str">
        <f>IF(inputPrYr!C18&gt;0,(inputPrYr!C18),"  ")</f>
        <v>12-101a</v>
      </c>
      <c r="D20" s="118">
        <f>general!C62</f>
        <v>7</v>
      </c>
      <c r="E20" s="669" t="str">
        <f>IF(general!$E$113&lt;&gt;0,general!$E$113,"  ")</f>
        <v>  </v>
      </c>
      <c r="F20" s="670">
        <f>IF(general!$E$120&lt;&gt;0,general!$E$120,0)</f>
        <v>0</v>
      </c>
      <c r="G20" s="671">
        <f>IF($G$59=0,"",ROUND(F20/$G$59*1000,3))</f>
      </c>
    </row>
    <row r="21" spans="2:7" ht="15.75">
      <c r="B21" s="52" t="s">
        <v>44</v>
      </c>
      <c r="C21" s="125" t="str">
        <f>IF(inputPrYr!C19&gt;0,(inputPrYr!C19),"  ")</f>
        <v>10-113</v>
      </c>
      <c r="D21" s="118" t="str">
        <f>IF('DebtSvs-library'!C85&gt;0,'DebtSvs-library'!C85,"  ")</f>
        <v>  </v>
      </c>
      <c r="E21" s="669" t="str">
        <f>IF('DebtSvs-library'!E35&lt;&gt;0,'DebtSvs-library'!E35,"  ")</f>
        <v>  </v>
      </c>
      <c r="F21" s="670">
        <f>IF('DebtSvs-library'!E42&lt;&gt;0,'DebtSvs-library'!E42,0)</f>
        <v>0</v>
      </c>
      <c r="G21" s="671">
        <f aca="true" t="shared" si="0" ref="G21:G32">IF($G$59=0,"",ROUND(F21/$G$59*1000,3))</f>
      </c>
    </row>
    <row r="22" spans="2:10" ht="15.75">
      <c r="B22" s="69" t="str">
        <f>IF(inputPrYr!$B20&gt;"  ",(inputPrYr!$B20),"  ")</f>
        <v>Library</v>
      </c>
      <c r="C22" s="125" t="str">
        <f>IF(inputPrYr!C20&gt;0,(inputPrYr!C20),"  ")</f>
        <v>12-1220</v>
      </c>
      <c r="D22" s="118" t="str">
        <f>IF('DebtSvs-library'!C85&gt;0,'DebtSvs-library'!C85,"  ")</f>
        <v>  </v>
      </c>
      <c r="E22" s="669" t="str">
        <f>IF('DebtSvs-library'!E77&lt;&gt;0,'DebtSvs-library'!E77,"  ")</f>
        <v>  </v>
      </c>
      <c r="F22" s="670">
        <f>IF('DebtSvs-library'!E84&lt;&gt;0,'DebtSvs-library'!E84,0)</f>
        <v>0</v>
      </c>
      <c r="G22" s="671">
        <f t="shared" si="0"/>
      </c>
      <c r="I22" s="514"/>
      <c r="J22" s="514"/>
    </row>
    <row r="23" spans="2:10" ht="15.75">
      <c r="B23" s="69" t="str">
        <f>IF(inputPrYr!$B22&gt;"  ",(inputPrYr!$B22),"  ")</f>
        <v>  </v>
      </c>
      <c r="C23" s="125" t="str">
        <f>IF(inputPrYr!C22&gt;0,(inputPrYr!C22),"  ")</f>
        <v>  </v>
      </c>
      <c r="D23" s="118" t="str">
        <f>IF('levy page9'!C85&gt;0,'levy page9'!C85,"  ")</f>
        <v>  </v>
      </c>
      <c r="E23" s="669" t="str">
        <f>IF('levy page9'!$E$35&gt;0,'levy page9'!$E$35,"  ")</f>
        <v>  </v>
      </c>
      <c r="F23" s="670">
        <f>IF('levy page9'!E42&lt;&gt;0,'levy page9'!E42,0)</f>
        <v>0</v>
      </c>
      <c r="G23" s="671">
        <f t="shared" si="0"/>
      </c>
      <c r="I23" s="514"/>
      <c r="J23" s="514"/>
    </row>
    <row r="24" spans="2:10" ht="15.75">
      <c r="B24" s="69" t="str">
        <f>IF(inputPrYr!$B23&gt;"  ",(inputPrYr!$B23),"  ")</f>
        <v>  </v>
      </c>
      <c r="C24" s="125" t="str">
        <f>IF(inputPrYr!C23&gt;0,(inputPrYr!C23),"  ")</f>
        <v>  </v>
      </c>
      <c r="D24" s="118" t="str">
        <f>IF('levy page9'!C85&gt;0,'levy page9'!C85,"  ")</f>
        <v>  </v>
      </c>
      <c r="E24" s="669" t="str">
        <f>IF('levy page9'!$E$77&gt;0,'levy page9'!$E$77,"  ")</f>
        <v>  </v>
      </c>
      <c r="F24" s="670">
        <f>IF('levy page9'!E84&lt;&gt;0,'levy page9'!E84,0)</f>
        <v>0</v>
      </c>
      <c r="G24" s="671">
        <f t="shared" si="0"/>
      </c>
      <c r="I24" s="514"/>
      <c r="J24" s="514"/>
    </row>
    <row r="25" spans="2:10" ht="15.75">
      <c r="B25" s="69" t="str">
        <f>IF(inputPrYr!$B24&gt;"  ",(inputPrYr!$B24),"  ")</f>
        <v>  </v>
      </c>
      <c r="C25" s="125" t="str">
        <f>IF(inputPrYr!C24&gt;0,(inputPrYr!C24),"  ")</f>
        <v>  </v>
      </c>
      <c r="D25" s="118" t="str">
        <f>IF('levy page10'!C86&gt;0,'levy page10'!C86,"  ")</f>
        <v>  </v>
      </c>
      <c r="E25" s="669" t="str">
        <f>IF('levy page10'!$E$35&gt;0,'levy page10'!$E$35,"  ")</f>
        <v>  </v>
      </c>
      <c r="F25" s="670">
        <f>IF('levy page10'!E42&lt;&gt;0,'levy page10'!E42,0)</f>
        <v>0</v>
      </c>
      <c r="G25" s="671">
        <f t="shared" si="0"/>
      </c>
      <c r="I25" s="514"/>
      <c r="J25" s="514"/>
    </row>
    <row r="26" spans="2:10" ht="15.75">
      <c r="B26" s="69" t="str">
        <f>IF(inputPrYr!$B25&gt;"  ",(inputPrYr!$B25),"  ")</f>
        <v>  </v>
      </c>
      <c r="C26" s="125" t="str">
        <f>IF(inputPrYr!C25&gt;0,(inputPrYr!C25),"  ")</f>
        <v>  </v>
      </c>
      <c r="D26" s="118" t="str">
        <f>IF('levy page10'!C86&gt;0,'levy page10'!C86,"  ")</f>
        <v>  </v>
      </c>
      <c r="E26" s="669" t="str">
        <f>IF('levy page10'!$E$77&gt;0,'levy page10'!$E$77,"  ")</f>
        <v>  </v>
      </c>
      <c r="F26" s="670">
        <f>IF('levy page10'!E84&lt;&gt;0,'levy page10'!E84,0)</f>
        <v>0</v>
      </c>
      <c r="G26" s="671">
        <f t="shared" si="0"/>
      </c>
      <c r="I26" s="514"/>
      <c r="J26" s="514"/>
    </row>
    <row r="27" spans="2:10" ht="15.75">
      <c r="B27" s="69" t="str">
        <f>IF(inputPrYr!$B26&gt;"  ",(inputPrYr!$B26),"  ")</f>
        <v>  </v>
      </c>
      <c r="C27" s="125" t="str">
        <f>IF(inputPrYr!C26&gt;0,(inputPrYr!C26),"  ")</f>
        <v>  </v>
      </c>
      <c r="D27" s="118" t="str">
        <f>IF('levy page11'!C86&gt;0,'levy page11'!C86,"  ")</f>
        <v>  </v>
      </c>
      <c r="E27" s="669" t="str">
        <f>IF('levy page11'!$E$35&gt;0,'levy page11'!$E$35,"  ")</f>
        <v>  </v>
      </c>
      <c r="F27" s="670">
        <f>IF('levy page11'!E42&lt;&gt;0,'levy page11'!E42,0)</f>
        <v>0</v>
      </c>
      <c r="G27" s="671">
        <f t="shared" si="0"/>
      </c>
      <c r="I27" s="514"/>
      <c r="J27" s="514"/>
    </row>
    <row r="28" spans="2:10" ht="15.75">
      <c r="B28" s="69" t="str">
        <f>IF(inputPrYr!$B27&gt;"  ",(inputPrYr!$B27),"  ")</f>
        <v>  </v>
      </c>
      <c r="C28" s="125" t="str">
        <f>IF(inputPrYr!C27&gt;0,(inputPrYr!C27),"  ")</f>
        <v>  </v>
      </c>
      <c r="D28" s="118" t="str">
        <f>IF('levy page11'!C86&gt;0,'levy page11'!C86,"  ")</f>
        <v>  </v>
      </c>
      <c r="E28" s="669" t="str">
        <f>IF('levy page11'!$E$77&gt;0,'levy page11'!$E$77,"  ")</f>
        <v>  </v>
      </c>
      <c r="F28" s="670">
        <f>IF('levy page11'!E84&lt;&gt;0,'levy page11'!E84,0)</f>
        <v>0</v>
      </c>
      <c r="G28" s="671">
        <f t="shared" si="0"/>
      </c>
      <c r="I28" s="514"/>
      <c r="J28" s="514"/>
    </row>
    <row r="29" spans="2:10" ht="15.75">
      <c r="B29" s="69" t="str">
        <f>IF(inputPrYr!$B28&gt;"  ",(inputPrYr!$B28),"  ")</f>
        <v>  </v>
      </c>
      <c r="C29" s="125" t="str">
        <f>IF(inputPrYr!C28&gt;0,(inputPrYr!C28),"  ")</f>
        <v>  </v>
      </c>
      <c r="D29" s="118" t="str">
        <f>IF('levy page12'!C86&gt;0,'levy page12'!C86,"  ")</f>
        <v>  </v>
      </c>
      <c r="E29" s="669" t="str">
        <f>IF('levy page12'!$E$35&gt;0,'levy page12'!$E$35,"  ")</f>
        <v>  </v>
      </c>
      <c r="F29" s="670">
        <f>IF('levy page12'!E42&lt;&gt;0,'levy page12'!E42,0)</f>
        <v>0</v>
      </c>
      <c r="G29" s="671">
        <f t="shared" si="0"/>
      </c>
      <c r="I29" s="514"/>
      <c r="J29" s="514"/>
    </row>
    <row r="30" spans="2:10" ht="15.75">
      <c r="B30" s="69" t="str">
        <f>IF(inputPrYr!$B29&gt;"  ",(inputPrYr!$B29),"  ")</f>
        <v>  </v>
      </c>
      <c r="C30" s="125" t="str">
        <f>IF(inputPrYr!C29&gt;0,(inputPrYr!C29),"  ")</f>
        <v>  </v>
      </c>
      <c r="D30" s="118" t="str">
        <f>IF('levy page12'!C86&gt;0,'levy page12'!C86,"  ")</f>
        <v>  </v>
      </c>
      <c r="E30" s="669" t="str">
        <f>IF('levy page12'!$E$77&gt;0,'levy page12'!$E$77,"  ")</f>
        <v>  </v>
      </c>
      <c r="F30" s="670">
        <f>IF('levy page12'!E84&lt;&gt;0,'levy page12'!E84,0)</f>
        <v>0</v>
      </c>
      <c r="G30" s="671">
        <f t="shared" si="0"/>
      </c>
      <c r="I30" s="514"/>
      <c r="J30" s="514"/>
    </row>
    <row r="31" spans="2:10" ht="15.75">
      <c r="B31" s="69" t="str">
        <f>IF(inputPrYr!$B30&gt;"  ",(inputPrYr!$B30),"  ")</f>
        <v>  </v>
      </c>
      <c r="C31" s="125" t="str">
        <f>IF(inputPrYr!C30&gt;0,(inputPrYr!C30),"  ")</f>
        <v>  </v>
      </c>
      <c r="D31" s="118" t="str">
        <f>IF('levy page13'!C86&gt;0,'levy page13'!C86,"  ")</f>
        <v>  </v>
      </c>
      <c r="E31" s="669" t="str">
        <f>IF('levy page13'!$E$35&gt;0,'levy page13'!$E$35,"  ")</f>
        <v>  </v>
      </c>
      <c r="F31" s="670">
        <f>IF('levy page13'!E42&lt;&gt;0,'levy page13'!E42,0)</f>
        <v>0</v>
      </c>
      <c r="G31" s="671">
        <f t="shared" si="0"/>
      </c>
      <c r="I31" s="514"/>
      <c r="J31" s="514"/>
    </row>
    <row r="32" spans="2:9" ht="15.75">
      <c r="B32" s="69" t="str">
        <f>IF(inputPrYr!B31&gt;"  ",(inputPrYr!B31),"  ")</f>
        <v>  </v>
      </c>
      <c r="C32" s="125" t="str">
        <f>IF(inputPrYr!C31&gt;0,(inputPrYr!C31),"  ")</f>
        <v>  </v>
      </c>
      <c r="D32" s="118" t="str">
        <f>IF('levy page13'!C86&gt;0,'levy page13'!C86,"  ")</f>
        <v>  </v>
      </c>
      <c r="E32" s="669" t="str">
        <f>IF('levy page13'!$E$77&gt;0,'levy page13'!$E$77,"  ")</f>
        <v>  </v>
      </c>
      <c r="F32" s="670">
        <f>IF('levy page13'!E84&lt;&gt;0,'levy page13'!E84,0)</f>
        <v>0</v>
      </c>
      <c r="G32" s="671">
        <f t="shared" si="0"/>
      </c>
      <c r="I32" s="512"/>
    </row>
    <row r="33" spans="2:7" ht="15.75">
      <c r="B33" s="126" t="str">
        <f>IF(inputPrYr!$B35&gt;"  ",(inputPrYr!$B35),"  ")</f>
        <v>Special Highway</v>
      </c>
      <c r="C33" s="127"/>
      <c r="D33" s="128" t="str">
        <f>IF('Sp Hiway'!C67&gt;0,'Sp Hiway'!C67,"  ")</f>
        <v>  </v>
      </c>
      <c r="E33" s="669" t="str">
        <f>IF('Sp Hiway'!$E$30&gt;0,'Sp Hiway'!$E$30,"  ")</f>
        <v>  </v>
      </c>
      <c r="F33" s="669"/>
      <c r="G33" s="672"/>
    </row>
    <row r="34" spans="2:7" ht="15.75">
      <c r="B34" s="126" t="str">
        <f>IF(inputPrYr!$B36&gt;"  ",(inputPrYr!$B36),"  ")</f>
        <v>  </v>
      </c>
      <c r="C34" s="127"/>
      <c r="D34" s="128" t="str">
        <f>IF('Sp Hiway'!C67&gt;0,'Sp Hiway'!C67,"  ")</f>
        <v>  </v>
      </c>
      <c r="E34" s="669" t="str">
        <f>IF('Sp Hiway'!$E$61&gt;0,'Sp Hiway'!$E$61,"  ")</f>
        <v>  </v>
      </c>
      <c r="F34" s="669"/>
      <c r="G34" s="672"/>
    </row>
    <row r="35" spans="2:7" ht="15.75">
      <c r="B35" s="126" t="str">
        <f>IF(inputPrYr!$B37&gt;"  ",(inputPrYr!$B37),"  ")</f>
        <v>  </v>
      </c>
      <c r="C35" s="129"/>
      <c r="D35" s="128" t="str">
        <f>IF('no levy page15'!C65&gt;0,'no levy page15'!C65,"  ")</f>
        <v>  </v>
      </c>
      <c r="E35" s="669" t="str">
        <f>IF('no levy page15'!$E$28&gt;0,'no levy page15'!$E$28,"  ")</f>
        <v>  </v>
      </c>
      <c r="F35" s="669"/>
      <c r="G35" s="672"/>
    </row>
    <row r="36" spans="2:7" ht="15.75">
      <c r="B36" s="126" t="str">
        <f>IF(inputPrYr!$B38&gt;"  ",(inputPrYr!$B38),"  ")</f>
        <v>  </v>
      </c>
      <c r="C36" s="127"/>
      <c r="D36" s="128" t="str">
        <f>IF('no levy page15'!C65&gt;0,'no levy page15'!C65,"  ")</f>
        <v>  </v>
      </c>
      <c r="E36" s="669" t="str">
        <f>IF('no levy page15'!$E$59&gt;0,'no levy page15'!$E$59,"  ")</f>
        <v>  </v>
      </c>
      <c r="F36" s="669"/>
      <c r="G36" s="672"/>
    </row>
    <row r="37" spans="2:7" ht="15.75">
      <c r="B37" s="126" t="str">
        <f>IF(inputPrYr!$B39&gt;"  ",(inputPrYr!$B39),"  ")</f>
        <v>  </v>
      </c>
      <c r="C37" s="129"/>
      <c r="D37" s="128" t="str">
        <f>IF('no levy page16'!C65&gt;0,'no levy page16'!C65,"  ")</f>
        <v>  </v>
      </c>
      <c r="E37" s="669" t="str">
        <f>IF('no levy page16'!$E$28&gt;0,'no levy page16'!$E$28,"  ")</f>
        <v>  </v>
      </c>
      <c r="F37" s="669"/>
      <c r="G37" s="672"/>
    </row>
    <row r="38" spans="2:7" ht="15.75">
      <c r="B38" s="126" t="str">
        <f>IF(inputPrYr!$B40&gt;"  ",(inputPrYr!$B40),"  ")</f>
        <v>  </v>
      </c>
      <c r="C38" s="130"/>
      <c r="D38" s="128" t="str">
        <f>IF('no levy page16'!C65&gt;0,'no levy page16'!C65,"  ")</f>
        <v>  </v>
      </c>
      <c r="E38" s="669" t="str">
        <f>IF('no levy page16'!$E$59&gt;0,'no levy page16'!$E$59,"  ")</f>
        <v>  </v>
      </c>
      <c r="F38" s="669"/>
      <c r="G38" s="672"/>
    </row>
    <row r="39" spans="2:7" ht="15.75">
      <c r="B39" s="126" t="str">
        <f>IF(inputPrYr!$B41&gt;"  ",(inputPrYr!$B41),"  ")</f>
        <v>  </v>
      </c>
      <c r="C39" s="130"/>
      <c r="D39" s="128" t="str">
        <f>IF('no levy page17'!C65&gt;0,'no levy page17'!C65,"  ")</f>
        <v>  </v>
      </c>
      <c r="E39" s="669" t="str">
        <f>IF('no levy page17'!$E$28&gt;0,'no levy page17'!$E$28,"  ")</f>
        <v>  </v>
      </c>
      <c r="F39" s="669"/>
      <c r="G39" s="672"/>
    </row>
    <row r="40" spans="2:7" ht="15.75">
      <c r="B40" s="126" t="str">
        <f>IF(inputPrYr!$B42&gt;"  ",(inputPrYr!$B42),"  ")</f>
        <v>  </v>
      </c>
      <c r="C40" s="130"/>
      <c r="D40" s="128" t="str">
        <f>IF('no levy page17'!C65&gt;0,'no levy page17'!C65,"  ")</f>
        <v>  </v>
      </c>
      <c r="E40" s="669" t="str">
        <f>IF('no levy page17'!$E$59&gt;0,'no levy page17'!$E$59,"  ")</f>
        <v>  </v>
      </c>
      <c r="F40" s="669"/>
      <c r="G40" s="672"/>
    </row>
    <row r="41" spans="2:7" ht="15.75">
      <c r="B41" s="126" t="str">
        <f>IF(inputPrYr!$B43&gt;"  ",(inputPrYr!$B43),"  ")</f>
        <v>  </v>
      </c>
      <c r="C41" s="127"/>
      <c r="D41" s="128" t="str">
        <f>IF('no levy page18'!C65&gt;0,'no levy page18'!C65,"  ")</f>
        <v>  </v>
      </c>
      <c r="E41" s="669" t="str">
        <f>IF('no levy page18'!$E$28&gt;0,'no levy page18'!$E$28,"  ")</f>
        <v>  </v>
      </c>
      <c r="F41" s="669"/>
      <c r="G41" s="672"/>
    </row>
    <row r="42" spans="2:7" ht="15.75">
      <c r="B42" s="126" t="str">
        <f>IF(inputPrYr!$B44&gt;"  ",(inputPrYr!$B44),"  ")</f>
        <v>  </v>
      </c>
      <c r="C42" s="127"/>
      <c r="D42" s="128" t="str">
        <f>IF('no levy page18'!C65&gt;0,'no levy page18'!C65,"  ")</f>
        <v>  </v>
      </c>
      <c r="E42" s="669" t="str">
        <f>IF('no levy page18'!$E$59&gt;0,'no levy page18'!$E$59,"  ")</f>
        <v>  </v>
      </c>
      <c r="F42" s="669"/>
      <c r="G42" s="672"/>
    </row>
    <row r="43" spans="2:7" ht="15.75">
      <c r="B43" s="126" t="str">
        <f>IF(inputPrYr!$B45&gt;"  ",(inputPrYr!$B45),"  ")</f>
        <v>  </v>
      </c>
      <c r="C43" s="127"/>
      <c r="D43" s="128" t="str">
        <f>IF('no levy page19'!C65&gt;0,'no levy page19'!C65,"  ")</f>
        <v>  </v>
      </c>
      <c r="E43" s="669" t="str">
        <f>IF('no levy page19'!$E$28&gt;0,'no levy page19'!$E$28,"  ")</f>
        <v>  </v>
      </c>
      <c r="F43" s="669"/>
      <c r="G43" s="672"/>
    </row>
    <row r="44" spans="2:7" ht="15.75">
      <c r="B44" s="126" t="str">
        <f>IF(inputPrYr!$B46&gt;"  ",(inputPrYr!$B46),"  ")</f>
        <v>  </v>
      </c>
      <c r="C44" s="127"/>
      <c r="D44" s="128" t="str">
        <f>IF('no levy page19'!C65&gt;0,'no levy page19'!C65,"  ")</f>
        <v>  </v>
      </c>
      <c r="E44" s="669" t="str">
        <f>IF('no levy page19'!$E$59&gt;0,'no levy page19'!$E$59,"  ")</f>
        <v>  </v>
      </c>
      <c r="F44" s="669"/>
      <c r="G44" s="672"/>
    </row>
    <row r="45" spans="2:7" ht="15.75">
      <c r="B45" s="126" t="str">
        <f>IF(inputPrYr!$B47&gt;"  ",(inputPrYr!$B47),"  ")</f>
        <v>  </v>
      </c>
      <c r="C45" s="127"/>
      <c r="D45" s="128" t="str">
        <f>IF('no levy page20'!C65&gt;0,'no levy page20'!C65,"  ")</f>
        <v>  </v>
      </c>
      <c r="E45" s="669" t="str">
        <f>IF('no levy page20'!$E$28&gt;0,'no levy page20'!$E$28,"  ")</f>
        <v>  </v>
      </c>
      <c r="F45" s="669"/>
      <c r="G45" s="672"/>
    </row>
    <row r="46" spans="2:7" ht="15.75">
      <c r="B46" s="126" t="str">
        <f>IF(inputPrYr!$B48&gt;"  ",(inputPrYr!$B48),"  ")</f>
        <v>  </v>
      </c>
      <c r="C46" s="127"/>
      <c r="D46" s="128" t="str">
        <f>IF('no levy page20'!C65&gt;0,'no levy page20'!C65,"  ")</f>
        <v>  </v>
      </c>
      <c r="E46" s="669" t="str">
        <f>IF('no levy page20'!$E$59&gt;0,'no levy page20'!$E$59,"  ")</f>
        <v>  </v>
      </c>
      <c r="F46" s="669"/>
      <c r="G46" s="672"/>
    </row>
    <row r="47" spans="2:7" ht="15.75">
      <c r="B47" s="126" t="str">
        <f>IF(inputPrYr!$B49&gt;"  ",(inputPrYr!$B49),"  ")</f>
        <v>  </v>
      </c>
      <c r="C47" s="129"/>
      <c r="D47" s="128" t="str">
        <f>IF('no levy page20'!C65&gt;0,'no levy page21'!C65,"  ")</f>
        <v>  </v>
      </c>
      <c r="E47" s="669" t="str">
        <f>IF('no levy page21'!$E$28&gt;0,'no levy page21'!$E$28,"  ")</f>
        <v>  </v>
      </c>
      <c r="F47" s="669"/>
      <c r="G47" s="672"/>
    </row>
    <row r="48" spans="2:7" ht="15.75">
      <c r="B48" s="126" t="str">
        <f>IF(inputPrYr!$B50&gt;"  ",(inputPrYr!$B50),"  ")</f>
        <v>  </v>
      </c>
      <c r="C48" s="130"/>
      <c r="D48" s="128" t="str">
        <f>IF('no levy page21'!C65&gt;0,'no levy page21'!C65,"  ")</f>
        <v>  </v>
      </c>
      <c r="E48" s="669" t="str">
        <f>IF('no levy page21'!$E$59&gt;0,'no levy page21'!$E$59,"  ")</f>
        <v>  </v>
      </c>
      <c r="F48" s="669"/>
      <c r="G48" s="672"/>
    </row>
    <row r="49" spans="2:7" ht="15.75">
      <c r="B49" s="126" t="str">
        <f>IF(inputPrYr!$B52&gt;"  ",(inputPrYr!$B52),"  ")</f>
        <v>  </v>
      </c>
      <c r="C49" s="127"/>
      <c r="D49" s="128" t="str">
        <f>IF(SinNoLevy22!C53&gt;0,SinNoLevy22!C53,"  ")</f>
        <v>  </v>
      </c>
      <c r="E49" s="669" t="str">
        <f>IF(SinNoLevy22!$E$47&gt;0,SinNoLevy22!$E$47,"  ")</f>
        <v>  </v>
      </c>
      <c r="F49" s="669"/>
      <c r="G49" s="672"/>
    </row>
    <row r="50" spans="2:7" ht="15.75">
      <c r="B50" s="126" t="str">
        <f>IF(inputPrYr!$B53&gt;"  ",(inputPrYr!$B53),"  ")</f>
        <v>  </v>
      </c>
      <c r="C50" s="127"/>
      <c r="D50" s="128" t="str">
        <f>IF(SinNoLevy23!C53&gt;0,SinNoLevy23!C53,"  ")</f>
        <v>  </v>
      </c>
      <c r="E50" s="669" t="str">
        <f>IF(SinNoLevy23!$E$47&gt;0,SinNoLevy23!$E$47,"  ")</f>
        <v>  </v>
      </c>
      <c r="F50" s="669"/>
      <c r="G50" s="672"/>
    </row>
    <row r="51" spans="2:7" ht="15.75">
      <c r="B51" s="126" t="str">
        <f>IF(inputPrYr!$B54&gt;"  ",(inputPrYr!$B54),"  ")</f>
        <v>  </v>
      </c>
      <c r="C51" s="129"/>
      <c r="D51" s="128" t="str">
        <f>IF(SinNoLevy24!C53&gt;0,SinNoLevy24!C53,"  ")</f>
        <v>  </v>
      </c>
      <c r="E51" s="669" t="str">
        <f>IF(SinNoLevy24!$E$47&gt;0,SinNoLevy24!$E$47,"  ")</f>
        <v>  </v>
      </c>
      <c r="F51" s="669"/>
      <c r="G51" s="672"/>
    </row>
    <row r="52" spans="2:7" ht="15.75">
      <c r="B52" s="126" t="str">
        <f>IF(inputPrYr!$B55&gt;"  ",(inputPrYr!$B55),"  ")</f>
        <v>  </v>
      </c>
      <c r="C52" s="130"/>
      <c r="D52" s="128" t="str">
        <f>IF(SinNoLevy25!C53&gt;0,SinNoLevy25!C53,"  ")</f>
        <v>  </v>
      </c>
      <c r="E52" s="669" t="str">
        <f>IF(SinNoLevy25!$E$47&gt;0,SinNoLevy25!$E$47,"  ")</f>
        <v>  </v>
      </c>
      <c r="F52" s="669"/>
      <c r="G52" s="672"/>
    </row>
    <row r="53" spans="2:7" ht="15.75">
      <c r="B53" s="126" t="str">
        <f>IF(inputPrYr!$B58&gt;"  ",(NonBudA!$A3),"  ")</f>
        <v>  </v>
      </c>
      <c r="C53" s="130"/>
      <c r="D53" s="128" t="str">
        <f>IF(NonBudA!F33&gt;0,NonBudA!F33,"  ")</f>
        <v>  </v>
      </c>
      <c r="E53" s="669"/>
      <c r="F53" s="669"/>
      <c r="G53" s="672"/>
    </row>
    <row r="54" spans="2:7" ht="15.75">
      <c r="B54" s="126" t="str">
        <f>IF(inputPrYr!$B64&gt;"  ",(NonBudB!$A3),"  ")</f>
        <v>  </v>
      </c>
      <c r="C54" s="130"/>
      <c r="D54" s="128" t="str">
        <f>IF(NonBudB!F33&gt;0,NonBudB!F33,"  ")</f>
        <v>  </v>
      </c>
      <c r="E54" s="669"/>
      <c r="F54" s="669"/>
      <c r="G54" s="672"/>
    </row>
    <row r="55" spans="2:7" ht="15.75">
      <c r="B55" s="126" t="str">
        <f>IF(inputPrYr!$B70&gt;"  ",(NonBudC!$A3),"  ")</f>
        <v>  </v>
      </c>
      <c r="C55" s="127"/>
      <c r="D55" s="128" t="str">
        <f>IF(NonBudC!F33&gt;0,NonBudC!F33,"  ")</f>
        <v>  </v>
      </c>
      <c r="E55" s="669"/>
      <c r="F55" s="669"/>
      <c r="G55" s="672"/>
    </row>
    <row r="56" spans="2:7" ht="16.5" thickBot="1">
      <c r="B56" s="126" t="str">
        <f>IF(inputPrYr!$B76&gt;"  ",(NonBudD!$A3),"  ")</f>
        <v>  </v>
      </c>
      <c r="C56" s="129"/>
      <c r="D56" s="128" t="str">
        <f>IF(NonBudD!F33&gt;0,NonBudD!F33,"  ")</f>
        <v>  </v>
      </c>
      <c r="E56" s="673"/>
      <c r="F56" s="673"/>
      <c r="G56" s="674"/>
    </row>
    <row r="57" spans="2:7" ht="15.75">
      <c r="B57" s="367" t="s">
        <v>724</v>
      </c>
      <c r="C57" s="71"/>
      <c r="D57" s="223" t="s">
        <v>91</v>
      </c>
      <c r="E57" s="675">
        <f>SUM(E20:E56)</f>
        <v>0</v>
      </c>
      <c r="F57" s="675">
        <f>SUM(F20:F56)</f>
        <v>0</v>
      </c>
      <c r="G57" s="676">
        <f>IF(SUM(G20:G56)=0,"",SUM(G20:G56))</f>
      </c>
    </row>
    <row r="58" spans="2:7" ht="15.75">
      <c r="B58" s="717" t="s">
        <v>1050</v>
      </c>
      <c r="C58" s="131"/>
      <c r="D58" s="132"/>
      <c r="E58" s="133"/>
      <c r="F58" s="134"/>
      <c r="G58" s="392" t="s">
        <v>219</v>
      </c>
    </row>
    <row r="59" spans="2:7" ht="15.75">
      <c r="B59" s="117" t="s">
        <v>299</v>
      </c>
      <c r="C59" s="71"/>
      <c r="D59" s="118">
        <f>summ!D70</f>
        <v>0</v>
      </c>
      <c r="E59" s="43"/>
      <c r="F59" s="43"/>
      <c r="G59" s="488"/>
    </row>
    <row r="60" spans="2:7" ht="15.75">
      <c r="B60" s="117" t="s">
        <v>12</v>
      </c>
      <c r="C60" s="71"/>
      <c r="D60" s="118">
        <f>IF(nhood!C39&gt;0,nhood!C39,"")</f>
      </c>
      <c r="E60" s="43"/>
      <c r="F60" s="43"/>
      <c r="G60" s="868" t="str">
        <f>CONCATENATE("Nov 1, ",I1-1," Total Assessed Valuation")</f>
        <v>Nov 1, -1 Total Assessed Valuation</v>
      </c>
    </row>
    <row r="61" spans="2:7" ht="15.75">
      <c r="B61" s="82" t="s">
        <v>92</v>
      </c>
      <c r="C61" s="63"/>
      <c r="D61" s="63"/>
      <c r="E61" s="63"/>
      <c r="F61" s="63"/>
      <c r="G61" s="869"/>
    </row>
    <row r="62" spans="2:7" ht="15.75">
      <c r="B62" s="315"/>
      <c r="C62" s="63"/>
      <c r="D62" s="43"/>
      <c r="E62" s="252"/>
      <c r="F62" s="63"/>
      <c r="G62" s="63"/>
    </row>
    <row r="63" spans="2:7" ht="15.75">
      <c r="B63" s="316"/>
      <c r="C63" s="63"/>
      <c r="D63" s="64" t="s">
        <v>888</v>
      </c>
      <c r="E63" s="252"/>
      <c r="F63" s="63"/>
      <c r="G63" s="63"/>
    </row>
    <row r="64" spans="2:7" ht="15.75">
      <c r="B64" s="82" t="s">
        <v>222</v>
      </c>
      <c r="C64" s="43"/>
      <c r="D64" s="62"/>
      <c r="E64" s="252"/>
      <c r="F64" s="63"/>
      <c r="G64" s="63"/>
    </row>
    <row r="65" spans="2:7" ht="15.75">
      <c r="B65" s="315"/>
      <c r="C65" s="63"/>
      <c r="D65" s="63" t="s">
        <v>889</v>
      </c>
      <c r="E65" s="252"/>
      <c r="F65" s="252"/>
      <c r="G65" s="252"/>
    </row>
    <row r="66" spans="2:7" ht="15.75">
      <c r="B66" s="316"/>
      <c r="C66" s="135"/>
      <c r="D66" s="63"/>
      <c r="E66" s="63"/>
      <c r="F66" s="659"/>
      <c r="G66" s="659"/>
    </row>
    <row r="67" spans="2:7" ht="15.75">
      <c r="B67" s="63" t="s">
        <v>890</v>
      </c>
      <c r="C67" s="135"/>
      <c r="D67" s="63" t="s">
        <v>889</v>
      </c>
      <c r="E67" s="63"/>
      <c r="F67" s="660"/>
      <c r="G67" s="660"/>
    </row>
    <row r="68" spans="2:7" ht="15.75">
      <c r="B68" s="316"/>
      <c r="C68" s="136"/>
      <c r="D68" s="63"/>
      <c r="E68" s="63"/>
      <c r="F68" s="74"/>
      <c r="G68" s="74"/>
    </row>
    <row r="69" spans="2:7" ht="15.75">
      <c r="B69" s="518" t="s">
        <v>5</v>
      </c>
      <c r="C69" s="137">
        <f>I1-1</f>
        <v>-1</v>
      </c>
      <c r="D69" s="63" t="s">
        <v>889</v>
      </c>
      <c r="E69" s="63"/>
      <c r="F69" s="660"/>
      <c r="G69" s="660"/>
    </row>
    <row r="70" spans="2:7" ht="15.75">
      <c r="B70" s="252"/>
      <c r="C70" s="137"/>
      <c r="D70" s="63"/>
      <c r="E70" s="63"/>
      <c r="F70" s="105"/>
      <c r="G70" s="43"/>
    </row>
    <row r="71" spans="2:7" ht="15.75">
      <c r="B71" s="519"/>
      <c r="C71" s="43"/>
      <c r="D71" s="63" t="s">
        <v>889</v>
      </c>
      <c r="E71" s="63"/>
      <c r="F71" s="63"/>
      <c r="G71" s="63"/>
    </row>
    <row r="72" spans="2:7" ht="15.75">
      <c r="B72" s="104" t="s">
        <v>94</v>
      </c>
      <c r="C72" s="43"/>
      <c r="D72" s="866" t="s">
        <v>93</v>
      </c>
      <c r="E72" s="867"/>
      <c r="F72" s="867"/>
      <c r="G72" s="867"/>
    </row>
    <row r="73" ht="15.75">
      <c r="B73" s="29"/>
    </row>
    <row r="83" spans="2:7" ht="15">
      <c r="B83" s="81"/>
      <c r="C83" s="81"/>
      <c r="D83" s="81"/>
      <c r="E83" s="81"/>
      <c r="F83" s="81"/>
      <c r="G83" s="81"/>
    </row>
    <row r="84" spans="2:7" ht="15">
      <c r="B84" s="81"/>
      <c r="C84" s="81"/>
      <c r="D84" s="81"/>
      <c r="E84" s="81"/>
      <c r="F84" s="81"/>
      <c r="G84" s="81"/>
    </row>
    <row r="85" spans="2:7" ht="15">
      <c r="B85" s="81"/>
      <c r="C85" s="81"/>
      <c r="D85" s="81"/>
      <c r="E85" s="81"/>
      <c r="F85" s="81"/>
      <c r="G85" s="81"/>
    </row>
    <row r="86" spans="2:7" ht="15">
      <c r="B86" s="81"/>
      <c r="C86" s="81"/>
      <c r="D86" s="81"/>
      <c r="E86" s="81"/>
      <c r="F86" s="81"/>
      <c r="G86" s="81"/>
    </row>
    <row r="87" spans="2:7" ht="15">
      <c r="B87" s="81"/>
      <c r="C87" s="81"/>
      <c r="D87" s="81"/>
      <c r="E87" s="81"/>
      <c r="F87" s="81"/>
      <c r="G87" s="81"/>
    </row>
    <row r="88" spans="2:7" ht="15">
      <c r="B88" s="81"/>
      <c r="C88" s="81"/>
      <c r="D88" s="81"/>
      <c r="E88" s="81"/>
      <c r="F88" s="81"/>
      <c r="G88" s="81"/>
    </row>
    <row r="89" spans="2:7" ht="15">
      <c r="B89" s="81"/>
      <c r="C89" s="81"/>
      <c r="D89" s="81"/>
      <c r="E89" s="81"/>
      <c r="F89" s="81"/>
      <c r="G89" s="81"/>
    </row>
    <row r="90" spans="2:7" ht="15">
      <c r="B90" s="81"/>
      <c r="C90" s="81"/>
      <c r="D90" s="81"/>
      <c r="E90" s="81"/>
      <c r="F90" s="81"/>
      <c r="G90" s="81"/>
    </row>
    <row r="91" spans="2:7" ht="15">
      <c r="B91" s="81"/>
      <c r="C91" s="81"/>
      <c r="D91" s="81"/>
      <c r="E91" s="81"/>
      <c r="F91" s="81"/>
      <c r="G91" s="81"/>
    </row>
    <row r="92" spans="2:7" ht="15">
      <c r="B92" s="81"/>
      <c r="C92" s="81"/>
      <c r="D92" s="81"/>
      <c r="E92" s="81"/>
      <c r="F92" s="81"/>
      <c r="G92" s="81"/>
    </row>
    <row r="93" spans="2:7" ht="15">
      <c r="B93" s="81"/>
      <c r="C93" s="81"/>
      <c r="D93" s="81"/>
      <c r="E93" s="81"/>
      <c r="F93" s="81"/>
      <c r="G93" s="81"/>
    </row>
    <row r="94" spans="2:7" ht="15">
      <c r="B94" s="81"/>
      <c r="C94" s="81"/>
      <c r="D94" s="81"/>
      <c r="E94" s="81"/>
      <c r="F94" s="81"/>
      <c r="G94" s="81"/>
    </row>
    <row r="95" spans="2:7" ht="15">
      <c r="B95" s="81"/>
      <c r="C95" s="81"/>
      <c r="D95" s="81"/>
      <c r="E95" s="81"/>
      <c r="F95" s="81"/>
      <c r="G95" s="81"/>
    </row>
    <row r="96" spans="2:7" ht="15">
      <c r="B96" s="81"/>
      <c r="C96" s="81"/>
      <c r="D96" s="81"/>
      <c r="E96" s="81"/>
      <c r="F96" s="81"/>
      <c r="G96" s="81"/>
    </row>
    <row r="97" spans="2:7" ht="15">
      <c r="B97" s="81"/>
      <c r="C97" s="81"/>
      <c r="D97" s="81"/>
      <c r="E97" s="81"/>
      <c r="F97" s="81"/>
      <c r="G97" s="81"/>
    </row>
    <row r="98" spans="2:7" ht="15">
      <c r="B98" s="81"/>
      <c r="C98" s="81"/>
      <c r="D98" s="81"/>
      <c r="E98" s="81"/>
      <c r="F98" s="81"/>
      <c r="G98" s="81"/>
    </row>
    <row r="101" spans="2:7" ht="15.75">
      <c r="B101" s="29"/>
      <c r="C101" s="29"/>
      <c r="D101" s="29"/>
      <c r="E101" s="29"/>
      <c r="F101" s="29"/>
      <c r="G101" s="29"/>
    </row>
  </sheetData>
  <sheetProtection sheet="1"/>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50.xml><?xml version="1.0" encoding="utf-8"?>
<worksheet xmlns="http://schemas.openxmlformats.org/spreadsheetml/2006/main" xmlns:r="http://schemas.openxmlformats.org/officeDocument/2006/relationships">
  <dimension ref="A1:A40"/>
  <sheetViews>
    <sheetView zoomScalePageLayoutView="0" workbookViewId="0" topLeftCell="A1">
      <selection activeCell="N97" sqref="N97"/>
    </sheetView>
  </sheetViews>
  <sheetFormatPr defaultColWidth="8.796875" defaultRowHeight="15"/>
  <cols>
    <col min="1" max="1" width="71.19921875" style="1" customWidth="1"/>
    <col min="2" max="16384" width="8.8984375" style="1" customWidth="1"/>
  </cols>
  <sheetData>
    <row r="1" ht="16.5">
      <c r="A1" s="443" t="s">
        <v>681</v>
      </c>
    </row>
    <row r="3" ht="31.5">
      <c r="A3" s="444" t="s">
        <v>682</v>
      </c>
    </row>
    <row r="4" ht="15.75">
      <c r="A4" s="445" t="s">
        <v>683</v>
      </c>
    </row>
    <row r="7" ht="31.5">
      <c r="A7" s="444" t="s">
        <v>684</v>
      </c>
    </row>
    <row r="8" ht="15.75">
      <c r="A8" s="445" t="s">
        <v>685</v>
      </c>
    </row>
    <row r="11" ht="15.75">
      <c r="A11" s="1" t="s">
        <v>686</v>
      </c>
    </row>
    <row r="12" ht="15.75">
      <c r="A12" s="445" t="s">
        <v>687</v>
      </c>
    </row>
    <row r="15" ht="15.75">
      <c r="A15" s="1" t="s">
        <v>688</v>
      </c>
    </row>
    <row r="16" ht="15.75">
      <c r="A16" s="445" t="s">
        <v>689</v>
      </c>
    </row>
    <row r="19" ht="15.75">
      <c r="A19" s="1" t="s">
        <v>690</v>
      </c>
    </row>
    <row r="20" ht="15.75">
      <c r="A20" s="445" t="s">
        <v>691</v>
      </c>
    </row>
    <row r="23" ht="15.75">
      <c r="A23" s="1" t="s">
        <v>692</v>
      </c>
    </row>
    <row r="24" ht="15.75">
      <c r="A24" s="445" t="s">
        <v>693</v>
      </c>
    </row>
    <row r="27" ht="15.75">
      <c r="A27" s="1" t="s">
        <v>694</v>
      </c>
    </row>
    <row r="28" ht="15.75">
      <c r="A28" s="445" t="s">
        <v>695</v>
      </c>
    </row>
    <row r="31" ht="15.75">
      <c r="A31" s="1" t="s">
        <v>696</v>
      </c>
    </row>
    <row r="32" ht="15.75">
      <c r="A32" s="445" t="s">
        <v>697</v>
      </c>
    </row>
    <row r="35" ht="15.75">
      <c r="A35" s="1" t="s">
        <v>698</v>
      </c>
    </row>
    <row r="36" ht="15.75">
      <c r="A36" s="445" t="s">
        <v>699</v>
      </c>
    </row>
    <row r="39" ht="15.75">
      <c r="A39" s="1" t="s">
        <v>700</v>
      </c>
    </row>
    <row r="40" ht="15.75">
      <c r="A40" s="445" t="s">
        <v>701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51.xml><?xml version="1.0" encoding="utf-8"?>
<worksheet xmlns="http://schemas.openxmlformats.org/spreadsheetml/2006/main" xmlns:r="http://schemas.openxmlformats.org/officeDocument/2006/relationships">
  <dimension ref="A1:E290"/>
  <sheetViews>
    <sheetView zoomScalePageLayoutView="0" workbookViewId="0" topLeftCell="A1">
      <selection activeCell="U23" sqref="U23"/>
    </sheetView>
  </sheetViews>
  <sheetFormatPr defaultColWidth="8.796875" defaultRowHeight="15"/>
  <cols>
    <col min="1" max="1" width="81.8984375" style="29" customWidth="1"/>
    <col min="2" max="16384" width="8.8984375" style="29" customWidth="1"/>
  </cols>
  <sheetData>
    <row r="1" ht="15.75">
      <c r="A1" s="309" t="s">
        <v>1047</v>
      </c>
    </row>
    <row r="2" ht="15.75">
      <c r="A2" s="29" t="s">
        <v>1048</v>
      </c>
    </row>
    <row r="3" ht="15.75">
      <c r="A3" s="29" t="s">
        <v>1049</v>
      </c>
    </row>
    <row r="5" ht="15.75">
      <c r="A5" s="809" t="s">
        <v>1037</v>
      </c>
    </row>
    <row r="6" ht="15.75">
      <c r="A6" s="1" t="s">
        <v>1038</v>
      </c>
    </row>
    <row r="8" ht="15.75">
      <c r="A8" s="809" t="s">
        <v>1028</v>
      </c>
    </row>
    <row r="9" ht="15.75">
      <c r="A9" s="1" t="s">
        <v>1039</v>
      </c>
    </row>
    <row r="10" ht="15.75">
      <c r="A10" s="1" t="s">
        <v>1040</v>
      </c>
    </row>
    <row r="11" ht="15.75">
      <c r="A11" s="1" t="s">
        <v>1041</v>
      </c>
    </row>
    <row r="12" ht="15.75">
      <c r="A12" s="1" t="s">
        <v>1042</v>
      </c>
    </row>
    <row r="13" ht="15.75">
      <c r="A13" s="1" t="s">
        <v>1043</v>
      </c>
    </row>
    <row r="14" ht="15.75">
      <c r="A14" s="840" t="s">
        <v>1044</v>
      </c>
    </row>
    <row r="16" ht="15.75">
      <c r="A16" s="482" t="s">
        <v>1025</v>
      </c>
    </row>
    <row r="17" ht="15.75">
      <c r="A17" s="744" t="s">
        <v>1026</v>
      </c>
    </row>
    <row r="18" ht="15.75">
      <c r="A18" s="29" t="s">
        <v>1027</v>
      </c>
    </row>
    <row r="20" ht="15.75">
      <c r="A20" s="482" t="s">
        <v>1022</v>
      </c>
    </row>
    <row r="21" ht="15.75">
      <c r="A21" s="744" t="s">
        <v>1023</v>
      </c>
    </row>
    <row r="22" ht="15.75">
      <c r="A22" s="744"/>
    </row>
    <row r="23" ht="15.75">
      <c r="A23" s="482" t="s">
        <v>999</v>
      </c>
    </row>
    <row r="24" ht="15.75">
      <c r="A24" s="744" t="s">
        <v>998</v>
      </c>
    </row>
    <row r="26" ht="15.75">
      <c r="A26" s="482" t="s">
        <v>996</v>
      </c>
    </row>
    <row r="27" ht="15.75">
      <c r="A27" s="31" t="s">
        <v>995</v>
      </c>
    </row>
    <row r="29" ht="15.75">
      <c r="A29" s="482" t="s">
        <v>972</v>
      </c>
    </row>
    <row r="30" ht="15.75">
      <c r="A30" s="29" t="s">
        <v>973</v>
      </c>
    </row>
    <row r="32" ht="15.75">
      <c r="A32" s="482" t="s">
        <v>974</v>
      </c>
    </row>
    <row r="33" ht="15.75">
      <c r="A33" s="30" t="s">
        <v>946</v>
      </c>
    </row>
    <row r="35" ht="15.75">
      <c r="A35" s="482" t="s">
        <v>975</v>
      </c>
    </row>
    <row r="36" ht="15.75">
      <c r="A36" s="29" t="s">
        <v>945</v>
      </c>
    </row>
    <row r="38" ht="15.75">
      <c r="A38" s="482" t="s">
        <v>976</v>
      </c>
    </row>
    <row r="39" ht="15.75">
      <c r="A39" s="29" t="s">
        <v>944</v>
      </c>
    </row>
    <row r="41" ht="15.75">
      <c r="A41" s="482" t="s">
        <v>977</v>
      </c>
    </row>
    <row r="42" ht="15.75">
      <c r="A42" s="29" t="s">
        <v>943</v>
      </c>
    </row>
    <row r="44" ht="15.75">
      <c r="A44" s="482" t="s">
        <v>978</v>
      </c>
    </row>
    <row r="45" ht="15.75">
      <c r="A45" s="562" t="s">
        <v>942</v>
      </c>
    </row>
    <row r="47" ht="15.75">
      <c r="A47" s="482" t="s">
        <v>979</v>
      </c>
    </row>
    <row r="48" ht="15.75">
      <c r="A48" s="562" t="s">
        <v>941</v>
      </c>
    </row>
    <row r="49" ht="15.75">
      <c r="A49" s="482"/>
    </row>
    <row r="50" ht="15.75">
      <c r="A50" s="482" t="s">
        <v>980</v>
      </c>
    </row>
    <row r="51" ht="15.75">
      <c r="A51" s="29" t="s">
        <v>937</v>
      </c>
    </row>
    <row r="53" spans="1:5" ht="15.75">
      <c r="A53" s="482" t="s">
        <v>981</v>
      </c>
      <c r="B53" s="690"/>
      <c r="C53" s="690"/>
      <c r="D53" s="690"/>
      <c r="E53" s="690"/>
    </row>
    <row r="54" spans="1:5" ht="15.75">
      <c r="A54" s="691" t="s">
        <v>936</v>
      </c>
      <c r="B54" s="690"/>
      <c r="C54" s="690"/>
      <c r="D54" s="690"/>
      <c r="E54" s="690"/>
    </row>
    <row r="56" ht="15.75">
      <c r="A56" s="482" t="s">
        <v>982</v>
      </c>
    </row>
    <row r="57" ht="15.75">
      <c r="A57" s="29" t="s">
        <v>935</v>
      </c>
    </row>
    <row r="59" ht="15.75">
      <c r="A59" s="482" t="s">
        <v>983</v>
      </c>
    </row>
    <row r="60" ht="15.75">
      <c r="A60" s="562" t="s">
        <v>770</v>
      </c>
    </row>
    <row r="61" ht="15.75">
      <c r="A61" s="29" t="s">
        <v>771</v>
      </c>
    </row>
    <row r="62" ht="15.75">
      <c r="A62" s="29" t="s">
        <v>772</v>
      </c>
    </row>
    <row r="63" ht="15.75">
      <c r="A63" s="29" t="s">
        <v>773</v>
      </c>
    </row>
    <row r="64" ht="15.75">
      <c r="A64" s="29" t="s">
        <v>774</v>
      </c>
    </row>
    <row r="65" ht="15.75">
      <c r="A65" s="29" t="s">
        <v>775</v>
      </c>
    </row>
    <row r="66" ht="15.75">
      <c r="A66" s="29" t="s">
        <v>776</v>
      </c>
    </row>
    <row r="67" ht="15.75">
      <c r="A67" s="29" t="s">
        <v>777</v>
      </c>
    </row>
    <row r="68" ht="15.75">
      <c r="A68" s="29" t="s">
        <v>778</v>
      </c>
    </row>
    <row r="69" ht="15.75">
      <c r="A69" s="29" t="s">
        <v>779</v>
      </c>
    </row>
    <row r="70" ht="15.75">
      <c r="A70" s="29" t="s">
        <v>780</v>
      </c>
    </row>
    <row r="71" ht="15.75">
      <c r="A71" s="29" t="s">
        <v>781</v>
      </c>
    </row>
    <row r="72" ht="15.75">
      <c r="A72" s="29" t="s">
        <v>782</v>
      </c>
    </row>
    <row r="73" ht="15.75">
      <c r="A73" s="29" t="s">
        <v>783</v>
      </c>
    </row>
    <row r="74" ht="15.75">
      <c r="A74" s="29" t="s">
        <v>784</v>
      </c>
    </row>
    <row r="75" ht="15.75">
      <c r="A75" s="29" t="s">
        <v>785</v>
      </c>
    </row>
    <row r="76" ht="47.25">
      <c r="A76" s="31" t="s">
        <v>786</v>
      </c>
    </row>
    <row r="77" ht="15.75">
      <c r="A77" s="30" t="s">
        <v>787</v>
      </c>
    </row>
    <row r="78" ht="31.5">
      <c r="A78" s="31" t="s">
        <v>788</v>
      </c>
    </row>
    <row r="79" ht="15.75">
      <c r="A79" s="29" t="s">
        <v>789</v>
      </c>
    </row>
    <row r="80" ht="15.75">
      <c r="A80" s="29" t="s">
        <v>790</v>
      </c>
    </row>
    <row r="81" ht="15.75">
      <c r="A81" s="29" t="s">
        <v>791</v>
      </c>
    </row>
    <row r="82" ht="15.75">
      <c r="A82" s="29" t="s">
        <v>792</v>
      </c>
    </row>
    <row r="83" ht="15.75">
      <c r="A83" s="29" t="s">
        <v>793</v>
      </c>
    </row>
    <row r="84" ht="15.75">
      <c r="A84" s="29" t="s">
        <v>794</v>
      </c>
    </row>
    <row r="85" ht="15.75">
      <c r="A85" s="29" t="s">
        <v>795</v>
      </c>
    </row>
    <row r="86" ht="15.75">
      <c r="A86" s="29" t="s">
        <v>796</v>
      </c>
    </row>
    <row r="87" ht="15.75">
      <c r="A87" s="29" t="s">
        <v>797</v>
      </c>
    </row>
    <row r="88" ht="15.75">
      <c r="A88" s="29" t="s">
        <v>798</v>
      </c>
    </row>
    <row r="89" ht="15.75">
      <c r="A89" s="29" t="s">
        <v>799</v>
      </c>
    </row>
    <row r="90" ht="15.75">
      <c r="A90" s="29" t="s">
        <v>800</v>
      </c>
    </row>
    <row r="91" ht="15.75">
      <c r="A91" s="29" t="s">
        <v>801</v>
      </c>
    </row>
    <row r="92" ht="15.75">
      <c r="A92" s="29" t="s">
        <v>802</v>
      </c>
    </row>
    <row r="93" ht="15.75">
      <c r="A93" s="29" t="s">
        <v>929</v>
      </c>
    </row>
    <row r="94" ht="15.75">
      <c r="A94" s="29" t="s">
        <v>930</v>
      </c>
    </row>
    <row r="95" ht="15.75">
      <c r="A95" s="29" t="s">
        <v>931</v>
      </c>
    </row>
    <row r="96" ht="15.75">
      <c r="A96" s="29" t="s">
        <v>932</v>
      </c>
    </row>
    <row r="98" ht="15.75">
      <c r="A98" s="482" t="s">
        <v>983</v>
      </c>
    </row>
    <row r="99" ht="15.75">
      <c r="A99" s="562" t="s">
        <v>770</v>
      </c>
    </row>
    <row r="100" ht="15.75">
      <c r="A100" s="29" t="s">
        <v>771</v>
      </c>
    </row>
    <row r="101" ht="15.75">
      <c r="A101" s="29" t="s">
        <v>772</v>
      </c>
    </row>
    <row r="102" ht="15.75">
      <c r="A102" s="29" t="s">
        <v>773</v>
      </c>
    </row>
    <row r="103" ht="15.75">
      <c r="A103" s="29" t="s">
        <v>774</v>
      </c>
    </row>
    <row r="104" ht="15.75">
      <c r="A104" s="29" t="s">
        <v>775</v>
      </c>
    </row>
    <row r="105" ht="15.75">
      <c r="A105" s="29" t="s">
        <v>776</v>
      </c>
    </row>
    <row r="106" ht="15.75">
      <c r="A106" s="29" t="s">
        <v>777</v>
      </c>
    </row>
    <row r="107" ht="15.75">
      <c r="A107" s="29" t="s">
        <v>778</v>
      </c>
    </row>
    <row r="108" ht="15.75">
      <c r="A108" s="29" t="s">
        <v>779</v>
      </c>
    </row>
    <row r="109" ht="15.75">
      <c r="A109" s="29" t="s">
        <v>780</v>
      </c>
    </row>
    <row r="110" ht="15.75">
      <c r="A110" s="29" t="s">
        <v>781</v>
      </c>
    </row>
    <row r="111" ht="15.75">
      <c r="A111" s="29" t="s">
        <v>782</v>
      </c>
    </row>
    <row r="112" ht="15.75">
      <c r="A112" s="29" t="s">
        <v>783</v>
      </c>
    </row>
    <row r="113" ht="15.75">
      <c r="A113" s="29" t="s">
        <v>784</v>
      </c>
    </row>
    <row r="114" ht="15.75">
      <c r="A114" s="29" t="s">
        <v>785</v>
      </c>
    </row>
    <row r="115" ht="47.25">
      <c r="A115" s="31" t="s">
        <v>786</v>
      </c>
    </row>
    <row r="116" ht="15.75">
      <c r="A116" s="30" t="s">
        <v>787</v>
      </c>
    </row>
    <row r="117" ht="31.5">
      <c r="A117" s="31" t="s">
        <v>788</v>
      </c>
    </row>
    <row r="118" ht="15.75">
      <c r="A118" s="29" t="s">
        <v>789</v>
      </c>
    </row>
    <row r="119" ht="15.75">
      <c r="A119" s="29" t="s">
        <v>790</v>
      </c>
    </row>
    <row r="120" ht="15.75">
      <c r="A120" s="29" t="s">
        <v>791</v>
      </c>
    </row>
    <row r="121" ht="15.75">
      <c r="A121" s="29" t="s">
        <v>792</v>
      </c>
    </row>
    <row r="122" ht="15.75">
      <c r="A122" s="29" t="s">
        <v>793</v>
      </c>
    </row>
    <row r="123" ht="15.75">
      <c r="A123" s="29" t="s">
        <v>794</v>
      </c>
    </row>
    <row r="124" ht="15.75">
      <c r="A124" s="29" t="s">
        <v>795</v>
      </c>
    </row>
    <row r="125" ht="15.75">
      <c r="A125" s="29" t="s">
        <v>796</v>
      </c>
    </row>
    <row r="126" ht="15.75">
      <c r="A126" s="29" t="s">
        <v>797</v>
      </c>
    </row>
    <row r="127" ht="15.75">
      <c r="A127" s="29" t="s">
        <v>798</v>
      </c>
    </row>
    <row r="128" ht="15.75">
      <c r="A128" s="29" t="s">
        <v>799</v>
      </c>
    </row>
    <row r="129" ht="15.75">
      <c r="A129" s="29" t="s">
        <v>800</v>
      </c>
    </row>
    <row r="130" ht="15.75">
      <c r="A130" s="29" t="s">
        <v>801</v>
      </c>
    </row>
    <row r="131" ht="15.75">
      <c r="A131" s="29" t="s">
        <v>802</v>
      </c>
    </row>
    <row r="132" ht="15.75">
      <c r="A132" s="29" t="s">
        <v>803</v>
      </c>
    </row>
    <row r="133" ht="15.75">
      <c r="A133" s="29" t="s">
        <v>804</v>
      </c>
    </row>
    <row r="135" ht="15.75">
      <c r="A135" s="482" t="s">
        <v>984</v>
      </c>
    </row>
    <row r="136" ht="15.75">
      <c r="A136" s="29" t="s">
        <v>768</v>
      </c>
    </row>
    <row r="138" ht="15.75">
      <c r="A138" s="482" t="s">
        <v>985</v>
      </c>
    </row>
    <row r="139" ht="15.75">
      <c r="A139" s="29" t="s">
        <v>765</v>
      </c>
    </row>
    <row r="140" ht="15.75">
      <c r="A140" s="29" t="s">
        <v>766</v>
      </c>
    </row>
    <row r="141" ht="15.75">
      <c r="A141" s="29" t="s">
        <v>767</v>
      </c>
    </row>
    <row r="143" ht="15.75">
      <c r="A143" s="482" t="s">
        <v>986</v>
      </c>
    </row>
    <row r="144" ht="15.75">
      <c r="A144" s="462" t="s">
        <v>764</v>
      </c>
    </row>
    <row r="146" ht="15.75">
      <c r="A146" s="482" t="s">
        <v>987</v>
      </c>
    </row>
    <row r="147" ht="15.75">
      <c r="A147" s="29" t="s">
        <v>737</v>
      </c>
    </row>
    <row r="149" ht="15.75">
      <c r="A149" s="482" t="s">
        <v>988</v>
      </c>
    </row>
    <row r="150" ht="15.75">
      <c r="A150" s="462" t="s">
        <v>704</v>
      </c>
    </row>
    <row r="151" ht="15.75">
      <c r="A151" s="462" t="s">
        <v>705</v>
      </c>
    </row>
    <row r="152" ht="31.5">
      <c r="A152" s="449" t="s">
        <v>706</v>
      </c>
    </row>
    <row r="153" ht="15.75">
      <c r="A153" s="462" t="s">
        <v>738</v>
      </c>
    </row>
    <row r="154" ht="15.75">
      <c r="A154" s="462" t="s">
        <v>739</v>
      </c>
    </row>
    <row r="155" ht="15.75">
      <c r="A155" s="462" t="s">
        <v>740</v>
      </c>
    </row>
    <row r="156" ht="15.75">
      <c r="A156" s="462" t="s">
        <v>741</v>
      </c>
    </row>
    <row r="157" ht="15.75">
      <c r="A157" s="462" t="s">
        <v>742</v>
      </c>
    </row>
    <row r="158" ht="15.75">
      <c r="A158" s="462" t="s">
        <v>743</v>
      </c>
    </row>
    <row r="159" ht="15.75">
      <c r="A159" s="462" t="s">
        <v>744</v>
      </c>
    </row>
    <row r="160" ht="15.75">
      <c r="A160" s="462" t="s">
        <v>745</v>
      </c>
    </row>
    <row r="161" ht="15.75">
      <c r="A161" s="462" t="s">
        <v>746</v>
      </c>
    </row>
    <row r="162" ht="15.75">
      <c r="A162" s="462" t="s">
        <v>747</v>
      </c>
    </row>
    <row r="163" ht="15.75">
      <c r="A163" s="462" t="s">
        <v>748</v>
      </c>
    </row>
    <row r="164" ht="15.75">
      <c r="A164" s="462" t="s">
        <v>749</v>
      </c>
    </row>
    <row r="165" ht="15.75">
      <c r="A165" s="462" t="s">
        <v>750</v>
      </c>
    </row>
    <row r="166" ht="15.75">
      <c r="A166" s="462" t="s">
        <v>751</v>
      </c>
    </row>
    <row r="167" ht="15.75">
      <c r="A167" s="462" t="s">
        <v>752</v>
      </c>
    </row>
    <row r="168" ht="15.75">
      <c r="A168" s="462" t="s">
        <v>753</v>
      </c>
    </row>
    <row r="169" ht="15.75">
      <c r="A169" s="462" t="s">
        <v>754</v>
      </c>
    </row>
    <row r="170" ht="15.75">
      <c r="A170" s="462" t="s">
        <v>755</v>
      </c>
    </row>
    <row r="171" ht="15.75">
      <c r="A171" s="462" t="s">
        <v>756</v>
      </c>
    </row>
    <row r="172" ht="15.75">
      <c r="A172" s="462" t="s">
        <v>757</v>
      </c>
    </row>
    <row r="173" ht="15.75">
      <c r="A173" s="462" t="s">
        <v>758</v>
      </c>
    </row>
    <row r="174" ht="15.75">
      <c r="A174" s="462" t="s">
        <v>759</v>
      </c>
    </row>
    <row r="175" ht="15.75">
      <c r="A175" s="462" t="s">
        <v>760</v>
      </c>
    </row>
    <row r="176" ht="15.75">
      <c r="A176" s="462" t="s">
        <v>761</v>
      </c>
    </row>
    <row r="177" ht="15.75">
      <c r="A177" s="462" t="s">
        <v>762</v>
      </c>
    </row>
    <row r="178" ht="15.75">
      <c r="A178" s="462" t="s">
        <v>763</v>
      </c>
    </row>
    <row r="180" ht="15.75">
      <c r="A180" s="334" t="s">
        <v>989</v>
      </c>
    </row>
    <row r="181" ht="15.75">
      <c r="A181" s="29" t="s">
        <v>618</v>
      </c>
    </row>
    <row r="182" ht="15.75">
      <c r="A182" s="29" t="s">
        <v>619</v>
      </c>
    </row>
    <row r="183" ht="15.75">
      <c r="A183" s="29" t="s">
        <v>620</v>
      </c>
    </row>
    <row r="185" ht="15.75">
      <c r="A185" s="334" t="s">
        <v>990</v>
      </c>
    </row>
    <row r="186" ht="15.75">
      <c r="A186" s="29" t="s">
        <v>617</v>
      </c>
    </row>
    <row r="188" ht="15.75">
      <c r="A188" s="334" t="s">
        <v>991</v>
      </c>
    </row>
    <row r="189" ht="15.75">
      <c r="A189" s="333" t="s">
        <v>388</v>
      </c>
    </row>
    <row r="190" ht="15.75">
      <c r="A190" s="333" t="s">
        <v>389</v>
      </c>
    </row>
    <row r="191" ht="15.75">
      <c r="A191" s="333" t="s">
        <v>390</v>
      </c>
    </row>
    <row r="192" ht="15.75">
      <c r="A192" s="29" t="s">
        <v>607</v>
      </c>
    </row>
    <row r="194" ht="15.75">
      <c r="A194" s="309" t="s">
        <v>992</v>
      </c>
    </row>
    <row r="195" ht="15.75">
      <c r="A195" s="313" t="s">
        <v>368</v>
      </c>
    </row>
    <row r="196" ht="15.75">
      <c r="A196" s="29" t="s">
        <v>369</v>
      </c>
    </row>
    <row r="197" ht="15.75">
      <c r="A197" s="29" t="s">
        <v>370</v>
      </c>
    </row>
    <row r="198" ht="17.25" customHeight="1">
      <c r="A198" s="736" t="s">
        <v>371</v>
      </c>
    </row>
    <row r="199" ht="15.75">
      <c r="A199" s="29" t="s">
        <v>372</v>
      </c>
    </row>
    <row r="200" ht="15.75">
      <c r="A200" s="29" t="s">
        <v>373</v>
      </c>
    </row>
    <row r="201" ht="15.75">
      <c r="A201" s="29" t="s">
        <v>374</v>
      </c>
    </row>
    <row r="202" ht="15.75">
      <c r="A202" s="29" t="s">
        <v>375</v>
      </c>
    </row>
    <row r="203" ht="15.75">
      <c r="A203" s="29" t="s">
        <v>376</v>
      </c>
    </row>
    <row r="204" ht="15.75">
      <c r="A204" s="29" t="s">
        <v>377</v>
      </c>
    </row>
    <row r="205" ht="15.75">
      <c r="A205" s="29" t="s">
        <v>378</v>
      </c>
    </row>
    <row r="207" ht="15.75">
      <c r="A207" s="309" t="s">
        <v>993</v>
      </c>
    </row>
    <row r="208" ht="15.75">
      <c r="A208" s="29" t="s">
        <v>317</v>
      </c>
    </row>
    <row r="210" ht="15.75">
      <c r="A210" s="309" t="s">
        <v>994</v>
      </c>
    </row>
    <row r="211" ht="15.75">
      <c r="A211" s="29" t="s">
        <v>316</v>
      </c>
    </row>
    <row r="213" ht="15.75">
      <c r="A213" s="309" t="s">
        <v>313</v>
      </c>
    </row>
    <row r="214" ht="15.75">
      <c r="A214" s="29" t="s">
        <v>314</v>
      </c>
    </row>
    <row r="215" ht="15.75">
      <c r="A215" s="29" t="s">
        <v>315</v>
      </c>
    </row>
    <row r="217" ht="15.75">
      <c r="A217" s="309" t="s">
        <v>61</v>
      </c>
    </row>
    <row r="218" ht="15.75">
      <c r="A218" s="29" t="s">
        <v>46</v>
      </c>
    </row>
    <row r="219" ht="15.75">
      <c r="A219" s="29" t="s">
        <v>47</v>
      </c>
    </row>
    <row r="220" ht="15.75">
      <c r="A220" s="29" t="s">
        <v>48</v>
      </c>
    </row>
    <row r="221" ht="15.75">
      <c r="A221" s="29" t="s">
        <v>55</v>
      </c>
    </row>
    <row r="222" ht="15.75">
      <c r="A222" s="29" t="s">
        <v>49</v>
      </c>
    </row>
    <row r="223" ht="15.75">
      <c r="A223" s="29" t="s">
        <v>50</v>
      </c>
    </row>
    <row r="224" ht="31.5">
      <c r="A224" s="31" t="s">
        <v>56</v>
      </c>
    </row>
    <row r="225" ht="31.5">
      <c r="A225" s="31" t="s">
        <v>51</v>
      </c>
    </row>
    <row r="226" ht="15.75">
      <c r="A226" s="31" t="s">
        <v>52</v>
      </c>
    </row>
    <row r="227" ht="15.75">
      <c r="A227" s="31" t="s">
        <v>53</v>
      </c>
    </row>
    <row r="228" ht="31.5">
      <c r="A228" s="31" t="s">
        <v>306</v>
      </c>
    </row>
    <row r="229" ht="15.75">
      <c r="A229" s="29" t="s">
        <v>307</v>
      </c>
    </row>
    <row r="230" ht="31.5">
      <c r="A230" s="31" t="s">
        <v>54</v>
      </c>
    </row>
    <row r="231" ht="15.75">
      <c r="A231" s="29" t="s">
        <v>58</v>
      </c>
    </row>
    <row r="232" ht="15.75">
      <c r="A232" s="29" t="s">
        <v>59</v>
      </c>
    </row>
    <row r="233" ht="15.75">
      <c r="A233" s="29" t="s">
        <v>60</v>
      </c>
    </row>
    <row r="234" ht="31.5">
      <c r="A234" s="31" t="s">
        <v>305</v>
      </c>
    </row>
    <row r="235" ht="15.75">
      <c r="A235" s="29" t="s">
        <v>304</v>
      </c>
    </row>
    <row r="236" ht="31.5">
      <c r="A236" s="31" t="s">
        <v>303</v>
      </c>
    </row>
    <row r="237" ht="15.75">
      <c r="A237" s="29" t="s">
        <v>308</v>
      </c>
    </row>
    <row r="239" ht="15.75">
      <c r="A239" s="309" t="s">
        <v>65</v>
      </c>
    </row>
    <row r="240" ht="15.75">
      <c r="A240" s="29" t="s">
        <v>66</v>
      </c>
    </row>
    <row r="241" ht="15.75">
      <c r="A241" s="29" t="s">
        <v>67</v>
      </c>
    </row>
    <row r="242" ht="15.75">
      <c r="A242" s="29" t="s">
        <v>68</v>
      </c>
    </row>
    <row r="243" ht="15.75">
      <c r="A243" s="29" t="s">
        <v>57</v>
      </c>
    </row>
    <row r="246" ht="15.75">
      <c r="A246" s="309" t="s">
        <v>42</v>
      </c>
    </row>
    <row r="247" ht="15.75">
      <c r="A247" s="29" t="s">
        <v>43</v>
      </c>
    </row>
    <row r="249" ht="15.75">
      <c r="A249" s="309" t="s">
        <v>35</v>
      </c>
    </row>
    <row r="250" ht="15.75">
      <c r="A250" s="29" t="s">
        <v>36</v>
      </c>
    </row>
    <row r="251" ht="15.75">
      <c r="A251" s="29" t="s">
        <v>37</v>
      </c>
    </row>
    <row r="252" ht="31.5">
      <c r="A252" s="31" t="s">
        <v>38</v>
      </c>
    </row>
    <row r="253" ht="15.75">
      <c r="A253" s="29" t="s">
        <v>39</v>
      </c>
    </row>
    <row r="254" ht="15.75">
      <c r="A254" s="29" t="s">
        <v>40</v>
      </c>
    </row>
    <row r="255" ht="15.75">
      <c r="A255" s="29" t="s">
        <v>41</v>
      </c>
    </row>
    <row r="257" ht="18" customHeight="1">
      <c r="A257" s="309" t="s">
        <v>276</v>
      </c>
    </row>
    <row r="258" ht="48.75" customHeight="1">
      <c r="A258" s="31" t="s">
        <v>309</v>
      </c>
    </row>
    <row r="259" ht="15.75">
      <c r="A259" s="29" t="s">
        <v>277</v>
      </c>
    </row>
    <row r="260" ht="15.75">
      <c r="A260" s="29" t="s">
        <v>278</v>
      </c>
    </row>
    <row r="261" ht="15.75">
      <c r="A261" s="29" t="s">
        <v>310</v>
      </c>
    </row>
    <row r="262" ht="15.75">
      <c r="A262" s="29" t="s">
        <v>279</v>
      </c>
    </row>
    <row r="263" ht="15.75">
      <c r="A263" s="29" t="s">
        <v>280</v>
      </c>
    </row>
    <row r="264" ht="15.75">
      <c r="A264" s="29" t="s">
        <v>6</v>
      </c>
    </row>
    <row r="265" ht="15.75">
      <c r="A265" s="29" t="s">
        <v>281</v>
      </c>
    </row>
    <row r="266" ht="15.75">
      <c r="A266" s="29" t="s">
        <v>282</v>
      </c>
    </row>
    <row r="267" ht="31.5">
      <c r="A267" s="31" t="s">
        <v>283</v>
      </c>
    </row>
    <row r="268" ht="31.5">
      <c r="A268" s="31" t="s">
        <v>14</v>
      </c>
    </row>
    <row r="269" ht="15.75">
      <c r="A269" s="29" t="s">
        <v>284</v>
      </c>
    </row>
    <row r="270" ht="15.75">
      <c r="A270" s="29" t="s">
        <v>285</v>
      </c>
    </row>
    <row r="271" ht="15.75">
      <c r="A271" s="29" t="s">
        <v>311</v>
      </c>
    </row>
    <row r="272" ht="15.75">
      <c r="A272" s="29" t="s">
        <v>286</v>
      </c>
    </row>
    <row r="273" ht="15.75">
      <c r="A273" s="29" t="s">
        <v>0</v>
      </c>
    </row>
    <row r="274" ht="31.5">
      <c r="A274" s="31" t="s">
        <v>1</v>
      </c>
    </row>
    <row r="275" ht="15.75">
      <c r="A275" s="29" t="s">
        <v>295</v>
      </c>
    </row>
    <row r="276" ht="15.75">
      <c r="A276" s="29" t="s">
        <v>296</v>
      </c>
    </row>
    <row r="277" ht="31.5">
      <c r="A277" s="31" t="s">
        <v>297</v>
      </c>
    </row>
    <row r="278" ht="15.75">
      <c r="A278" s="29" t="s">
        <v>22</v>
      </c>
    </row>
    <row r="279" ht="15.75">
      <c r="A279" s="29" t="s">
        <v>23</v>
      </c>
    </row>
    <row r="280" ht="15.75">
      <c r="A280" s="29" t="s">
        <v>24</v>
      </c>
    </row>
    <row r="281" ht="15.75">
      <c r="A281" s="29" t="s">
        <v>25</v>
      </c>
    </row>
    <row r="282" ht="15.75">
      <c r="A282" s="29" t="s">
        <v>26</v>
      </c>
    </row>
    <row r="283" ht="15.75">
      <c r="A283" s="29" t="s">
        <v>27</v>
      </c>
    </row>
    <row r="284" ht="15.75">
      <c r="A284" s="29" t="s">
        <v>28</v>
      </c>
    </row>
    <row r="285" ht="15.75">
      <c r="A285" s="29" t="s">
        <v>29</v>
      </c>
    </row>
    <row r="286" ht="15.75">
      <c r="A286" s="29" t="s">
        <v>30</v>
      </c>
    </row>
    <row r="287" ht="15.75">
      <c r="A287" s="29" t="s">
        <v>32</v>
      </c>
    </row>
    <row r="288" ht="15.75">
      <c r="A288" s="29" t="s">
        <v>33</v>
      </c>
    </row>
    <row r="289" ht="15.75">
      <c r="A289" s="29" t="s">
        <v>34</v>
      </c>
    </row>
    <row r="290" ht="15.75">
      <c r="A290" s="29" t="s">
        <v>31</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zoomScale="85" zoomScaleNormal="85" zoomScalePageLayoutView="0" workbookViewId="0" topLeftCell="A1">
      <selection activeCell="N48" sqref="N48"/>
    </sheetView>
  </sheetViews>
  <sheetFormatPr defaultColWidth="8.796875" defaultRowHeight="15.75" customHeight="1"/>
  <cols>
    <col min="1" max="2" width="3.296875" style="29" customWidth="1"/>
    <col min="3" max="3" width="31.296875" style="29" customWidth="1"/>
    <col min="4" max="4" width="2.296875" style="29" customWidth="1"/>
    <col min="5" max="5" width="15.796875" style="29" customWidth="1"/>
    <col min="6" max="6" width="2" style="29" customWidth="1"/>
    <col min="7" max="7" width="15.796875" style="29" customWidth="1"/>
    <col min="8" max="8" width="1.8984375" style="29" customWidth="1"/>
    <col min="9" max="9" width="1.796875" style="29" customWidth="1"/>
    <col min="10" max="10" width="15.796875" style="29" customWidth="1"/>
    <col min="11" max="16384" width="8.8984375" style="29" customWidth="1"/>
  </cols>
  <sheetData>
    <row r="1" spans="1:10" ht="15.75" customHeight="1">
      <c r="A1" s="139"/>
      <c r="B1" s="139"/>
      <c r="C1" s="140">
        <f>inputPrYr!D3</f>
        <v>0</v>
      </c>
      <c r="D1" s="139"/>
      <c r="E1" s="139"/>
      <c r="F1" s="139"/>
      <c r="G1" s="139"/>
      <c r="H1" s="139"/>
      <c r="I1" s="139"/>
      <c r="J1" s="139">
        <f>inputPrYr!C6</f>
        <v>0</v>
      </c>
    </row>
    <row r="2" spans="1:10" ht="15.75" customHeight="1">
      <c r="A2" s="139"/>
      <c r="B2" s="139"/>
      <c r="C2" s="139"/>
      <c r="D2" s="139"/>
      <c r="E2" s="139"/>
      <c r="F2" s="139"/>
      <c r="G2" s="139"/>
      <c r="H2" s="139"/>
      <c r="I2" s="139"/>
      <c r="J2" s="139"/>
    </row>
    <row r="3" spans="1:10" ht="15.75">
      <c r="A3" s="871" t="str">
        <f>CONCATENATE("Computation to Determine Limit for ",J1,"")</f>
        <v>Computation to Determine Limit for 0</v>
      </c>
      <c r="B3" s="872"/>
      <c r="C3" s="872"/>
      <c r="D3" s="872"/>
      <c r="E3" s="872"/>
      <c r="F3" s="872"/>
      <c r="G3" s="872"/>
      <c r="H3" s="872"/>
      <c r="I3" s="872"/>
      <c r="J3" s="872"/>
    </row>
    <row r="4" spans="1:10" ht="15.75">
      <c r="A4" s="139"/>
      <c r="B4" s="139"/>
      <c r="C4" s="139"/>
      <c r="D4" s="139"/>
      <c r="E4" s="872"/>
      <c r="F4" s="872"/>
      <c r="G4" s="872"/>
      <c r="H4" s="141"/>
      <c r="I4" s="139"/>
      <c r="J4" s="142" t="s">
        <v>175</v>
      </c>
    </row>
    <row r="5" spans="1:10" ht="15.75">
      <c r="A5" s="143" t="s">
        <v>176</v>
      </c>
      <c r="B5" s="139" t="str">
        <f>CONCATENATE("Total tax levy amount in ",J1-1," budget")</f>
        <v>Total tax levy amount in -1 budget</v>
      </c>
      <c r="C5" s="139"/>
      <c r="D5" s="139"/>
      <c r="E5" s="144"/>
      <c r="F5" s="144"/>
      <c r="G5" s="144"/>
      <c r="H5" s="145" t="s">
        <v>177</v>
      </c>
      <c r="I5" s="144" t="s">
        <v>178</v>
      </c>
      <c r="J5" s="146"/>
    </row>
    <row r="6" spans="1:10" ht="15.75">
      <c r="A6" s="143" t="s">
        <v>179</v>
      </c>
      <c r="B6" s="139" t="str">
        <f>CONCATENATE("Debt service levy in ",J1-1," budget")</f>
        <v>Debt service levy in -1 budget</v>
      </c>
      <c r="C6" s="139"/>
      <c r="D6" s="139"/>
      <c r="E6" s="144"/>
      <c r="F6" s="144"/>
      <c r="G6" s="144"/>
      <c r="H6" s="145" t="s">
        <v>180</v>
      </c>
      <c r="I6" s="144" t="s">
        <v>178</v>
      </c>
      <c r="J6" s="147"/>
    </row>
    <row r="7" spans="1:10" ht="15.75">
      <c r="A7" s="143" t="s">
        <v>204</v>
      </c>
      <c r="B7" s="139" t="s">
        <v>952</v>
      </c>
      <c r="C7" s="139"/>
      <c r="D7" s="139"/>
      <c r="E7" s="144"/>
      <c r="F7" s="144"/>
      <c r="G7" s="144"/>
      <c r="H7" s="144"/>
      <c r="I7" s="144" t="s">
        <v>178</v>
      </c>
      <c r="J7" s="148"/>
    </row>
    <row r="8" spans="1:10" ht="15.75">
      <c r="A8" s="139"/>
      <c r="B8" s="139"/>
      <c r="C8" s="139"/>
      <c r="D8" s="139"/>
      <c r="E8" s="144"/>
      <c r="F8" s="144"/>
      <c r="G8" s="144"/>
      <c r="H8" s="144"/>
      <c r="I8" s="144"/>
      <c r="J8" s="144"/>
    </row>
    <row r="9" spans="1:10" ht="15.75">
      <c r="A9" s="872" t="str">
        <f>CONCATENATE("",J1-1," Valuation Information for Valuation Adjustments")</f>
        <v>-1 Valuation Information for Valuation Adjustments</v>
      </c>
      <c r="B9" s="846"/>
      <c r="C9" s="846"/>
      <c r="D9" s="846"/>
      <c r="E9" s="846"/>
      <c r="F9" s="846"/>
      <c r="G9" s="846"/>
      <c r="H9" s="846"/>
      <c r="I9" s="846"/>
      <c r="J9" s="846"/>
    </row>
    <row r="10" spans="1:10" ht="15.75">
      <c r="A10" s="139"/>
      <c r="B10" s="139"/>
      <c r="C10" s="139"/>
      <c r="D10" s="139"/>
      <c r="E10" s="144"/>
      <c r="F10" s="144"/>
      <c r="G10" s="144"/>
      <c r="H10" s="144"/>
      <c r="I10" s="144"/>
      <c r="J10" s="144"/>
    </row>
    <row r="11" spans="1:10" ht="15.75">
      <c r="A11" s="143" t="s">
        <v>181</v>
      </c>
      <c r="B11" s="139" t="str">
        <f>CONCATENATE("New improvements for ",J1-1,":")</f>
        <v>New improvements for -1:</v>
      </c>
      <c r="C11" s="139"/>
      <c r="D11" s="139"/>
      <c r="E11" s="145"/>
      <c r="F11" s="145" t="s">
        <v>177</v>
      </c>
      <c r="G11" s="149"/>
      <c r="H11" s="150"/>
      <c r="I11" s="144"/>
      <c r="J11" s="144"/>
    </row>
    <row r="12" spans="1:10" ht="15.75">
      <c r="A12" s="143"/>
      <c r="B12" s="151"/>
      <c r="C12" s="139"/>
      <c r="D12" s="139"/>
      <c r="E12" s="145"/>
      <c r="F12" s="145"/>
      <c r="G12" s="150"/>
      <c r="H12" s="150"/>
      <c r="I12" s="144"/>
      <c r="J12" s="144"/>
    </row>
    <row r="13" spans="1:12" ht="15.75">
      <c r="A13" s="143" t="s">
        <v>182</v>
      </c>
      <c r="B13" s="139" t="str">
        <f>CONCATENATE("Increase in personal property for ",J1-1,":")</f>
        <v>Increase in personal property for -1:</v>
      </c>
      <c r="C13" s="139"/>
      <c r="D13" s="139"/>
      <c r="E13" s="145"/>
      <c r="F13" s="145"/>
      <c r="G13" s="150"/>
      <c r="H13" s="150"/>
      <c r="I13" s="144"/>
      <c r="J13" s="144"/>
      <c r="L13" s="841"/>
    </row>
    <row r="14" spans="1:10" ht="15.75">
      <c r="A14" s="152"/>
      <c r="B14" s="139" t="s">
        <v>183</v>
      </c>
      <c r="C14" s="139" t="str">
        <f>CONCATENATE("Personal property ",J1-1,"")</f>
        <v>Personal property -1</v>
      </c>
      <c r="D14" s="151" t="s">
        <v>177</v>
      </c>
      <c r="E14" s="149"/>
      <c r="F14" s="145"/>
      <c r="G14" s="144"/>
      <c r="H14" s="144"/>
      <c r="I14" s="150"/>
      <c r="J14" s="144"/>
    </row>
    <row r="15" spans="1:10" ht="15.75">
      <c r="A15" s="151"/>
      <c r="B15" s="139" t="s">
        <v>184</v>
      </c>
      <c r="C15" s="139" t="str">
        <f>CONCATENATE("Personal property ",J1-2,"")</f>
        <v>Personal property -2</v>
      </c>
      <c r="D15" s="151" t="s">
        <v>180</v>
      </c>
      <c r="E15" s="153"/>
      <c r="F15" s="145"/>
      <c r="G15" s="150"/>
      <c r="H15" s="150"/>
      <c r="I15" s="144"/>
      <c r="J15" s="144"/>
    </row>
    <row r="16" spans="1:10" ht="15.75">
      <c r="A16" s="151"/>
      <c r="B16" s="139" t="s">
        <v>185</v>
      </c>
      <c r="C16" s="139" t="s">
        <v>953</v>
      </c>
      <c r="D16" s="139"/>
      <c r="E16" s="144"/>
      <c r="F16" s="144" t="s">
        <v>177</v>
      </c>
      <c r="G16" s="146"/>
      <c r="H16" s="150"/>
      <c r="I16" s="144"/>
      <c r="J16" s="144"/>
    </row>
    <row r="17" spans="1:10" ht="15.75">
      <c r="A17" s="151"/>
      <c r="B17" s="151"/>
      <c r="C17" s="139"/>
      <c r="D17" s="139"/>
      <c r="E17" s="144"/>
      <c r="F17" s="144"/>
      <c r="G17" s="150" t="s">
        <v>198</v>
      </c>
      <c r="H17" s="150"/>
      <c r="I17" s="144"/>
      <c r="J17" s="144"/>
    </row>
    <row r="18" spans="1:10" ht="15.75">
      <c r="A18" s="151" t="s">
        <v>186</v>
      </c>
      <c r="B18" s="139" t="str">
        <f>CONCATENATE("Valuation of annexed territory for ",J1-1,"")</f>
        <v>Valuation of annexed territory for -1</v>
      </c>
      <c r="C18" s="139"/>
      <c r="D18" s="139"/>
      <c r="E18" s="150"/>
      <c r="F18" s="144"/>
      <c r="G18" s="144"/>
      <c r="H18" s="144"/>
      <c r="I18" s="144"/>
      <c r="J18" s="144"/>
    </row>
    <row r="19" spans="1:10" ht="15.75">
      <c r="A19" s="151"/>
      <c r="B19" s="139" t="s">
        <v>187</v>
      </c>
      <c r="C19" s="139" t="s">
        <v>954</v>
      </c>
      <c r="D19" s="151" t="s">
        <v>177</v>
      </c>
      <c r="E19" s="149"/>
      <c r="F19" s="144"/>
      <c r="G19" s="144"/>
      <c r="H19" s="144"/>
      <c r="I19" s="144"/>
      <c r="J19" s="144"/>
    </row>
    <row r="20" spans="1:10" ht="15.75">
      <c r="A20" s="151"/>
      <c r="B20" s="139" t="s">
        <v>188</v>
      </c>
      <c r="C20" s="139" t="s">
        <v>955</v>
      </c>
      <c r="D20" s="151" t="s">
        <v>177</v>
      </c>
      <c r="E20" s="149"/>
      <c r="F20" s="144"/>
      <c r="G20" s="150"/>
      <c r="H20" s="150"/>
      <c r="I20" s="144"/>
      <c r="J20" s="144"/>
    </row>
    <row r="21" spans="1:13" ht="15.75">
      <c r="A21" s="151"/>
      <c r="B21" s="139" t="s">
        <v>189</v>
      </c>
      <c r="C21" s="139" t="s">
        <v>956</v>
      </c>
      <c r="D21" s="151" t="s">
        <v>180</v>
      </c>
      <c r="E21" s="149"/>
      <c r="F21" s="144"/>
      <c r="G21" s="150"/>
      <c r="H21" s="150"/>
      <c r="I21" s="144"/>
      <c r="J21" s="144"/>
      <c r="M21" s="841"/>
    </row>
    <row r="22" spans="1:10" ht="15.75">
      <c r="A22" s="151"/>
      <c r="B22" s="139" t="s">
        <v>190</v>
      </c>
      <c r="C22" s="139" t="s">
        <v>957</v>
      </c>
      <c r="D22" s="151"/>
      <c r="E22" s="150"/>
      <c r="F22" s="144" t="s">
        <v>177</v>
      </c>
      <c r="G22" s="146"/>
      <c r="H22" s="150"/>
      <c r="I22" s="144"/>
      <c r="J22" s="144"/>
    </row>
    <row r="23" spans="1:10" ht="15.75">
      <c r="A23" s="151"/>
      <c r="B23" s="151"/>
      <c r="C23" s="139"/>
      <c r="D23" s="151"/>
      <c r="E23" s="150"/>
      <c r="F23" s="144"/>
      <c r="G23" s="150"/>
      <c r="H23" s="150"/>
      <c r="I23" s="144"/>
      <c r="J23" s="144"/>
    </row>
    <row r="24" spans="1:10" ht="15.75">
      <c r="A24" s="151" t="s">
        <v>191</v>
      </c>
      <c r="B24" s="139" t="str">
        <f>CONCATENATE("Valuation of property that has changed in use during ",J1-1,"")</f>
        <v>Valuation of property that has changed in use during -1</v>
      </c>
      <c r="C24" s="139"/>
      <c r="D24" s="139"/>
      <c r="E24" s="144"/>
      <c r="F24" s="144"/>
      <c r="G24" s="73"/>
      <c r="H24" s="144"/>
      <c r="I24" s="144"/>
      <c r="J24" s="144"/>
    </row>
    <row r="25" spans="1:10" ht="15.75">
      <c r="A25" s="139" t="s">
        <v>79</v>
      </c>
      <c r="B25" s="139"/>
      <c r="C25" s="139"/>
      <c r="D25" s="151"/>
      <c r="E25" s="150"/>
      <c r="F25" s="144"/>
      <c r="G25" s="154"/>
      <c r="H25" s="150"/>
      <c r="I25" s="144"/>
      <c r="J25" s="144"/>
    </row>
    <row r="26" spans="1:10" ht="15.75">
      <c r="A26" s="151" t="s">
        <v>192</v>
      </c>
      <c r="B26" s="139" t="s">
        <v>958</v>
      </c>
      <c r="C26" s="139"/>
      <c r="D26" s="139"/>
      <c r="E26" s="144"/>
      <c r="F26" s="144"/>
      <c r="G26" s="146"/>
      <c r="H26" s="150"/>
      <c r="I26" s="144"/>
      <c r="J26" s="144"/>
    </row>
    <row r="27" spans="1:10" ht="15.75">
      <c r="A27" s="151"/>
      <c r="B27" s="151"/>
      <c r="C27" s="139"/>
      <c r="D27" s="139"/>
      <c r="E27" s="144"/>
      <c r="F27" s="144"/>
      <c r="G27" s="150"/>
      <c r="H27" s="150"/>
      <c r="I27" s="144"/>
      <c r="J27" s="144"/>
    </row>
    <row r="28" spans="1:10" ht="15.75">
      <c r="A28" s="151" t="s">
        <v>193</v>
      </c>
      <c r="B28" s="139" t="str">
        <f>CONCATENATE("Total estimated valuation July 1,",J1-1,"")</f>
        <v>Total estimated valuation July 1,-1</v>
      </c>
      <c r="C28" s="139"/>
      <c r="D28" s="139"/>
      <c r="E28" s="146"/>
      <c r="F28" s="144"/>
      <c r="G28" s="144"/>
      <c r="H28" s="144"/>
      <c r="I28" s="145"/>
      <c r="J28" s="144"/>
    </row>
    <row r="29" spans="1:10" ht="15.75">
      <c r="A29" s="151"/>
      <c r="B29" s="151"/>
      <c r="C29" s="139"/>
      <c r="D29" s="139"/>
      <c r="E29" s="150"/>
      <c r="F29" s="144"/>
      <c r="G29" s="144"/>
      <c r="H29" s="144"/>
      <c r="I29" s="145"/>
      <c r="J29" s="144"/>
    </row>
    <row r="30" spans="1:10" ht="15.75">
      <c r="A30" s="151" t="s">
        <v>194</v>
      </c>
      <c r="B30" s="139" t="s">
        <v>959</v>
      </c>
      <c r="C30" s="139"/>
      <c r="D30" s="139"/>
      <c r="E30" s="144"/>
      <c r="F30" s="144"/>
      <c r="G30" s="146"/>
      <c r="H30" s="150"/>
      <c r="I30" s="145"/>
      <c r="J30" s="144"/>
    </row>
    <row r="31" spans="1:10" ht="15.75">
      <c r="A31" s="151"/>
      <c r="B31" s="151"/>
      <c r="C31" s="139"/>
      <c r="D31" s="139"/>
      <c r="E31" s="139"/>
      <c r="F31" s="139"/>
      <c r="G31" s="155"/>
      <c r="H31" s="156"/>
      <c r="I31" s="151"/>
      <c r="J31" s="139"/>
    </row>
    <row r="32" spans="1:10" ht="15.75">
      <c r="A32" s="151" t="s">
        <v>195</v>
      </c>
      <c r="B32" s="139" t="s">
        <v>960</v>
      </c>
      <c r="C32" s="139"/>
      <c r="D32" s="139"/>
      <c r="E32" s="139"/>
      <c r="F32" s="139"/>
      <c r="G32" s="157"/>
      <c r="H32" s="156"/>
      <c r="I32" s="139"/>
      <c r="J32" s="139"/>
    </row>
    <row r="33" spans="1:10" ht="15.75">
      <c r="A33" s="151"/>
      <c r="B33" s="151"/>
      <c r="C33" s="139"/>
      <c r="D33" s="139"/>
      <c r="E33" s="139"/>
      <c r="F33" s="139"/>
      <c r="G33" s="156"/>
      <c r="H33" s="156"/>
      <c r="I33" s="139"/>
      <c r="J33" s="139"/>
    </row>
    <row r="34" spans="1:10" ht="15.75">
      <c r="A34" s="151" t="s">
        <v>196</v>
      </c>
      <c r="B34" s="139" t="s">
        <v>961</v>
      </c>
      <c r="C34" s="139"/>
      <c r="D34" s="139"/>
      <c r="E34" s="139"/>
      <c r="F34" s="139"/>
      <c r="G34" s="156"/>
      <c r="H34" s="158" t="s">
        <v>177</v>
      </c>
      <c r="I34" s="139" t="s">
        <v>178</v>
      </c>
      <c r="J34" s="146"/>
    </row>
    <row r="35" spans="1:10" ht="15.75">
      <c r="A35" s="151"/>
      <c r="B35" s="151"/>
      <c r="C35" s="139"/>
      <c r="D35" s="139"/>
      <c r="E35" s="139"/>
      <c r="F35" s="139"/>
      <c r="G35" s="156"/>
      <c r="H35" s="158"/>
      <c r="I35" s="139"/>
      <c r="J35" s="150"/>
    </row>
    <row r="36" spans="1:10" ht="16.5" thickBot="1">
      <c r="A36" s="151" t="s">
        <v>197</v>
      </c>
      <c r="B36" s="139" t="str">
        <f>CONCATENATE(J1," budget tax levy, excluding debt service, prior to CPI adjustment (3 plus 12)")</f>
        <v>0 budget tax levy, excluding debt service, prior to CPI adjustment (3 plus 12)</v>
      </c>
      <c r="C36" s="139"/>
      <c r="D36" s="139"/>
      <c r="E36" s="139"/>
      <c r="F36" s="139"/>
      <c r="G36" s="139"/>
      <c r="H36" s="139"/>
      <c r="I36" s="139" t="s">
        <v>178</v>
      </c>
      <c r="J36" s="159"/>
    </row>
    <row r="37" spans="1:10" ht="16.5" thickTop="1">
      <c r="A37" s="139"/>
      <c r="B37" s="139"/>
      <c r="C37" s="139"/>
      <c r="D37" s="139"/>
      <c r="E37" s="139"/>
      <c r="F37" s="139"/>
      <c r="G37" s="139"/>
      <c r="H37" s="139"/>
      <c r="I37" s="139"/>
      <c r="J37" s="139"/>
    </row>
    <row r="38" spans="1:10" ht="15.75">
      <c r="A38" s="151" t="s">
        <v>208</v>
      </c>
      <c r="B38" s="139" t="str">
        <f>CONCATENATE("Debt service levy in this ",J1," budget")</f>
        <v>Debt service levy in this 0 budget</v>
      </c>
      <c r="C38" s="139"/>
      <c r="D38" s="139"/>
      <c r="E38" s="139"/>
      <c r="F38" s="139"/>
      <c r="G38" s="139"/>
      <c r="H38" s="139"/>
      <c r="I38" s="139"/>
      <c r="J38" s="160"/>
    </row>
    <row r="39" spans="1:10" ht="15.75">
      <c r="A39" s="151"/>
      <c r="B39" s="139"/>
      <c r="C39" s="139"/>
      <c r="D39" s="139"/>
      <c r="E39" s="139"/>
      <c r="F39" s="139"/>
      <c r="G39" s="139"/>
      <c r="H39" s="139"/>
      <c r="I39" s="139"/>
      <c r="J39" s="156"/>
    </row>
    <row r="40" spans="1:10" ht="16.5" thickBot="1">
      <c r="A40" s="151" t="s">
        <v>209</v>
      </c>
      <c r="B40" s="139" t="str">
        <f>CONCATENATE(J1," budget tax levy, including debt service, prior to CPI adjustment (13 plus 14)")</f>
        <v>0 budget tax levy, including debt service, prior to CPI adjustment (13 plus 14)</v>
      </c>
      <c r="C40" s="139"/>
      <c r="D40" s="139"/>
      <c r="E40" s="139"/>
      <c r="F40" s="139"/>
      <c r="G40" s="139"/>
      <c r="H40" s="139"/>
      <c r="I40" s="139"/>
      <c r="J40" s="159"/>
    </row>
    <row r="41" spans="1:10" ht="16.5" thickTop="1">
      <c r="A41" s="712"/>
      <c r="B41" s="711"/>
      <c r="C41" s="711"/>
      <c r="D41" s="711"/>
      <c r="E41" s="711"/>
      <c r="F41" s="711"/>
      <c r="G41" s="711"/>
      <c r="H41" s="711"/>
      <c r="I41" s="711"/>
      <c r="J41" s="709"/>
    </row>
    <row r="42" spans="1:10" ht="15.75">
      <c r="A42" s="714" t="s">
        <v>947</v>
      </c>
      <c r="B42" s="711" t="str">
        <f>CONCATENATE("Consumer Price Index for all urban consumers for calendar year ",J1-2)</f>
        <v>Consumer Price Index for all urban consumers for calendar year -2</v>
      </c>
      <c r="C42" s="711"/>
      <c r="D42" s="711"/>
      <c r="E42" s="711"/>
      <c r="F42" s="711"/>
      <c r="G42" s="711"/>
      <c r="H42" s="711"/>
      <c r="I42" s="711"/>
      <c r="J42" s="842">
        <v>0.014</v>
      </c>
    </row>
    <row r="43" spans="1:10" ht="15.75">
      <c r="A43" s="714"/>
      <c r="B43" s="711"/>
      <c r="C43" s="711"/>
      <c r="D43" s="711"/>
      <c r="E43" s="711"/>
      <c r="F43" s="711"/>
      <c r="G43" s="711"/>
      <c r="H43" s="711"/>
      <c r="I43" s="711"/>
      <c r="J43" s="715"/>
    </row>
    <row r="44" spans="1:10" ht="15.75">
      <c r="A44" s="714" t="s">
        <v>948</v>
      </c>
      <c r="B44" s="711" t="s">
        <v>949</v>
      </c>
      <c r="C44" s="711"/>
      <c r="D44" s="711"/>
      <c r="E44" s="711"/>
      <c r="F44" s="711"/>
      <c r="G44" s="711"/>
      <c r="H44" s="711"/>
      <c r="I44" s="710" t="s">
        <v>178</v>
      </c>
      <c r="J44" s="708"/>
    </row>
    <row r="45" spans="1:10" ht="15.75">
      <c r="A45" s="712"/>
      <c r="B45" s="711"/>
      <c r="C45" s="711"/>
      <c r="D45" s="711"/>
      <c r="E45" s="711"/>
      <c r="F45" s="711"/>
      <c r="G45" s="711"/>
      <c r="H45" s="711"/>
      <c r="I45" s="711"/>
      <c r="J45" s="709"/>
    </row>
    <row r="46" spans="1:10" ht="15.75">
      <c r="A46" s="712" t="s">
        <v>950</v>
      </c>
      <c r="B46" s="711" t="str">
        <f>CONCATENATE("Maximum levy for budget year ",J1,", including debt service, not requiring 'notice of vote publication'")</f>
        <v>Maximum levy for budget year 0, including debt service, not requiring 'notice of vote publication'</v>
      </c>
      <c r="C46" s="711"/>
      <c r="D46" s="711"/>
      <c r="E46" s="711"/>
      <c r="F46" s="711"/>
      <c r="G46" s="711"/>
      <c r="H46" s="711"/>
      <c r="I46" s="711"/>
      <c r="J46" s="707"/>
    </row>
    <row r="47" spans="1:10" ht="19.5" thickBot="1">
      <c r="A47" s="706"/>
      <c r="B47" s="710" t="s">
        <v>1029</v>
      </c>
      <c r="C47" s="706"/>
      <c r="D47" s="706"/>
      <c r="E47" s="706"/>
      <c r="F47" s="706"/>
      <c r="G47" s="706"/>
      <c r="H47" s="706"/>
      <c r="I47" s="710" t="s">
        <v>178</v>
      </c>
      <c r="J47" s="713"/>
    </row>
    <row r="48" spans="1:10" ht="19.5" thickTop="1">
      <c r="A48" s="706"/>
      <c r="B48" s="716"/>
      <c r="C48" s="706"/>
      <c r="D48" s="706"/>
      <c r="E48" s="706"/>
      <c r="F48" s="706"/>
      <c r="G48" s="706"/>
      <c r="H48" s="706"/>
      <c r="I48" s="710"/>
      <c r="J48" s="709"/>
    </row>
    <row r="49" spans="1:10" ht="18.75">
      <c r="A49" s="706"/>
      <c r="B49" s="716"/>
      <c r="C49" s="706"/>
      <c r="D49" s="706"/>
      <c r="E49" s="706"/>
      <c r="F49" s="706"/>
      <c r="G49" s="706"/>
      <c r="H49" s="706"/>
      <c r="I49" s="710"/>
      <c r="J49" s="709"/>
    </row>
    <row r="50" spans="1:10" ht="15" customHeight="1">
      <c r="A50" s="874" t="str">
        <f>CONCATENATE("If the ",J1," adopted budget includes a total property tax levy exceeding the dollar amount in line 18")</f>
        <v>If the 0 adopted budget includes a total property tax levy exceeding the dollar amount in line 18</v>
      </c>
      <c r="B50" s="874"/>
      <c r="C50" s="874"/>
      <c r="D50" s="874"/>
      <c r="E50" s="874"/>
      <c r="F50" s="874"/>
      <c r="G50" s="874"/>
      <c r="H50" s="874"/>
      <c r="I50" s="874"/>
      <c r="J50" s="874"/>
    </row>
    <row r="51" spans="1:10" ht="31.5" customHeight="1">
      <c r="A51" s="873" t="s">
        <v>1030</v>
      </c>
      <c r="B51" s="873"/>
      <c r="C51" s="873"/>
      <c r="D51" s="873"/>
      <c r="E51" s="873"/>
      <c r="F51" s="873"/>
      <c r="G51" s="873"/>
      <c r="H51" s="873"/>
      <c r="I51" s="873"/>
      <c r="J51" s="873"/>
    </row>
    <row r="52" spans="1:10" ht="15" customHeight="1">
      <c r="A52" s="870" t="s">
        <v>951</v>
      </c>
      <c r="B52" s="870"/>
      <c r="C52" s="870"/>
      <c r="D52" s="870"/>
      <c r="E52" s="870"/>
      <c r="F52" s="870"/>
      <c r="G52" s="870"/>
      <c r="H52" s="870"/>
      <c r="I52" s="870"/>
      <c r="J52" s="870"/>
    </row>
    <row r="53" spans="1:10" ht="15" customHeight="1">
      <c r="A53" s="870" t="s">
        <v>1036</v>
      </c>
      <c r="B53" s="870"/>
      <c r="C53" s="870"/>
      <c r="D53" s="870"/>
      <c r="E53" s="870"/>
      <c r="F53" s="870"/>
      <c r="G53" s="870"/>
      <c r="H53" s="870"/>
      <c r="I53" s="870"/>
      <c r="J53" s="870"/>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Q102" sqref="Q102"/>
    </sheetView>
  </sheetViews>
  <sheetFormatPr defaultColWidth="8.796875" defaultRowHeight="15"/>
  <cols>
    <col min="1" max="1" width="8.8984375" style="41" customWidth="1"/>
    <col min="2" max="2" width="17.8984375" style="41" customWidth="1"/>
    <col min="3" max="3" width="16.09765625" style="41" customWidth="1"/>
    <col min="4" max="8" width="12.796875" style="41" customWidth="1"/>
    <col min="9" max="9" width="10.19921875" style="41" customWidth="1"/>
    <col min="10" max="16384" width="8.8984375" style="41" customWidth="1"/>
  </cols>
  <sheetData>
    <row r="1" spans="1:9" ht="15.75">
      <c r="A1" s="658"/>
      <c r="B1" s="161">
        <f>inputPrYr!D3</f>
        <v>0</v>
      </c>
      <c r="C1" s="161"/>
      <c r="D1" s="43"/>
      <c r="E1" s="43"/>
      <c r="F1" s="43"/>
      <c r="G1" s="43"/>
      <c r="H1" s="43"/>
      <c r="I1" s="43">
        <f>inputPrYr!C6</f>
        <v>0</v>
      </c>
    </row>
    <row r="2" spans="1:9" ht="15.75">
      <c r="A2" s="658"/>
      <c r="B2" s="43"/>
      <c r="C2" s="43"/>
      <c r="D2" s="43"/>
      <c r="E2" s="43"/>
      <c r="F2" s="43"/>
      <c r="G2" s="43"/>
      <c r="H2" s="43"/>
      <c r="I2" s="43"/>
    </row>
    <row r="3" spans="1:9" ht="15.75">
      <c r="A3" s="878" t="s">
        <v>1024</v>
      </c>
      <c r="B3" s="846"/>
      <c r="C3" s="846"/>
      <c r="D3" s="846"/>
      <c r="E3" s="846"/>
      <c r="F3" s="846"/>
      <c r="G3" s="846"/>
      <c r="H3" s="846"/>
      <c r="I3" s="846"/>
    </row>
    <row r="4" spans="1:9" ht="15.75">
      <c r="A4" s="658"/>
      <c r="B4" s="43"/>
      <c r="C4" s="162"/>
      <c r="D4" s="783"/>
      <c r="E4" s="783"/>
      <c r="F4" s="43"/>
      <c r="G4" s="43"/>
      <c r="H4" s="43"/>
      <c r="I4" s="63"/>
    </row>
    <row r="5" spans="1:10" ht="21" customHeight="1">
      <c r="A5" s="658"/>
      <c r="B5" s="163" t="s">
        <v>265</v>
      </c>
      <c r="C5" s="789" t="s">
        <v>1013</v>
      </c>
      <c r="D5" s="875" t="str">
        <f>CONCATENATE("Allocation for Year ",I1,"")</f>
        <v>Allocation for Year 0</v>
      </c>
      <c r="E5" s="876"/>
      <c r="F5" s="876"/>
      <c r="G5" s="876"/>
      <c r="H5" s="877"/>
      <c r="I5" s="43"/>
      <c r="J5" s="577"/>
    </row>
    <row r="6" spans="1:9" ht="15.75">
      <c r="A6" s="658"/>
      <c r="B6" s="164" t="str">
        <f>CONCATENATE("for ",I1-1,"")</f>
        <v>for -1</v>
      </c>
      <c r="C6" s="164" t="str">
        <f>CONCATENATE("Tax Year ",I1-2,"")</f>
        <v>Tax Year -2</v>
      </c>
      <c r="D6" s="115" t="s">
        <v>172</v>
      </c>
      <c r="E6" s="115" t="s">
        <v>173</v>
      </c>
      <c r="F6" s="115" t="s">
        <v>171</v>
      </c>
      <c r="G6" s="788" t="s">
        <v>1011</v>
      </c>
      <c r="H6" s="788" t="s">
        <v>1012</v>
      </c>
      <c r="I6" s="657"/>
    </row>
    <row r="7" spans="1:9" ht="15.75">
      <c r="A7" s="658"/>
      <c r="B7" s="69" t="str">
        <f>(inputPrYr!B18)</f>
        <v>General</v>
      </c>
      <c r="C7" s="118">
        <f>(inputPrYr!E18)</f>
        <v>0</v>
      </c>
      <c r="D7" s="118">
        <f>IF(inputPrYr!E18=0,0,D22-SUM(D8:D19))</f>
        <v>0</v>
      </c>
      <c r="E7" s="118">
        <f>IF(inputPrYr!E18=0,0,E23-SUM(E8:E19))</f>
        <v>0</v>
      </c>
      <c r="F7" s="118">
        <f>IF(inputPrYr!E18=0,0,F24-SUM(F8:F19))</f>
        <v>0</v>
      </c>
      <c r="G7" s="118">
        <f>IF(inputPrYr!E18=0,0,G25-SUM(G8:G19))</f>
        <v>0</v>
      </c>
      <c r="H7" s="118">
        <f>IF(inputPrYr!E18=0,0,H26-SUM(H8:H19))</f>
        <v>0</v>
      </c>
      <c r="I7" s="658"/>
    </row>
    <row r="8" spans="1:9" ht="15.75">
      <c r="A8" s="658"/>
      <c r="B8" s="69" t="str">
        <f>IF(inputPrYr!$B19&gt;"  ",(inputPrYr!$B19),"  ")</f>
        <v>Debt Service</v>
      </c>
      <c r="C8" s="118" t="str">
        <f>IF(inputPrYr!$E19&gt;0,(inputPrYr!$E19),"  ")</f>
        <v>  </v>
      </c>
      <c r="D8" s="118" t="str">
        <f>IF(inputPrYr!E19&gt;0,ROUND(C8*$D$29,0),"  ")</f>
        <v>  </v>
      </c>
      <c r="E8" s="118" t="str">
        <f>IF(inputPrYr!E19&gt;0,ROUND(+C8*E$30,0)," ")</f>
        <v> </v>
      </c>
      <c r="F8" s="118" t="str">
        <f>IF(inputPrYr!E19&gt;0,ROUND(C8*F$31,0)," ")</f>
        <v> </v>
      </c>
      <c r="G8" s="118" t="str">
        <f>IF(inputPrYr!E19&gt;0,ROUND(C8*G$32,0)," ")</f>
        <v> </v>
      </c>
      <c r="H8" s="118" t="str">
        <f>IF(inputPrYr!E19&gt;0,ROUND(C8*H$33,0)," ")</f>
        <v> </v>
      </c>
      <c r="I8" s="658"/>
    </row>
    <row r="9" spans="1:9" ht="15.75">
      <c r="A9" s="658"/>
      <c r="B9" s="69" t="str">
        <f>IF(inputPrYr!$B20&gt;"  ",(inputPrYr!$B20),"  ")</f>
        <v>Library</v>
      </c>
      <c r="C9" s="118" t="str">
        <f>IF(inputPrYr!$E20&gt;0,(inputPrYr!$E20),"  ")</f>
        <v>  </v>
      </c>
      <c r="D9" s="118" t="str">
        <f>IF(inputPrYr!E20&gt;0,ROUND(C9*$D$29,0),"  ")</f>
        <v>  </v>
      </c>
      <c r="E9" s="118" t="str">
        <f>IF(inputPrYr!E20&gt;0,ROUND(+C9*E$30,0)," ")</f>
        <v> </v>
      </c>
      <c r="F9" s="118" t="str">
        <f>IF(inputPrYr!E20&gt;0,ROUND(+C9*F$31,0)," ")</f>
        <v> </v>
      </c>
      <c r="G9" s="118" t="str">
        <f>IF(inputPrYr!E20&gt;0,ROUND(C9*G$32,0)," ")</f>
        <v> </v>
      </c>
      <c r="H9" s="118" t="str">
        <f>IF(inputPrYr!E20&gt;0,ROUND(C9*H$33,0)," ")</f>
        <v> </v>
      </c>
      <c r="I9" s="658"/>
    </row>
    <row r="10" spans="1:9" ht="15.75">
      <c r="A10" s="658"/>
      <c r="B10" s="69" t="str">
        <f>IF(inputPrYr!$B22&gt;"  ",(inputPrYr!$B22),"  ")</f>
        <v>  </v>
      </c>
      <c r="C10" s="118" t="str">
        <f>IF(inputPrYr!$E22&gt;0,(inputPrYr!$E22),"  ")</f>
        <v>  </v>
      </c>
      <c r="D10" s="118" t="str">
        <f>IF(inputPrYr!E22&gt;0,ROUND(C10*$D$29,0),"  ")</f>
        <v>  </v>
      </c>
      <c r="E10" s="118" t="str">
        <f>IF(inputPrYr!E22&gt;0,ROUND(+C10*E$30,0)," ")</f>
        <v> </v>
      </c>
      <c r="F10" s="118" t="str">
        <f>IF(inputPrYr!E22&gt;0,ROUND(+C10*F$31,0)," ")</f>
        <v> </v>
      </c>
      <c r="G10" s="118" t="str">
        <f>IF(inputPrYr!E22&gt;0,ROUND(C10*G$32,0)," ")</f>
        <v> </v>
      </c>
      <c r="H10" s="118" t="str">
        <f>IF(inputPrYr!E22&gt;0,ROUND(C10*H$33,0)," ")</f>
        <v> </v>
      </c>
      <c r="I10" s="658"/>
    </row>
    <row r="11" spans="1:9" ht="15.75">
      <c r="A11" s="658"/>
      <c r="B11" s="69" t="str">
        <f>IF(inputPrYr!$B23&gt;"  ",(inputPrYr!$B23),"  ")</f>
        <v>  </v>
      </c>
      <c r="C11" s="118" t="str">
        <f>IF(inputPrYr!$E23&gt;0,(inputPrYr!$E23),"  ")</f>
        <v>  </v>
      </c>
      <c r="D11" s="118" t="str">
        <f>IF(inputPrYr!E23&gt;0,ROUND(C11*$D$29,0),"  ")</f>
        <v>  </v>
      </c>
      <c r="E11" s="118" t="str">
        <f>IF(inputPrYr!E23&gt;0,ROUND(+C11*E$30,0)," ")</f>
        <v> </v>
      </c>
      <c r="F11" s="118" t="str">
        <f>IF(inputPrYr!E23&gt;0,ROUND(+C11*F$31,0)," ")</f>
        <v> </v>
      </c>
      <c r="G11" s="118" t="str">
        <f>IF(inputPrYr!E23&gt;0,ROUND(C11*G$32,0)," ")</f>
        <v> </v>
      </c>
      <c r="H11" s="118" t="str">
        <f>IF(inputPrYr!E23&gt;0,ROUND(C11*H$33,0)," ")</f>
        <v> </v>
      </c>
      <c r="I11" s="658"/>
    </row>
    <row r="12" spans="1:9" ht="15.75">
      <c r="A12" s="658"/>
      <c r="B12" s="69" t="str">
        <f>IF(inputPrYr!$B24&gt;"  ",(inputPrYr!$B24),"  ")</f>
        <v>  </v>
      </c>
      <c r="C12" s="118" t="str">
        <f>IF(inputPrYr!$E24&gt;0,(inputPrYr!$E24),"  ")</f>
        <v>  </v>
      </c>
      <c r="D12" s="118" t="str">
        <f>IF(inputPrYr!E24&gt;0,ROUND(C12*$D$29,0),"  ")</f>
        <v>  </v>
      </c>
      <c r="E12" s="118" t="str">
        <f>IF(inputPrYr!E24&gt;0,ROUND(+C12*E$30,0)," ")</f>
        <v> </v>
      </c>
      <c r="F12" s="118" t="str">
        <f>IF(inputPrYr!E24&gt;0,ROUND(+C12*F$31,0)," ")</f>
        <v> </v>
      </c>
      <c r="G12" s="118" t="str">
        <f>IF(inputPrYr!E24&gt;0,ROUND(C12*G$32,0)," ")</f>
        <v> </v>
      </c>
      <c r="H12" s="118" t="str">
        <f>IF(inputPrYr!E24&gt;0,ROUND(C12*H$33,0)," ")</f>
        <v> </v>
      </c>
      <c r="I12" s="658"/>
    </row>
    <row r="13" spans="1:9" ht="15.75">
      <c r="A13" s="658"/>
      <c r="B13" s="69" t="str">
        <f>IF(inputPrYr!$B25&gt;"  ",(inputPrYr!$B25),"  ")</f>
        <v>  </v>
      </c>
      <c r="C13" s="118" t="str">
        <f>IF(inputPrYr!$E25&gt;0,(inputPrYr!$E25),"  ")</f>
        <v>  </v>
      </c>
      <c r="D13" s="118" t="str">
        <f>IF(inputPrYr!E25&gt;0,ROUND(C13*$D$29,0),"  ")</f>
        <v>  </v>
      </c>
      <c r="E13" s="118" t="str">
        <f>IF(inputPrYr!E25&gt;0,ROUND(+C13*E$30,0)," ")</f>
        <v> </v>
      </c>
      <c r="F13" s="118" t="str">
        <f>IF(inputPrYr!E25&gt;0,ROUND(+C13*F$31,0)," ")</f>
        <v> </v>
      </c>
      <c r="G13" s="118" t="str">
        <f>IF(inputPrYr!E25&gt;0,ROUND(C13*G$32,0)," ")</f>
        <v> </v>
      </c>
      <c r="H13" s="118" t="str">
        <f>IF(inputPrYr!E25&gt;0,ROUND(C13*H$33,0)," ")</f>
        <v> </v>
      </c>
      <c r="I13" s="658"/>
    </row>
    <row r="14" spans="1:9" ht="15.75">
      <c r="A14" s="658"/>
      <c r="B14" s="69" t="str">
        <f>IF(inputPrYr!$B26&gt;"  ",(inputPrYr!$B26),"  ")</f>
        <v>  </v>
      </c>
      <c r="C14" s="118" t="str">
        <f>IF(inputPrYr!$E26&gt;0,(inputPrYr!$E26),"  ")</f>
        <v>  </v>
      </c>
      <c r="D14" s="118" t="str">
        <f>IF(inputPrYr!E26&gt;0,ROUND(C14*$D$29,0),"  ")</f>
        <v>  </v>
      </c>
      <c r="E14" s="118" t="str">
        <f>IF(inputPrYr!E26&gt;0,ROUND(+C14*E$30,0)," ")</f>
        <v> </v>
      </c>
      <c r="F14" s="118" t="str">
        <f>IF(inputPrYr!E26&gt;0,ROUND(+C14*F$31,0)," ")</f>
        <v> </v>
      </c>
      <c r="G14" s="118" t="str">
        <f>IF(inputPrYr!E26&gt;0,ROUND(C14*G$32,0)," ")</f>
        <v> </v>
      </c>
      <c r="H14" s="118" t="str">
        <f>IF(inputPrYr!E26&gt;0,ROUND(C14*H$33,0)," ")</f>
        <v> </v>
      </c>
      <c r="I14" s="658"/>
    </row>
    <row r="15" spans="1:9" ht="15.75">
      <c r="A15" s="658"/>
      <c r="B15" s="69" t="str">
        <f>IF(inputPrYr!$B27&gt;"  ",(inputPrYr!$B27),"  ")</f>
        <v>  </v>
      </c>
      <c r="C15" s="118" t="str">
        <f>IF(inputPrYr!$E27&gt;0,(inputPrYr!$E27),"  ")</f>
        <v>  </v>
      </c>
      <c r="D15" s="118" t="str">
        <f>IF(inputPrYr!E27&gt;0,ROUND(C15*$D$29,0),"  ")</f>
        <v>  </v>
      </c>
      <c r="E15" s="118" t="str">
        <f>IF(inputPrYr!E27&gt;0,ROUND(+C15*E$30,0)," ")</f>
        <v> </v>
      </c>
      <c r="F15" s="118" t="str">
        <f>IF(inputPrYr!E27&gt;0,ROUND(+C15*F$31,0)," ")</f>
        <v> </v>
      </c>
      <c r="G15" s="118" t="str">
        <f>IF(inputPrYr!E27&gt;0,ROUND(C15*G$32,0)," ")</f>
        <v> </v>
      </c>
      <c r="H15" s="118" t="str">
        <f>IF(inputPrYr!E27&gt;0,ROUND(C15*H$33,0)," ")</f>
        <v> </v>
      </c>
      <c r="I15" s="658"/>
    </row>
    <row r="16" spans="1:9" ht="15.75">
      <c r="A16" s="658"/>
      <c r="B16" s="69" t="str">
        <f>IF(inputPrYr!$B28&gt;"  ",(inputPrYr!$B28),"  ")</f>
        <v>  </v>
      </c>
      <c r="C16" s="118" t="str">
        <f>IF(inputPrYr!$E28&gt;0,(inputPrYr!$E28),"  ")</f>
        <v>  </v>
      </c>
      <c r="D16" s="118" t="str">
        <f>IF(inputPrYr!E28&gt;0,ROUND(C16*$D$29,0),"  ")</f>
        <v>  </v>
      </c>
      <c r="E16" s="118" t="str">
        <f>IF(inputPrYr!E28&gt;0,ROUND(+C16*E$30,0)," ")</f>
        <v> </v>
      </c>
      <c r="F16" s="118" t="str">
        <f>IF(inputPrYr!E28&gt;0,ROUND(+C16*F$31,0)," ")</f>
        <v> </v>
      </c>
      <c r="G16" s="118" t="str">
        <f>IF(inputPrYr!E28&gt;0,ROUND(C16*G$32,0)," ")</f>
        <v> </v>
      </c>
      <c r="H16" s="118" t="str">
        <f>IF(inputPrYr!E28&gt;0,ROUND(C16*H$33,0)," ")</f>
        <v> </v>
      </c>
      <c r="I16" s="658"/>
    </row>
    <row r="17" spans="1:9" ht="15.75">
      <c r="A17" s="658"/>
      <c r="B17" s="69" t="str">
        <f>IF(inputPrYr!$B29&gt;"  ",(inputPrYr!$B29),"  ")</f>
        <v>  </v>
      </c>
      <c r="C17" s="118" t="str">
        <f>IF(inputPrYr!$E29&gt;0,(inputPrYr!$E29),"  ")</f>
        <v>  </v>
      </c>
      <c r="D17" s="118" t="str">
        <f>IF(inputPrYr!E29&gt;0,ROUND(C17*$D$29,0),"  ")</f>
        <v>  </v>
      </c>
      <c r="E17" s="118" t="str">
        <f>IF(inputPrYr!E29&gt;0,ROUND(+C17*E$30,0)," ")</f>
        <v> </v>
      </c>
      <c r="F17" s="118" t="str">
        <f>IF(inputPrYr!E29&gt;0,ROUND(+C17*F$31,0)," ")</f>
        <v> </v>
      </c>
      <c r="G17" s="118" t="str">
        <f>IF(inputPrYr!E29&gt;0,ROUND(C17*G$32,0)," ")</f>
        <v> </v>
      </c>
      <c r="H17" s="118" t="str">
        <f>IF(inputPrYr!E29&gt;0,ROUND(C17*H$33,0)," ")</f>
        <v> </v>
      </c>
      <c r="I17" s="658"/>
    </row>
    <row r="18" spans="1:9" ht="15.75">
      <c r="A18" s="658"/>
      <c r="B18" s="69" t="str">
        <f>IF(inputPrYr!$B30&gt;"  ",(inputPrYr!$B30),"  ")</f>
        <v>  </v>
      </c>
      <c r="C18" s="118" t="str">
        <f>IF(inputPrYr!$E30&gt;0,(inputPrYr!$E30),"  ")</f>
        <v>  </v>
      </c>
      <c r="D18" s="118" t="str">
        <f>IF(inputPrYr!E30&gt;0,ROUND(C18*$D$29,0),"  ")</f>
        <v>  </v>
      </c>
      <c r="E18" s="118" t="str">
        <f>IF(inputPrYr!E30&gt;0,ROUND(+C18*E$30,0)," ")</f>
        <v> </v>
      </c>
      <c r="F18" s="118" t="str">
        <f>IF(inputPrYr!E30&gt;0,ROUND(+C18*F$31,0)," ")</f>
        <v> </v>
      </c>
      <c r="G18" s="118" t="str">
        <f>IF(inputPrYr!E30&gt;0,ROUND(C18*G$32,0)," ")</f>
        <v> </v>
      </c>
      <c r="H18" s="118" t="str">
        <f>IF(inputPrYr!E30&gt;0,ROUND(C18*H$33,0)," ")</f>
        <v> </v>
      </c>
      <c r="I18" s="658"/>
    </row>
    <row r="19" spans="1:9" ht="15.75">
      <c r="A19" s="658"/>
      <c r="B19" s="69" t="str">
        <f>IF(inputPrYr!B31&gt;"  ",(inputPrYr!B31),"  ")</f>
        <v>  </v>
      </c>
      <c r="C19" s="118" t="str">
        <f>IF(inputPrYr!E31&gt;0,(inputPrYr!E31),"  ")</f>
        <v>  </v>
      </c>
      <c r="D19" s="118" t="str">
        <f>IF(inputPrYr!E31&gt;0,ROUND(C19*$D$29,0),"  ")</f>
        <v>  </v>
      </c>
      <c r="E19" s="118" t="str">
        <f>IF(inputPrYr!E31&gt;0,ROUND(+C19*E$30,0)," ")</f>
        <v> </v>
      </c>
      <c r="F19" s="118" t="str">
        <f>IF(inputPrYr!E31&gt;0,ROUND(+C19*F$31,0)," ")</f>
        <v> </v>
      </c>
      <c r="G19" s="118" t="str">
        <f>IF(inputPrYr!E31&gt;0,ROUND(C19*G$32,0)," ")</f>
        <v> </v>
      </c>
      <c r="H19" s="118" t="str">
        <f>IF(inputPrYr!E31&gt;0,ROUND(C19*H$33,0)," ")</f>
        <v> </v>
      </c>
      <c r="I19" s="658"/>
    </row>
    <row r="20" spans="1:9" ht="15.75">
      <c r="A20" s="658"/>
      <c r="B20" s="43" t="s">
        <v>97</v>
      </c>
      <c r="C20" s="125">
        <f aca="true" t="shared" si="0" ref="C20:H20">SUM(C7:C19)</f>
        <v>0</v>
      </c>
      <c r="D20" s="125">
        <f t="shared" si="0"/>
        <v>0</v>
      </c>
      <c r="E20" s="125">
        <f t="shared" si="0"/>
        <v>0</v>
      </c>
      <c r="F20" s="125">
        <f t="shared" si="0"/>
        <v>0</v>
      </c>
      <c r="G20" s="125">
        <f t="shared" si="0"/>
        <v>0</v>
      </c>
      <c r="H20" s="125">
        <f t="shared" si="0"/>
        <v>0</v>
      </c>
      <c r="I20" s="43"/>
    </row>
    <row r="21" spans="1:9" ht="15.75">
      <c r="A21" s="658"/>
      <c r="B21" s="43"/>
      <c r="C21" s="64"/>
      <c r="D21" s="64"/>
      <c r="E21" s="64"/>
      <c r="F21" s="64"/>
      <c r="G21" s="64"/>
      <c r="H21" s="64"/>
      <c r="I21" s="43"/>
    </row>
    <row r="22" spans="1:9" ht="15.75">
      <c r="A22" s="658"/>
      <c r="B22" s="749" t="s">
        <v>98</v>
      </c>
      <c r="C22" s="165"/>
      <c r="D22" s="166">
        <f>(inputOth!E39)</f>
        <v>0</v>
      </c>
      <c r="E22" s="165"/>
      <c r="F22" s="43"/>
      <c r="G22" s="43"/>
      <c r="H22" s="43"/>
      <c r="I22" s="43"/>
    </row>
    <row r="23" spans="1:9" ht="15.75">
      <c r="A23" s="658"/>
      <c r="B23" s="749" t="s">
        <v>1014</v>
      </c>
      <c r="C23" s="43"/>
      <c r="D23" s="43"/>
      <c r="E23" s="166">
        <f>(inputOth!E40)</f>
        <v>0</v>
      </c>
      <c r="F23" s="43"/>
      <c r="G23" s="43"/>
      <c r="H23" s="43"/>
      <c r="I23" s="43"/>
    </row>
    <row r="24" spans="1:9" ht="15.75">
      <c r="A24" s="658"/>
      <c r="B24" s="749" t="s">
        <v>1015</v>
      </c>
      <c r="C24" s="43"/>
      <c r="D24" s="43"/>
      <c r="E24" s="43"/>
      <c r="F24" s="166">
        <f>inputOth!E41</f>
        <v>0</v>
      </c>
      <c r="G24" s="64"/>
      <c r="H24" s="64"/>
      <c r="I24" s="43"/>
    </row>
    <row r="25" spans="1:9" ht="15.75">
      <c r="A25" s="658"/>
      <c r="B25" s="750" t="s">
        <v>1016</v>
      </c>
      <c r="C25" s="43"/>
      <c r="D25" s="43"/>
      <c r="E25" s="43"/>
      <c r="F25" s="64"/>
      <c r="G25" s="166">
        <f>inputOth!E42</f>
        <v>0</v>
      </c>
      <c r="H25" s="64"/>
      <c r="I25" s="43"/>
    </row>
    <row r="26" spans="1:9" ht="15.75">
      <c r="A26" s="658"/>
      <c r="B26" s="750" t="s">
        <v>1017</v>
      </c>
      <c r="C26" s="43"/>
      <c r="D26" s="43"/>
      <c r="E26" s="43"/>
      <c r="F26" s="64"/>
      <c r="G26" s="64"/>
      <c r="H26" s="166">
        <f>inputOth!E43</f>
        <v>0</v>
      </c>
      <c r="I26" s="43"/>
    </row>
    <row r="27" spans="1:9" ht="15.75">
      <c r="A27" s="658"/>
      <c r="B27" s="44"/>
      <c r="C27" s="43"/>
      <c r="D27" s="43"/>
      <c r="E27" s="43"/>
      <c r="F27" s="64"/>
      <c r="G27" s="64"/>
      <c r="H27" s="64"/>
      <c r="I27" s="43"/>
    </row>
    <row r="28" spans="1:9" ht="15.75">
      <c r="A28" s="658"/>
      <c r="B28" s="44"/>
      <c r="C28" s="43"/>
      <c r="D28" s="43"/>
      <c r="E28" s="43"/>
      <c r="F28" s="64"/>
      <c r="G28" s="64"/>
      <c r="H28" s="64"/>
      <c r="I28" s="342"/>
    </row>
    <row r="29" spans="1:9" ht="15.75">
      <c r="A29" s="658"/>
      <c r="B29" s="44" t="s">
        <v>99</v>
      </c>
      <c r="C29" s="43"/>
      <c r="D29" s="167">
        <f>IF(C20=0,0,D22/C20)</f>
        <v>0</v>
      </c>
      <c r="E29" s="43"/>
      <c r="F29" s="43"/>
      <c r="G29" s="43"/>
      <c r="H29" s="43"/>
      <c r="I29" s="43"/>
    </row>
    <row r="30" spans="1:9" ht="15.75">
      <c r="A30" s="658"/>
      <c r="B30" s="43"/>
      <c r="C30" s="44" t="s">
        <v>100</v>
      </c>
      <c r="D30" s="43"/>
      <c r="E30" s="167">
        <f>IF(C20=0,0,E23/C20)</f>
        <v>0</v>
      </c>
      <c r="F30" s="43"/>
      <c r="G30" s="43"/>
      <c r="H30" s="43"/>
      <c r="I30" s="43"/>
    </row>
    <row r="31" spans="1:9" ht="15.75">
      <c r="A31" s="658"/>
      <c r="B31" s="43"/>
      <c r="C31" s="43"/>
      <c r="D31" s="44" t="s">
        <v>174</v>
      </c>
      <c r="E31" s="43"/>
      <c r="F31" s="167">
        <f>IF(C20=0,0,F24/C20)</f>
        <v>0</v>
      </c>
      <c r="G31" s="784"/>
      <c r="H31" s="784"/>
      <c r="I31" s="43"/>
    </row>
    <row r="32" spans="1:9" ht="15.75">
      <c r="A32" s="658"/>
      <c r="B32" s="43"/>
      <c r="C32" s="43"/>
      <c r="D32" s="44"/>
      <c r="E32" s="791" t="s">
        <v>1018</v>
      </c>
      <c r="F32" s="790"/>
      <c r="G32" s="167">
        <f>IF(C20=0,0,G25/C20)</f>
        <v>0</v>
      </c>
      <c r="H32" s="784"/>
      <c r="I32" s="43"/>
    </row>
    <row r="33" spans="1:9" ht="15.75">
      <c r="A33" s="658"/>
      <c r="B33" s="43"/>
      <c r="C33" s="43"/>
      <c r="D33" s="44"/>
      <c r="E33" s="792"/>
      <c r="F33" s="791" t="s">
        <v>1019</v>
      </c>
      <c r="G33" s="784"/>
      <c r="H33" s="167">
        <f>IF(C20=0,0,H26/C20)</f>
        <v>0</v>
      </c>
      <c r="I33" s="43"/>
    </row>
    <row r="34" spans="1:9" ht="15.75">
      <c r="A34" s="658"/>
      <c r="B34" s="43"/>
      <c r="C34" s="43"/>
      <c r="D34" s="43"/>
      <c r="E34" s="43"/>
      <c r="F34" s="43"/>
      <c r="G34" s="43"/>
      <c r="H34" s="43"/>
      <c r="I34" s="43"/>
    </row>
    <row r="35" spans="1:9" ht="15.75">
      <c r="A35" s="658"/>
      <c r="B35" s="55"/>
      <c r="C35" s="55"/>
      <c r="D35" s="55"/>
      <c r="E35" s="55"/>
      <c r="F35" s="55"/>
      <c r="G35" s="55"/>
      <c r="H35" s="55"/>
      <c r="I35" s="55"/>
    </row>
  </sheetData>
  <sheetProtection sheet="1"/>
  <mergeCells count="2">
    <mergeCell ref="D5:H5"/>
    <mergeCell ref="A3:I3"/>
  </mergeCells>
  <printOptions/>
  <pageMargins left="0.5" right="0.5" top="1" bottom="0.5" header="0.5" footer="0.5"/>
  <pageSetup blackAndWhite="1" fitToHeight="1" fitToWidth="1" horizontalDpi="120" verticalDpi="120" orientation="portrait" scale="63"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R70" sqref="R70"/>
    </sheetView>
  </sheetViews>
  <sheetFormatPr defaultColWidth="8.796875" defaultRowHeight="15"/>
  <cols>
    <col min="1" max="1" width="4.19921875" style="29" customWidth="1"/>
    <col min="2" max="3" width="17.796875" style="29" customWidth="1"/>
    <col min="4" max="7" width="12.796875" style="29" customWidth="1"/>
    <col min="8" max="16384" width="8.8984375" style="29" customWidth="1"/>
  </cols>
  <sheetData>
    <row r="1" spans="2:7" ht="15.75">
      <c r="B1" s="140">
        <f>inputPrYr!D3</f>
        <v>0</v>
      </c>
      <c r="C1" s="140"/>
      <c r="D1" s="139"/>
      <c r="E1" s="139"/>
      <c r="F1" s="139"/>
      <c r="G1" s="139">
        <f>inputPrYr!$C$6</f>
        <v>0</v>
      </c>
    </row>
    <row r="2" spans="2:7" ht="15.75">
      <c r="B2" s="139"/>
      <c r="C2" s="139"/>
      <c r="D2" s="139"/>
      <c r="E2" s="139"/>
      <c r="F2" s="139"/>
      <c r="G2" s="139"/>
    </row>
    <row r="3" spans="2:7" ht="15.75">
      <c r="B3" s="879" t="s">
        <v>215</v>
      </c>
      <c r="C3" s="879"/>
      <c r="D3" s="879"/>
      <c r="E3" s="879"/>
      <c r="F3" s="879"/>
      <c r="G3" s="879"/>
    </row>
    <row r="4" spans="2:7" ht="15.75">
      <c r="B4" s="168"/>
      <c r="C4" s="168"/>
      <c r="D4" s="168"/>
      <c r="E4" s="168"/>
      <c r="F4" s="168"/>
      <c r="G4" s="168"/>
    </row>
    <row r="5" spans="2:7" ht="15.75">
      <c r="B5" s="169" t="s">
        <v>613</v>
      </c>
      <c r="C5" s="169" t="s">
        <v>614</v>
      </c>
      <c r="D5" s="169" t="s">
        <v>123</v>
      </c>
      <c r="E5" s="169" t="s">
        <v>220</v>
      </c>
      <c r="F5" s="169" t="s">
        <v>221</v>
      </c>
      <c r="G5" s="169" t="s">
        <v>257</v>
      </c>
    </row>
    <row r="6" spans="2:7" ht="15.75">
      <c r="B6" s="170" t="s">
        <v>615</v>
      </c>
      <c r="C6" s="170" t="s">
        <v>616</v>
      </c>
      <c r="D6" s="170" t="s">
        <v>258</v>
      </c>
      <c r="E6" s="170" t="s">
        <v>258</v>
      </c>
      <c r="F6" s="170" t="s">
        <v>258</v>
      </c>
      <c r="G6" s="170" t="s">
        <v>259</v>
      </c>
    </row>
    <row r="7" spans="2:7" ht="15" customHeight="1">
      <c r="B7" s="171" t="s">
        <v>260</v>
      </c>
      <c r="C7" s="171" t="s">
        <v>261</v>
      </c>
      <c r="D7" s="172">
        <f>G1-2</f>
        <v>-2</v>
      </c>
      <c r="E7" s="172">
        <f>G1-1</f>
        <v>-1</v>
      </c>
      <c r="F7" s="172">
        <f>G1</f>
        <v>0</v>
      </c>
      <c r="G7" s="171" t="s">
        <v>262</v>
      </c>
    </row>
    <row r="8" spans="2:7" ht="14.25" customHeight="1">
      <c r="B8" s="173"/>
      <c r="C8" s="173"/>
      <c r="D8" s="174"/>
      <c r="E8" s="174"/>
      <c r="F8" s="174"/>
      <c r="G8" s="175"/>
    </row>
    <row r="9" spans="2:7" ht="15" customHeight="1">
      <c r="B9" s="176"/>
      <c r="C9" s="176"/>
      <c r="D9" s="177"/>
      <c r="E9" s="177"/>
      <c r="F9" s="177"/>
      <c r="G9" s="175"/>
    </row>
    <row r="10" spans="2:7" ht="15" customHeight="1">
      <c r="B10" s="176"/>
      <c r="C10" s="176"/>
      <c r="D10" s="177"/>
      <c r="E10" s="177"/>
      <c r="F10" s="177"/>
      <c r="G10" s="175"/>
    </row>
    <row r="11" spans="2:7" ht="15" customHeight="1">
      <c r="B11" s="176"/>
      <c r="C11" s="176"/>
      <c r="D11" s="177"/>
      <c r="E11" s="177"/>
      <c r="F11" s="177"/>
      <c r="G11" s="175"/>
    </row>
    <row r="12" spans="2:7" ht="15" customHeight="1">
      <c r="B12" s="176"/>
      <c r="C12" s="176"/>
      <c r="D12" s="177"/>
      <c r="E12" s="177"/>
      <c r="F12" s="177"/>
      <c r="G12" s="175"/>
    </row>
    <row r="13" spans="2:7" ht="15" customHeight="1">
      <c r="B13" s="176"/>
      <c r="C13" s="176"/>
      <c r="D13" s="177"/>
      <c r="E13" s="177"/>
      <c r="F13" s="177"/>
      <c r="G13" s="175"/>
    </row>
    <row r="14" spans="2:7" ht="15" customHeight="1">
      <c r="B14" s="176"/>
      <c r="C14" s="176"/>
      <c r="D14" s="177"/>
      <c r="E14" s="177"/>
      <c r="F14" s="177"/>
      <c r="G14" s="175"/>
    </row>
    <row r="15" spans="2:7" ht="15" customHeight="1">
      <c r="B15" s="176"/>
      <c r="C15" s="176"/>
      <c r="D15" s="177"/>
      <c r="E15" s="177"/>
      <c r="F15" s="177"/>
      <c r="G15" s="175"/>
    </row>
    <row r="16" spans="2:7" ht="15" customHeight="1">
      <c r="B16" s="176"/>
      <c r="C16" s="176"/>
      <c r="D16" s="177"/>
      <c r="E16" s="177"/>
      <c r="F16" s="177"/>
      <c r="G16" s="175"/>
    </row>
    <row r="17" spans="2:7" ht="15" customHeight="1">
      <c r="B17" s="176"/>
      <c r="C17" s="176"/>
      <c r="D17" s="177"/>
      <c r="E17" s="177"/>
      <c r="F17" s="177"/>
      <c r="G17" s="175"/>
    </row>
    <row r="18" spans="2:7" ht="15" customHeight="1">
      <c r="B18" s="176"/>
      <c r="C18" s="176"/>
      <c r="D18" s="177"/>
      <c r="E18" s="177"/>
      <c r="F18" s="177"/>
      <c r="G18" s="175"/>
    </row>
    <row r="19" spans="2:7" ht="15" customHeight="1">
      <c r="B19" s="176"/>
      <c r="C19" s="176"/>
      <c r="D19" s="177"/>
      <c r="E19" s="177"/>
      <c r="F19" s="177"/>
      <c r="G19" s="175"/>
    </row>
    <row r="20" spans="2:7" ht="15" customHeight="1">
      <c r="B20" s="176"/>
      <c r="C20" s="176"/>
      <c r="D20" s="177"/>
      <c r="E20" s="177"/>
      <c r="F20" s="177"/>
      <c r="G20" s="175"/>
    </row>
    <row r="21" spans="2:7" ht="15" customHeight="1">
      <c r="B21" s="176"/>
      <c r="C21" s="176"/>
      <c r="D21" s="177"/>
      <c r="E21" s="177"/>
      <c r="F21" s="177"/>
      <c r="G21" s="175"/>
    </row>
    <row r="22" spans="2:7" ht="15" customHeight="1">
      <c r="B22" s="176"/>
      <c r="C22" s="176"/>
      <c r="D22" s="177"/>
      <c r="E22" s="177"/>
      <c r="F22" s="177"/>
      <c r="G22" s="175"/>
    </row>
    <row r="23" spans="2:7" ht="15" customHeight="1">
      <c r="B23" s="176"/>
      <c r="C23" s="176"/>
      <c r="D23" s="177"/>
      <c r="E23" s="177"/>
      <c r="F23" s="177"/>
      <c r="G23" s="175"/>
    </row>
    <row r="24" spans="2:7" ht="15" customHeight="1">
      <c r="B24" s="176"/>
      <c r="C24" s="176"/>
      <c r="D24" s="177"/>
      <c r="E24" s="177"/>
      <c r="F24" s="177"/>
      <c r="G24" s="175"/>
    </row>
    <row r="25" spans="2:7" ht="15" customHeight="1">
      <c r="B25" s="176"/>
      <c r="C25" s="176"/>
      <c r="D25" s="177"/>
      <c r="E25" s="177"/>
      <c r="F25" s="177"/>
      <c r="G25" s="175"/>
    </row>
    <row r="26" spans="2:7" ht="15" customHeight="1">
      <c r="B26" s="74"/>
      <c r="C26" s="178" t="s">
        <v>90</v>
      </c>
      <c r="D26" s="179">
        <f>SUM(D8:D25)</f>
        <v>0</v>
      </c>
      <c r="E26" s="179">
        <f>SUM(E8:E25)</f>
        <v>0</v>
      </c>
      <c r="F26" s="179">
        <f>SUM(F8:F25)</f>
        <v>0</v>
      </c>
      <c r="G26" s="180"/>
    </row>
    <row r="27" spans="2:7" ht="15" customHeight="1">
      <c r="B27" s="74"/>
      <c r="C27" s="181" t="s">
        <v>263</v>
      </c>
      <c r="D27" s="123"/>
      <c r="E27" s="182"/>
      <c r="F27" s="182"/>
      <c r="G27" s="180"/>
    </row>
    <row r="28" spans="2:7" ht="15" customHeight="1">
      <c r="B28" s="74"/>
      <c r="C28" s="178" t="s">
        <v>264</v>
      </c>
      <c r="D28" s="179">
        <f>D26</f>
        <v>0</v>
      </c>
      <c r="E28" s="179">
        <f>SUM(E26-E27)</f>
        <v>0</v>
      </c>
      <c r="F28" s="179">
        <f>SUM(F26-F27)</f>
        <v>0</v>
      </c>
      <c r="G28" s="180"/>
    </row>
    <row r="29" spans="2:7" ht="15" customHeight="1">
      <c r="B29" s="74"/>
      <c r="C29" s="74"/>
      <c r="D29" s="74"/>
      <c r="E29" s="74"/>
      <c r="F29" s="74"/>
      <c r="G29" s="74"/>
    </row>
    <row r="30" spans="2:7" ht="15" customHeight="1">
      <c r="B30" s="74"/>
      <c r="C30" s="74"/>
      <c r="D30" s="74"/>
      <c r="E30" s="74"/>
      <c r="F30" s="74"/>
      <c r="G30" s="74"/>
    </row>
    <row r="31" spans="2:7" ht="15" customHeight="1">
      <c r="B31" s="336" t="s">
        <v>612</v>
      </c>
      <c r="C31" s="337" t="str">
        <f>CONCATENATE("Adjustments are required only if the transfer is being made in ",E7," and/or ",F7," from a non-budgeted fund.")</f>
        <v>Adjustments are required only if the transfer is being made in -1 and/or 0 from a non-budgeted fund.</v>
      </c>
      <c r="D31" s="74"/>
      <c r="E31" s="74"/>
      <c r="F31" s="74"/>
      <c r="G31" s="74"/>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95" sqref="N95"/>
    </sheetView>
  </sheetViews>
  <sheetFormatPr defaultColWidth="8.796875" defaultRowHeight="15"/>
  <cols>
    <col min="1" max="1" width="70.59765625" style="453" customWidth="1"/>
    <col min="2" max="16384" width="8.8984375" style="453" customWidth="1"/>
  </cols>
  <sheetData>
    <row r="1" ht="18.75">
      <c r="A1" s="454" t="s">
        <v>343</v>
      </c>
    </row>
    <row r="2" ht="18.75">
      <c r="A2" s="454"/>
    </row>
    <row r="3" ht="18.75">
      <c r="A3" s="454"/>
    </row>
    <row r="4" ht="51.75" customHeight="1">
      <c r="A4" s="464" t="s">
        <v>707</v>
      </c>
    </row>
    <row r="5" ht="18.75">
      <c r="A5" s="454"/>
    </row>
    <row r="6" ht="15.75">
      <c r="A6" s="455"/>
    </row>
    <row r="7" ht="47.25">
      <c r="A7" s="456" t="s">
        <v>344</v>
      </c>
    </row>
    <row r="8" ht="15.75">
      <c r="A8" s="455"/>
    </row>
    <row r="9" ht="15.75">
      <c r="A9" s="455"/>
    </row>
    <row r="10" ht="63">
      <c r="A10" s="456" t="s">
        <v>345</v>
      </c>
    </row>
    <row r="11" ht="15.75">
      <c r="A11" s="457"/>
    </row>
    <row r="12" ht="15.75">
      <c r="A12" s="455"/>
    </row>
    <row r="13" ht="47.25">
      <c r="A13" s="456" t="s">
        <v>346</v>
      </c>
    </row>
    <row r="14" ht="15.75">
      <c r="A14" s="457"/>
    </row>
    <row r="15" ht="15.75">
      <c r="A15" s="455"/>
    </row>
    <row r="16" ht="47.25">
      <c r="A16" s="456" t="s">
        <v>347</v>
      </c>
    </row>
    <row r="17" ht="15.75">
      <c r="A17" s="457"/>
    </row>
    <row r="18" ht="15.75">
      <c r="A18" s="457"/>
    </row>
    <row r="19" ht="47.25">
      <c r="A19" s="456" t="s">
        <v>348</v>
      </c>
    </row>
    <row r="20" ht="15.75">
      <c r="A20" s="457"/>
    </row>
    <row r="21" ht="15.75">
      <c r="A21" s="457"/>
    </row>
    <row r="22" ht="47.25">
      <c r="A22" s="456" t="s">
        <v>349</v>
      </c>
    </row>
    <row r="23" ht="15.75">
      <c r="A23" s="457"/>
    </row>
    <row r="24" ht="15.75">
      <c r="A24" s="457"/>
    </row>
    <row r="25" ht="31.5">
      <c r="A25" s="456" t="s">
        <v>350</v>
      </c>
    </row>
    <row r="26" ht="15.75">
      <c r="A26" s="455"/>
    </row>
    <row r="27" ht="15.75">
      <c r="A27" s="455"/>
    </row>
    <row r="28" ht="60">
      <c r="A28" s="458" t="s">
        <v>351</v>
      </c>
    </row>
    <row r="29" ht="15">
      <c r="A29" s="459"/>
    </row>
    <row r="30" ht="15">
      <c r="A30" s="459"/>
    </row>
    <row r="31" ht="47.25">
      <c r="A31" s="456" t="s">
        <v>352</v>
      </c>
    </row>
    <row r="32" ht="15.75">
      <c r="A32" s="455"/>
    </row>
    <row r="33" ht="15.75">
      <c r="A33" s="455"/>
    </row>
    <row r="34" ht="66.75" customHeight="1">
      <c r="A34" s="463" t="s">
        <v>708</v>
      </c>
    </row>
    <row r="35" ht="15.75">
      <c r="A35" s="455"/>
    </row>
    <row r="36" ht="15.75">
      <c r="A36" s="455"/>
    </row>
    <row r="37" ht="63">
      <c r="A37" s="460" t="s">
        <v>353</v>
      </c>
    </row>
    <row r="38" ht="15.75">
      <c r="A38" s="457"/>
    </row>
    <row r="39" ht="15.75">
      <c r="A39" s="455"/>
    </row>
    <row r="40" ht="63">
      <c r="A40" s="456" t="s">
        <v>354</v>
      </c>
    </row>
    <row r="41" ht="15.75">
      <c r="A41" s="457"/>
    </row>
    <row r="42" ht="15.75">
      <c r="A42" s="457"/>
    </row>
    <row r="43" ht="82.5" customHeight="1">
      <c r="A43" s="452" t="s">
        <v>709</v>
      </c>
    </row>
    <row r="44" ht="15.75">
      <c r="A44" s="457"/>
    </row>
    <row r="45" ht="15.75">
      <c r="A45" s="457"/>
    </row>
    <row r="46" ht="69" customHeight="1">
      <c r="A46" s="452" t="s">
        <v>710</v>
      </c>
    </row>
    <row r="47" ht="15.75">
      <c r="A47" s="457"/>
    </row>
    <row r="48" ht="15.75">
      <c r="A48" s="457"/>
    </row>
    <row r="49" ht="69" customHeight="1">
      <c r="A49" s="452" t="s">
        <v>711</v>
      </c>
    </row>
    <row r="50" ht="15.75">
      <c r="A50" s="457"/>
    </row>
    <row r="51" ht="15.75">
      <c r="A51" s="457"/>
    </row>
    <row r="52" ht="53.25" customHeight="1">
      <c r="A52" s="452" t="s">
        <v>769</v>
      </c>
    </row>
    <row r="53" ht="15.75">
      <c r="A53" s="457"/>
    </row>
    <row r="54" ht="15.75">
      <c r="A54" s="457"/>
    </row>
    <row r="55" ht="63">
      <c r="A55" s="456" t="s">
        <v>355</v>
      </c>
    </row>
    <row r="56" ht="15.75">
      <c r="A56" s="457"/>
    </row>
    <row r="57" ht="15.75">
      <c r="A57" s="457"/>
    </row>
    <row r="58" ht="63">
      <c r="A58" s="456" t="s">
        <v>356</v>
      </c>
    </row>
    <row r="59" ht="15.75">
      <c r="A59" s="457"/>
    </row>
    <row r="60" ht="15.75">
      <c r="A60" s="457"/>
    </row>
    <row r="61" ht="47.25">
      <c r="A61" s="456" t="s">
        <v>357</v>
      </c>
    </row>
    <row r="62" ht="15.75">
      <c r="A62" s="457"/>
    </row>
    <row r="63" ht="15.75">
      <c r="A63" s="457"/>
    </row>
    <row r="64" ht="47.25">
      <c r="A64" s="456" t="s">
        <v>358</v>
      </c>
    </row>
    <row r="65" ht="15.75">
      <c r="A65" s="457"/>
    </row>
    <row r="66" ht="15.75">
      <c r="A66" s="457"/>
    </row>
    <row r="67" ht="78.75">
      <c r="A67" s="456" t="s">
        <v>359</v>
      </c>
    </row>
    <row r="68" ht="15">
      <c r="A68" s="461"/>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2015-09-04T16:40:44Z</cp:lastPrinted>
  <dcterms:created xsi:type="dcterms:W3CDTF">1999-08-03T13:11:47Z</dcterms:created>
  <dcterms:modified xsi:type="dcterms:W3CDTF">2017-04-08T18:47:00Z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